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8" firstSheet="16" activeTab="22"/>
  </bookViews>
  <sheets>
    <sheet name="علی آقا عبداللهی" sheetId="6" r:id="rId1"/>
    <sheet name="علیرضا خالقی" sheetId="8" r:id="rId2"/>
    <sheet name="رضا احمدی" sheetId="9" r:id="rId3"/>
    <sheet name="مهدی علیمحمدی" sheetId="10" r:id="rId4"/>
    <sheet name="علی غلامی تیگا" sheetId="14" r:id="rId5"/>
    <sheet name="جواد حاتم زاده فهندری" sheetId="24" r:id="rId6"/>
    <sheet name="مجتبی کامکاری" sheetId="16" r:id="rId7"/>
    <sheet name="محسن عبداللهی" sheetId="17" r:id="rId8"/>
    <sheet name="احمدرضا افضلی پل بندی" sheetId="22" r:id="rId9"/>
    <sheet name="علی غلامی" sheetId="21" r:id="rId10"/>
    <sheet name="جواد حاتم زاده" sheetId="25" r:id="rId11"/>
    <sheet name="غلامرضا یگانه" sheetId="26" r:id="rId12"/>
    <sheet name="آقای سحابی ( رفیعی )" sheetId="23" r:id="rId13"/>
    <sheet name="قاسم جوینی" sheetId="27" r:id="rId14"/>
    <sheet name="حمیده بیرجندی" sheetId="13" r:id="rId15"/>
    <sheet name="زهرا جلالی-خانم محمود جلالی" sheetId="15" r:id="rId16"/>
    <sheet name="مرضیه احیایی" sheetId="31" r:id="rId17"/>
    <sheet name="سالانه" sheetId="7" r:id="rId18"/>
    <sheet name="اطلاعات مشتریان" sheetId="19" r:id="rId19"/>
    <sheet name="خرداد" sheetId="3" r:id="rId20"/>
    <sheet name="تیر" sheetId="20" r:id="rId21"/>
    <sheet name="مرداد" sheetId="28" r:id="rId22"/>
    <sheet name="شهریور" sheetId="30" r:id="rId23"/>
  </sheets>
  <calcPr calcId="152511"/>
</workbook>
</file>

<file path=xl/calcChain.xml><?xml version="1.0" encoding="utf-8"?>
<calcChain xmlns="http://schemas.openxmlformats.org/spreadsheetml/2006/main">
  <c r="K671" i="28" l="1"/>
  <c r="L671" i="28" s="1"/>
  <c r="K670" i="28"/>
  <c r="K669" i="28"/>
  <c r="D634" i="30"/>
  <c r="F633" i="30"/>
  <c r="F632" i="30"/>
  <c r="F631" i="30"/>
  <c r="F630" i="30"/>
  <c r="F634" i="30" s="1"/>
  <c r="D673" i="28"/>
  <c r="F670" i="28"/>
  <c r="F671" i="28"/>
  <c r="F672" i="28"/>
  <c r="F669" i="28"/>
  <c r="F673" i="28" s="1"/>
  <c r="C55" i="31"/>
  <c r="C35" i="31"/>
  <c r="C13" i="31"/>
  <c r="F512" i="30"/>
  <c r="F513" i="30"/>
  <c r="F511" i="30"/>
  <c r="F510" i="30"/>
  <c r="D508" i="30"/>
  <c r="D509" i="30" s="1"/>
  <c r="D514" i="30" s="1"/>
  <c r="F507" i="30"/>
  <c r="F506" i="30"/>
  <c r="F505" i="30"/>
  <c r="F504" i="30"/>
  <c r="F503" i="30"/>
  <c r="F515" i="30"/>
  <c r="F516" i="30"/>
  <c r="F427" i="30"/>
  <c r="F426" i="30"/>
  <c r="F425" i="30"/>
  <c r="F424" i="30"/>
  <c r="F508" i="30" l="1"/>
  <c r="F509" i="30" s="1"/>
  <c r="F514" i="30" s="1"/>
  <c r="F250" i="30"/>
  <c r="J408" i="30"/>
  <c r="J66" i="30"/>
  <c r="J447" i="30"/>
  <c r="K447" i="30" s="1"/>
  <c r="K449" i="30"/>
  <c r="J449" i="30"/>
  <c r="J448" i="30"/>
  <c r="J720" i="30"/>
  <c r="J669" i="30"/>
  <c r="J300" i="30"/>
  <c r="J363" i="30"/>
  <c r="J34" i="30"/>
  <c r="J416" i="30"/>
  <c r="J258" i="30"/>
  <c r="F48" i="30"/>
  <c r="J441" i="30"/>
  <c r="K441" i="30" s="1"/>
  <c r="F718" i="30"/>
  <c r="F562" i="30"/>
  <c r="J656" i="30"/>
  <c r="D107" i="24"/>
  <c r="B111" i="24" s="1"/>
  <c r="B102" i="24"/>
  <c r="B112" i="24" s="1"/>
  <c r="B113" i="24" l="1"/>
  <c r="F341" i="30"/>
  <c r="F340" i="30"/>
  <c r="J339" i="30"/>
  <c r="F339" i="30"/>
  <c r="K339" i="30" s="1"/>
  <c r="F81" i="30" l="1"/>
  <c r="J321" i="30"/>
  <c r="K321" i="30" s="1"/>
  <c r="J18" i="30"/>
  <c r="J38" i="30"/>
  <c r="K38" i="30" s="1"/>
  <c r="J274" i="30"/>
  <c r="J708" i="30"/>
  <c r="K708" i="30" s="1"/>
  <c r="J2" i="30"/>
  <c r="J219" i="30"/>
  <c r="J587" i="30"/>
  <c r="F689" i="30" l="1"/>
  <c r="F688" i="30"/>
  <c r="J666" i="30" l="1"/>
  <c r="F666" i="30"/>
  <c r="K666" i="30" s="1"/>
  <c r="J530" i="30"/>
  <c r="F530" i="30"/>
  <c r="K530" i="30" s="1"/>
  <c r="J655" i="30"/>
  <c r="J276" i="30"/>
  <c r="J678" i="30"/>
  <c r="J199" i="30" l="1"/>
  <c r="J365" i="30"/>
  <c r="J32" i="30"/>
  <c r="F32" i="30"/>
  <c r="J239" i="30"/>
  <c r="J240" i="30"/>
  <c r="J238" i="30"/>
  <c r="J237" i="30"/>
  <c r="J419" i="30"/>
  <c r="H143" i="7" l="1"/>
  <c r="F715" i="30"/>
  <c r="F714" i="30"/>
  <c r="J330" i="30"/>
  <c r="F617" i="30" l="1"/>
  <c r="F40" i="30"/>
  <c r="F163" i="30"/>
  <c r="F139" i="30"/>
  <c r="J236" i="30"/>
  <c r="J649" i="30"/>
  <c r="K649" i="30" s="1"/>
  <c r="F649" i="30"/>
  <c r="J244" i="30"/>
  <c r="J463" i="30"/>
  <c r="D406" i="30"/>
  <c r="F404" i="30"/>
  <c r="F403" i="30"/>
  <c r="F402" i="30"/>
  <c r="F400" i="30"/>
  <c r="J378" i="30"/>
  <c r="J28" i="30"/>
  <c r="J26" i="30"/>
  <c r="K26" i="30" s="1"/>
  <c r="E26" i="30"/>
  <c r="F406" i="30" l="1"/>
  <c r="J147" i="30"/>
  <c r="F149" i="30"/>
  <c r="D420" i="30"/>
  <c r="F420" i="30" s="1"/>
  <c r="D443" i="28" l="1"/>
  <c r="F443" i="28" s="1"/>
  <c r="J243" i="30" l="1"/>
  <c r="J397" i="30"/>
  <c r="J398" i="30"/>
  <c r="K398" i="30" s="1"/>
  <c r="J706" i="30"/>
  <c r="K706" i="30" s="1"/>
  <c r="J613" i="30"/>
  <c r="F712" i="30"/>
  <c r="J711" i="30" l="1"/>
  <c r="F14" i="15"/>
  <c r="F142" i="30"/>
  <c r="E590" i="30"/>
  <c r="J535" i="30" l="1"/>
  <c r="F710" i="30"/>
  <c r="J709" i="30"/>
  <c r="J74" i="30"/>
  <c r="J19" i="30"/>
  <c r="F349" i="30" l="1"/>
  <c r="F688" i="28"/>
  <c r="F423" i="30"/>
  <c r="F587" i="30" l="1"/>
  <c r="K587" i="30" s="1"/>
  <c r="J289" i="30" l="1"/>
  <c r="K289" i="30" s="1"/>
  <c r="J650" i="30"/>
  <c r="J288" i="30"/>
  <c r="J527" i="30"/>
  <c r="J703" i="30"/>
  <c r="K703" i="30" s="1"/>
  <c r="J606" i="30"/>
  <c r="J287" i="30"/>
  <c r="J485" i="30"/>
  <c r="J364" i="30"/>
  <c r="J235" i="30"/>
  <c r="J707" i="30"/>
  <c r="K707" i="30" s="1"/>
  <c r="E707" i="30"/>
  <c r="J357" i="30"/>
  <c r="J382" i="30"/>
  <c r="J326" i="30"/>
  <c r="J457" i="30"/>
  <c r="J368" i="30"/>
  <c r="K705" i="30"/>
  <c r="J705" i="30"/>
  <c r="J361" i="30"/>
  <c r="J647" i="30"/>
  <c r="J702" i="30"/>
  <c r="K702" i="30" s="1"/>
  <c r="J701" i="30"/>
  <c r="K701" i="30" s="1"/>
  <c r="J379" i="30"/>
  <c r="J380" i="30"/>
  <c r="J161" i="30"/>
  <c r="F700" i="30"/>
  <c r="J360" i="30"/>
  <c r="J639" i="30"/>
  <c r="J642" i="30"/>
  <c r="J165" i="30"/>
  <c r="F208" i="30"/>
  <c r="J206" i="30"/>
  <c r="K206" i="30" s="1"/>
  <c r="J207" i="30"/>
  <c r="J77" i="30"/>
  <c r="J699" i="30"/>
  <c r="J358" i="30"/>
  <c r="J641" i="30"/>
  <c r="J643" i="30"/>
  <c r="J640" i="30"/>
  <c r="J362" i="30"/>
  <c r="J556" i="30"/>
  <c r="J494" i="30"/>
  <c r="F627" i="30" l="1"/>
  <c r="J627" i="30"/>
  <c r="J129" i="30"/>
  <c r="K129" i="30" s="1"/>
  <c r="J621" i="30"/>
  <c r="F287" i="30" l="1"/>
  <c r="K287" i="30" s="1"/>
  <c r="F348" i="30" l="1"/>
  <c r="E382" i="30" l="1"/>
  <c r="F289" i="30"/>
  <c r="F380" i="30"/>
  <c r="K380" i="30" s="1"/>
  <c r="F379" i="30"/>
  <c r="J335" i="30" l="1"/>
  <c r="J676" i="30"/>
  <c r="J107" i="30"/>
  <c r="J76" i="30"/>
  <c r="K76" i="30" s="1"/>
  <c r="J87" i="30"/>
  <c r="K87" i="30" s="1"/>
  <c r="F698" i="30"/>
  <c r="J35" i="30"/>
  <c r="J356" i="30"/>
  <c r="J697" i="30"/>
  <c r="J366" i="30"/>
  <c r="J644" i="30"/>
  <c r="J567" i="30"/>
  <c r="F567" i="30"/>
  <c r="F696" i="30"/>
  <c r="J695" i="30"/>
  <c r="F695" i="30"/>
  <c r="F146" i="30"/>
  <c r="J143" i="30"/>
  <c r="K143" i="30" s="1"/>
  <c r="D41" i="28"/>
  <c r="F37" i="30"/>
  <c r="J36" i="30"/>
  <c r="F693" i="30"/>
  <c r="F468" i="30"/>
  <c r="F692" i="30"/>
  <c r="F455" i="30"/>
  <c r="F171" i="30"/>
  <c r="J665" i="30"/>
  <c r="K665" i="30" s="1"/>
  <c r="F482" i="30"/>
  <c r="J480" i="30"/>
  <c r="K480" i="30" s="1"/>
  <c r="J209" i="30"/>
  <c r="J601" i="30"/>
  <c r="K695" i="30" l="1"/>
  <c r="K567" i="30"/>
  <c r="F151" i="30"/>
  <c r="F152" i="30"/>
  <c r="F150" i="30"/>
  <c r="J158" i="30"/>
  <c r="K158" i="30" s="1"/>
  <c r="F147" i="30"/>
  <c r="J64" i="30"/>
  <c r="J691" i="30"/>
  <c r="J559" i="30"/>
  <c r="J658" i="30"/>
  <c r="K658" i="30" s="1"/>
  <c r="J233" i="30"/>
  <c r="J479" i="30"/>
  <c r="J690" i="30"/>
  <c r="K690" i="30" s="1"/>
  <c r="J541" i="30"/>
  <c r="K541" i="30" s="1"/>
  <c r="J542" i="30"/>
  <c r="K542" i="30" s="1"/>
  <c r="J63" i="30"/>
  <c r="J111" i="30"/>
  <c r="F153" i="30"/>
  <c r="J622" i="30"/>
  <c r="J586" i="30"/>
  <c r="J113" i="30"/>
  <c r="J108" i="30"/>
  <c r="F149" i="28" l="1"/>
  <c r="D721" i="30" l="1"/>
  <c r="J583" i="30" l="1"/>
  <c r="J582" i="30"/>
  <c r="F491" i="30"/>
  <c r="F485" i="30"/>
  <c r="K485" i="30" s="1"/>
  <c r="F419" i="30"/>
  <c r="K419" i="30" s="1"/>
  <c r="F408" i="30"/>
  <c r="K408" i="30" s="1"/>
  <c r="F401" i="30"/>
  <c r="D397" i="30"/>
  <c r="J386" i="30"/>
  <c r="F383" i="30"/>
  <c r="K413" i="28"/>
  <c r="F412" i="28"/>
  <c r="K411" i="28"/>
  <c r="K410" i="28"/>
  <c r="F409" i="28"/>
  <c r="L408" i="28"/>
  <c r="K408" i="28"/>
  <c r="K406" i="28"/>
  <c r="F406" i="28"/>
  <c r="L406" i="28" s="1"/>
  <c r="K405" i="28"/>
  <c r="F405" i="28"/>
  <c r="F404" i="28"/>
  <c r="K403" i="28"/>
  <c r="F403" i="28"/>
  <c r="K402" i="28"/>
  <c r="F402" i="28"/>
  <c r="K401" i="28"/>
  <c r="F401" i="28"/>
  <c r="K400" i="28"/>
  <c r="F400" i="28"/>
  <c r="K399" i="28"/>
  <c r="F399" i="28"/>
  <c r="L399" i="28" s="1"/>
  <c r="F398" i="28"/>
  <c r="K397" i="28"/>
  <c r="F397" i="28"/>
  <c r="K396" i="28"/>
  <c r="F396" i="28"/>
  <c r="K394" i="28"/>
  <c r="F394" i="28"/>
  <c r="K393" i="28"/>
  <c r="F393" i="28"/>
  <c r="K392" i="28"/>
  <c r="F392" i="28"/>
  <c r="L392" i="28" s="1"/>
  <c r="K391" i="28"/>
  <c r="L391" i="28" s="1"/>
  <c r="K390" i="28"/>
  <c r="L390" i="28" s="1"/>
  <c r="F390" i="28"/>
  <c r="K389" i="28"/>
  <c r="L389" i="28" s="1"/>
  <c r="K388" i="28"/>
  <c r="F388" i="28"/>
  <c r="K387" i="28"/>
  <c r="F387" i="28"/>
  <c r="L387" i="28" s="1"/>
  <c r="K386" i="28"/>
  <c r="F386" i="28"/>
  <c r="K385" i="28"/>
  <c r="F385" i="28"/>
  <c r="L385" i="28" s="1"/>
  <c r="F384" i="28"/>
  <c r="K383" i="28"/>
  <c r="F383" i="28"/>
  <c r="K382" i="28"/>
  <c r="F382" i="28"/>
  <c r="K381" i="28"/>
  <c r="F381" i="28"/>
  <c r="K380" i="28"/>
  <c r="F380" i="28"/>
  <c r="K379" i="28"/>
  <c r="F379" i="28"/>
  <c r="K378" i="28"/>
  <c r="L378" i="28" s="1"/>
  <c r="K377" i="28"/>
  <c r="F377" i="28"/>
  <c r="K376" i="28"/>
  <c r="L376" i="28" s="1"/>
  <c r="K375" i="28"/>
  <c r="F375" i="28"/>
  <c r="K374" i="28"/>
  <c r="F374" i="28"/>
  <c r="K373" i="28"/>
  <c r="F373" i="28"/>
  <c r="F372" i="28"/>
  <c r="K371" i="28"/>
  <c r="F371" i="28"/>
  <c r="L371" i="28" s="1"/>
  <c r="K370" i="28"/>
  <c r="F370" i="28"/>
  <c r="K369" i="28"/>
  <c r="F369" i="28"/>
  <c r="L369" i="28" s="1"/>
  <c r="K368" i="28"/>
  <c r="F368" i="28"/>
  <c r="F367" i="28"/>
  <c r="F366" i="28"/>
  <c r="L366" i="28" s="1"/>
  <c r="K365" i="28"/>
  <c r="F365" i="28"/>
  <c r="K364" i="28"/>
  <c r="F364" i="28"/>
  <c r="L364" i="28" s="1"/>
  <c r="K362" i="28"/>
  <c r="F362" i="28"/>
  <c r="K361" i="28"/>
  <c r="F361" i="28"/>
  <c r="L361" i="28" s="1"/>
  <c r="K360" i="28"/>
  <c r="F360" i="28"/>
  <c r="F359" i="28"/>
  <c r="L359" i="28" s="1"/>
  <c r="K358" i="28"/>
  <c r="F358" i="28"/>
  <c r="K357" i="28"/>
  <c r="F357" i="28"/>
  <c r="K356" i="28"/>
  <c r="F356" i="28"/>
  <c r="K355" i="28"/>
  <c r="F355" i="28"/>
  <c r="K354" i="28"/>
  <c r="F354" i="28"/>
  <c r="K353" i="28"/>
  <c r="L353" i="28" s="1"/>
  <c r="K352" i="28"/>
  <c r="F352" i="28"/>
  <c r="L352" i="28" s="1"/>
  <c r="K351" i="28"/>
  <c r="F351" i="28"/>
  <c r="K350" i="28"/>
  <c r="F350" i="28"/>
  <c r="L350" i="28" s="1"/>
  <c r="K349" i="28"/>
  <c r="F349" i="28"/>
  <c r="K348" i="28"/>
  <c r="F348" i="28"/>
  <c r="F347" i="28"/>
  <c r="K346" i="28"/>
  <c r="F346" i="28"/>
  <c r="F345" i="28"/>
  <c r="K344" i="28"/>
  <c r="F344" i="28"/>
  <c r="K343" i="28"/>
  <c r="F343" i="28"/>
  <c r="K342" i="28"/>
  <c r="F342" i="28"/>
  <c r="K341" i="28"/>
  <c r="F341" i="28"/>
  <c r="L341" i="28" s="1"/>
  <c r="K340" i="28"/>
  <c r="F340" i="28"/>
  <c r="K339" i="28"/>
  <c r="K338" i="28"/>
  <c r="F338" i="28"/>
  <c r="L339" i="28" s="1"/>
  <c r="K337" i="28"/>
  <c r="L337" i="28" s="1"/>
  <c r="K336" i="28"/>
  <c r="F336" i="28"/>
  <c r="K335" i="28"/>
  <c r="F335" i="28"/>
  <c r="K334" i="28"/>
  <c r="L334" i="28" s="1"/>
  <c r="K333" i="28"/>
  <c r="F333" i="28"/>
  <c r="K332" i="28"/>
  <c r="L332" i="28" s="1"/>
  <c r="F332" i="28"/>
  <c r="K331" i="28"/>
  <c r="F331" i="28"/>
  <c r="K330" i="28"/>
  <c r="F330" i="28"/>
  <c r="K329" i="28"/>
  <c r="F329" i="28"/>
  <c r="K328" i="28"/>
  <c r="F328" i="28"/>
  <c r="K326" i="28"/>
  <c r="D324" i="28"/>
  <c r="F322" i="28"/>
  <c r="K320" i="28"/>
  <c r="L320" i="28" s="1"/>
  <c r="F319" i="28"/>
  <c r="K318" i="28"/>
  <c r="F318" i="28"/>
  <c r="K317" i="28"/>
  <c r="F317" i="28"/>
  <c r="L317" i="28" s="1"/>
  <c r="K316" i="28"/>
  <c r="F316" i="28"/>
  <c r="K315" i="28"/>
  <c r="K314" i="28"/>
  <c r="F314" i="28"/>
  <c r="K313" i="28"/>
  <c r="F313" i="28"/>
  <c r="K312" i="28"/>
  <c r="F312" i="28"/>
  <c r="K311" i="28"/>
  <c r="F311" i="28"/>
  <c r="K310" i="28"/>
  <c r="F310" i="28"/>
  <c r="K309" i="28"/>
  <c r="F308" i="28"/>
  <c r="F307" i="28"/>
  <c r="F306" i="28"/>
  <c r="K305" i="28"/>
  <c r="F305" i="28"/>
  <c r="K303" i="28"/>
  <c r="L303" i="28" s="1"/>
  <c r="K302" i="28"/>
  <c r="F302" i="28"/>
  <c r="K301" i="28"/>
  <c r="L301" i="28" s="1"/>
  <c r="K300" i="28"/>
  <c r="F300" i="28"/>
  <c r="K299" i="28"/>
  <c r="F299" i="28"/>
  <c r="K298" i="28"/>
  <c r="F298" i="28"/>
  <c r="L298" i="28" s="1"/>
  <c r="F297" i="28"/>
  <c r="K292" i="28"/>
  <c r="L292" i="28" s="1"/>
  <c r="K291" i="28"/>
  <c r="F291" i="28"/>
  <c r="L291" i="28" s="1"/>
  <c r="K289" i="28"/>
  <c r="F289" i="28"/>
  <c r="K288" i="28"/>
  <c r="L288" i="28" s="1"/>
  <c r="K287" i="28"/>
  <c r="F287" i="28"/>
  <c r="F286" i="28"/>
  <c r="F285" i="28"/>
  <c r="K284" i="28"/>
  <c r="F284" i="28"/>
  <c r="K283" i="28"/>
  <c r="F283" i="28"/>
  <c r="K282" i="28"/>
  <c r="F282" i="28"/>
  <c r="K281" i="28"/>
  <c r="F281" i="28"/>
  <c r="K280" i="28"/>
  <c r="F280" i="28"/>
  <c r="K279" i="28"/>
  <c r="F279" i="28"/>
  <c r="F278" i="28"/>
  <c r="K278" i="28" s="1"/>
  <c r="L278" i="28" s="1"/>
  <c r="K277" i="28"/>
  <c r="F277" i="28"/>
  <c r="K276" i="28"/>
  <c r="F276" i="28"/>
  <c r="L276" i="28" s="1"/>
  <c r="K275" i="28"/>
  <c r="F275" i="28"/>
  <c r="K274" i="28"/>
  <c r="F274" i="28"/>
  <c r="L274" i="28" s="1"/>
  <c r="K272" i="28"/>
  <c r="F272" i="28"/>
  <c r="K271" i="28"/>
  <c r="F271" i="28"/>
  <c r="K270" i="28"/>
  <c r="F270" i="28"/>
  <c r="L270" i="28" s="1"/>
  <c r="F269" i="28"/>
  <c r="L269" i="28" s="1"/>
  <c r="K268" i="28"/>
  <c r="F268" i="28"/>
  <c r="K267" i="28"/>
  <c r="F267" i="28"/>
  <c r="K266" i="28"/>
  <c r="L266" i="28" s="1"/>
  <c r="K265" i="28"/>
  <c r="F265" i="28"/>
  <c r="K264" i="28"/>
  <c r="F264" i="28"/>
  <c r="L264" i="28" s="1"/>
  <c r="K263" i="28"/>
  <c r="F263" i="28"/>
  <c r="K262" i="28"/>
  <c r="F262" i="28"/>
  <c r="K261" i="28"/>
  <c r="F261" i="28"/>
  <c r="F260" i="28"/>
  <c r="L260" i="28" s="1"/>
  <c r="K259" i="28"/>
  <c r="F259" i="28"/>
  <c r="K258" i="28"/>
  <c r="F258" i="28"/>
  <c r="L258" i="28" s="1"/>
  <c r="K257" i="28"/>
  <c r="F257" i="28"/>
  <c r="K247" i="28"/>
  <c r="L247" i="28" s="1"/>
  <c r="F247" i="28"/>
  <c r="K246" i="28"/>
  <c r="F246" i="28"/>
  <c r="K245" i="28"/>
  <c r="F245" i="28"/>
  <c r="L245" i="28" s="1"/>
  <c r="K244" i="28"/>
  <c r="F244" i="28"/>
  <c r="K243" i="28"/>
  <c r="F243" i="28"/>
  <c r="L243" i="28" s="1"/>
  <c r="K237" i="28"/>
  <c r="F237" i="28"/>
  <c r="K236" i="28"/>
  <c r="L236" i="28" s="1"/>
  <c r="E236" i="28"/>
  <c r="F235" i="28"/>
  <c r="L235" i="28" s="1"/>
  <c r="K233" i="28"/>
  <c r="F233" i="28"/>
  <c r="K231" i="28"/>
  <c r="F231" i="28"/>
  <c r="L231" i="28" s="1"/>
  <c r="K230" i="28"/>
  <c r="F230" i="28"/>
  <c r="K229" i="28"/>
  <c r="F229" i="28"/>
  <c r="L229" i="28" s="1"/>
  <c r="J687" i="30"/>
  <c r="F686" i="30"/>
  <c r="F685" i="30"/>
  <c r="J684" i="30"/>
  <c r="F683" i="30"/>
  <c r="F682" i="30"/>
  <c r="J681" i="30"/>
  <c r="K681" i="30" s="1"/>
  <c r="F680" i="30"/>
  <c r="F679" i="30"/>
  <c r="F678" i="30"/>
  <c r="K678" i="30" s="1"/>
  <c r="F675" i="30"/>
  <c r="J674" i="30"/>
  <c r="K674" i="30" s="1"/>
  <c r="F669" i="30"/>
  <c r="K669" i="30" s="1"/>
  <c r="J668" i="30"/>
  <c r="F668" i="30"/>
  <c r="D667" i="30"/>
  <c r="J664" i="30"/>
  <c r="K664" i="30" s="1"/>
  <c r="J663" i="30"/>
  <c r="K663" i="30" s="1"/>
  <c r="J662" i="30"/>
  <c r="K662" i="30" s="1"/>
  <c r="F660" i="30"/>
  <c r="J659" i="30"/>
  <c r="F659" i="30"/>
  <c r="F655" i="30"/>
  <c r="K655" i="30" s="1"/>
  <c r="F654" i="30"/>
  <c r="F650" i="30"/>
  <c r="F648" i="30"/>
  <c r="F647" i="30"/>
  <c r="K647" i="30" s="1"/>
  <c r="F644" i="30"/>
  <c r="K644" i="30" s="1"/>
  <c r="F643" i="30"/>
  <c r="K643" i="30" s="1"/>
  <c r="F642" i="30"/>
  <c r="K642" i="30" s="1"/>
  <c r="F641" i="30"/>
  <c r="K641" i="30" s="1"/>
  <c r="F640" i="30"/>
  <c r="K640" i="30" s="1"/>
  <c r="F639" i="30"/>
  <c r="K639" i="30" s="1"/>
  <c r="J638" i="30"/>
  <c r="K638" i="30" s="1"/>
  <c r="J637" i="30"/>
  <c r="K637" i="30" s="1"/>
  <c r="J636" i="30"/>
  <c r="K636" i="30" s="1"/>
  <c r="J635" i="30"/>
  <c r="K635" i="30" s="1"/>
  <c r="J629" i="30"/>
  <c r="K629" i="30" s="1"/>
  <c r="J628" i="30"/>
  <c r="J623" i="30"/>
  <c r="K623" i="30" s="1"/>
  <c r="F622" i="30"/>
  <c r="K622" i="30" s="1"/>
  <c r="F619" i="30"/>
  <c r="D620" i="30" s="1"/>
  <c r="J618" i="30"/>
  <c r="F618" i="30"/>
  <c r="F616" i="30"/>
  <c r="K613" i="30" s="1"/>
  <c r="J615" i="30"/>
  <c r="F615" i="30"/>
  <c r="J612" i="30"/>
  <c r="K612" i="30" s="1"/>
  <c r="J611" i="30"/>
  <c r="F611" i="30"/>
  <c r="J610" i="30"/>
  <c r="K610" i="30" s="1"/>
  <c r="J609" i="30"/>
  <c r="F608" i="30"/>
  <c r="J607" i="30"/>
  <c r="F607" i="30"/>
  <c r="F606" i="30"/>
  <c r="J605" i="30"/>
  <c r="F605" i="30"/>
  <c r="K605" i="30" s="1"/>
  <c r="J604" i="30"/>
  <c r="F604" i="30"/>
  <c r="J603" i="30"/>
  <c r="F603" i="30"/>
  <c r="D601" i="30"/>
  <c r="F600" i="30"/>
  <c r="F599" i="30"/>
  <c r="F598" i="30"/>
  <c r="F597" i="30"/>
  <c r="F596" i="30"/>
  <c r="J590" i="30"/>
  <c r="K590" i="30" s="1"/>
  <c r="J589" i="30"/>
  <c r="F589" i="30"/>
  <c r="F586" i="30"/>
  <c r="F584" i="30"/>
  <c r="F583" i="30"/>
  <c r="F582" i="30"/>
  <c r="J581" i="30"/>
  <c r="F581" i="30"/>
  <c r="J580" i="30"/>
  <c r="F580" i="30"/>
  <c r="J579" i="30"/>
  <c r="F579" i="30"/>
  <c r="J577" i="30"/>
  <c r="F577" i="30"/>
  <c r="J576" i="30"/>
  <c r="F576" i="30"/>
  <c r="J574" i="30"/>
  <c r="F574" i="30"/>
  <c r="J573" i="30"/>
  <c r="K573" i="30" s="1"/>
  <c r="J572" i="30"/>
  <c r="F572" i="30"/>
  <c r="J571" i="30"/>
  <c r="K571" i="30" s="1"/>
  <c r="J570" i="30"/>
  <c r="F570" i="30"/>
  <c r="J569" i="30"/>
  <c r="K569" i="30" s="1"/>
  <c r="J566" i="30"/>
  <c r="J565" i="30"/>
  <c r="F565" i="30"/>
  <c r="J564" i="30"/>
  <c r="K564" i="30" s="1"/>
  <c r="J563" i="30"/>
  <c r="F563" i="30"/>
  <c r="F561" i="30"/>
  <c r="F559" i="30"/>
  <c r="K559" i="30" s="1"/>
  <c r="J558" i="30"/>
  <c r="F558" i="30"/>
  <c r="J557" i="30"/>
  <c r="K557" i="30" s="1"/>
  <c r="F556" i="30"/>
  <c r="K556" i="30" s="1"/>
  <c r="J555" i="30"/>
  <c r="K555" i="30" s="1"/>
  <c r="J554" i="30"/>
  <c r="K554" i="30" s="1"/>
  <c r="J552" i="30"/>
  <c r="F552" i="30"/>
  <c r="F540" i="30"/>
  <c r="J539" i="30"/>
  <c r="F539" i="30"/>
  <c r="J537" i="30"/>
  <c r="K537" i="30" s="1"/>
  <c r="K535" i="30"/>
  <c r="J533" i="30"/>
  <c r="K533" i="30" s="1"/>
  <c r="J532" i="30"/>
  <c r="F532" i="30"/>
  <c r="J531" i="30"/>
  <c r="F531" i="30"/>
  <c r="J529" i="30"/>
  <c r="F529" i="30"/>
  <c r="J528" i="30"/>
  <c r="F528" i="30"/>
  <c r="F527" i="30"/>
  <c r="K527" i="30" s="1"/>
  <c r="J526" i="30"/>
  <c r="K526" i="30" s="1"/>
  <c r="F525" i="30"/>
  <c r="K525" i="30" s="1"/>
  <c r="J524" i="30"/>
  <c r="F524" i="30"/>
  <c r="J523" i="30"/>
  <c r="F523" i="30"/>
  <c r="J522" i="30"/>
  <c r="K522" i="30" s="1"/>
  <c r="J521" i="30"/>
  <c r="K521" i="30" s="1"/>
  <c r="F521" i="30"/>
  <c r="J520" i="30"/>
  <c r="K520" i="30" s="1"/>
  <c r="J519" i="30"/>
  <c r="F519" i="30"/>
  <c r="J518" i="30"/>
  <c r="F518" i="30"/>
  <c r="J517" i="30"/>
  <c r="K517" i="30" s="1"/>
  <c r="J516" i="30"/>
  <c r="F501" i="30"/>
  <c r="D499" i="30"/>
  <c r="D500" i="30" s="1"/>
  <c r="D502" i="30" s="1"/>
  <c r="F498" i="30"/>
  <c r="F497" i="30"/>
  <c r="F496" i="30"/>
  <c r="F495" i="30"/>
  <c r="F494" i="30"/>
  <c r="J493" i="30"/>
  <c r="K493" i="30" s="1"/>
  <c r="F493" i="30"/>
  <c r="J492" i="30"/>
  <c r="F492" i="30"/>
  <c r="J490" i="30"/>
  <c r="F490" i="30"/>
  <c r="J489" i="30"/>
  <c r="F489" i="30"/>
  <c r="F488" i="30"/>
  <c r="J487" i="30"/>
  <c r="F487" i="30"/>
  <c r="J486" i="30"/>
  <c r="F486" i="30"/>
  <c r="J484" i="30"/>
  <c r="K484" i="30" s="1"/>
  <c r="E484" i="30"/>
  <c r="F483" i="30"/>
  <c r="K483" i="30" s="1"/>
  <c r="F479" i="30"/>
  <c r="K479" i="30" s="1"/>
  <c r="J478" i="30"/>
  <c r="F478" i="30"/>
  <c r="F476" i="30"/>
  <c r="K476" i="30" s="1"/>
  <c r="J474" i="30"/>
  <c r="K474" i="30" s="1"/>
  <c r="J473" i="30"/>
  <c r="F473" i="30"/>
  <c r="J472" i="30"/>
  <c r="F472" i="30"/>
  <c r="F471" i="30"/>
  <c r="J470" i="30"/>
  <c r="F470" i="30"/>
  <c r="J469" i="30"/>
  <c r="F469" i="30"/>
  <c r="J467" i="30"/>
  <c r="K467" i="30" s="1"/>
  <c r="J466" i="30"/>
  <c r="F466" i="30"/>
  <c r="J465" i="30"/>
  <c r="F465" i="30"/>
  <c r="K463" i="30"/>
  <c r="F463" i="30"/>
  <c r="J462" i="30"/>
  <c r="F462" i="30"/>
  <c r="J461" i="30"/>
  <c r="F461" i="30"/>
  <c r="J460" i="30"/>
  <c r="K460" i="30" s="1"/>
  <c r="F459" i="30"/>
  <c r="K459" i="30" s="1"/>
  <c r="F457" i="30"/>
  <c r="J456" i="30"/>
  <c r="F456" i="30"/>
  <c r="J454" i="30"/>
  <c r="F454" i="30"/>
  <c r="J453" i="30"/>
  <c r="F453" i="30"/>
  <c r="F452" i="30"/>
  <c r="J451" i="30"/>
  <c r="F451" i="30"/>
  <c r="J450" i="30"/>
  <c r="F450" i="30"/>
  <c r="K448" i="30"/>
  <c r="E444" i="30"/>
  <c r="J443" i="30"/>
  <c r="F443" i="30"/>
  <c r="J442" i="30"/>
  <c r="F442" i="30"/>
  <c r="J440" i="30"/>
  <c r="K440" i="30" s="1"/>
  <c r="J439" i="30"/>
  <c r="F439" i="30"/>
  <c r="F438" i="30"/>
  <c r="J437" i="30"/>
  <c r="F437" i="30"/>
  <c r="J436" i="30"/>
  <c r="F436" i="30"/>
  <c r="J435" i="30"/>
  <c r="F435" i="30"/>
  <c r="J434" i="30"/>
  <c r="F434" i="30"/>
  <c r="J433" i="30"/>
  <c r="F433" i="30"/>
  <c r="J432" i="30"/>
  <c r="F432" i="30"/>
  <c r="F431" i="30"/>
  <c r="J430" i="30"/>
  <c r="F430" i="30"/>
  <c r="J429" i="30"/>
  <c r="F429" i="30"/>
  <c r="J428" i="30"/>
  <c r="F428" i="30"/>
  <c r="F422" i="30"/>
  <c r="F421" i="30"/>
  <c r="J418" i="30"/>
  <c r="F418" i="30"/>
  <c r="J417" i="30"/>
  <c r="F417" i="30"/>
  <c r="F416" i="30"/>
  <c r="K416" i="30" s="1"/>
  <c r="J415" i="30"/>
  <c r="K415" i="30" s="1"/>
  <c r="F414" i="30"/>
  <c r="J413" i="30"/>
  <c r="F413" i="30"/>
  <c r="J412" i="30"/>
  <c r="F412" i="30"/>
  <c r="J411" i="30"/>
  <c r="K411" i="30" s="1"/>
  <c r="J410" i="30"/>
  <c r="F410" i="30"/>
  <c r="F409" i="30"/>
  <c r="J407" i="30"/>
  <c r="F407" i="30"/>
  <c r="F396" i="30"/>
  <c r="F394" i="30"/>
  <c r="F393" i="30"/>
  <c r="F392" i="30"/>
  <c r="J391" i="30"/>
  <c r="F391" i="30"/>
  <c r="J390" i="30"/>
  <c r="F390" i="30"/>
  <c r="J389" i="30"/>
  <c r="F389" i="30"/>
  <c r="J388" i="30"/>
  <c r="F388" i="30"/>
  <c r="F386" i="30"/>
  <c r="J385" i="30"/>
  <c r="F385" i="30"/>
  <c r="K382" i="30"/>
  <c r="F378" i="30"/>
  <c r="K378" i="30" s="1"/>
  <c r="F377" i="30"/>
  <c r="J376" i="30"/>
  <c r="F376" i="30"/>
  <c r="J375" i="30"/>
  <c r="F375" i="30"/>
  <c r="J374" i="30"/>
  <c r="F374" i="30"/>
  <c r="J373" i="30"/>
  <c r="F373" i="30"/>
  <c r="J372" i="30"/>
  <c r="F372" i="30"/>
  <c r="F371" i="30"/>
  <c r="J370" i="30"/>
  <c r="F370" i="30"/>
  <c r="J369" i="30"/>
  <c r="F369" i="30"/>
  <c r="F368" i="30"/>
  <c r="K368" i="30" s="1"/>
  <c r="F366" i="30"/>
  <c r="K366" i="30" s="1"/>
  <c r="F364" i="30"/>
  <c r="K364" i="30" s="1"/>
  <c r="K362" i="30"/>
  <c r="F361" i="30"/>
  <c r="K361" i="30" s="1"/>
  <c r="K360" i="30"/>
  <c r="F359" i="30"/>
  <c r="K359" i="30" s="1"/>
  <c r="F358" i="30"/>
  <c r="K358" i="30" s="1"/>
  <c r="F357" i="30"/>
  <c r="K357" i="30" s="1"/>
  <c r="F356" i="30"/>
  <c r="K356" i="30" s="1"/>
  <c r="F355" i="30"/>
  <c r="J354" i="30"/>
  <c r="F354" i="30"/>
  <c r="J353" i="30"/>
  <c r="F353" i="30"/>
  <c r="J352" i="30"/>
  <c r="F352" i="30"/>
  <c r="J351" i="30"/>
  <c r="F351" i="30"/>
  <c r="J350" i="30"/>
  <c r="F350" i="30"/>
  <c r="J349" i="30"/>
  <c r="K349" i="30" s="1"/>
  <c r="J346" i="30"/>
  <c r="F346" i="30"/>
  <c r="J345" i="30"/>
  <c r="K345" i="30" s="1"/>
  <c r="J344" i="30"/>
  <c r="F344" i="30"/>
  <c r="J343" i="30"/>
  <c r="F343" i="30"/>
  <c r="J342" i="30"/>
  <c r="F342" i="30"/>
  <c r="J338" i="30"/>
  <c r="F338" i="30"/>
  <c r="J337" i="30"/>
  <c r="F337" i="30"/>
  <c r="J336" i="30"/>
  <c r="F336" i="30"/>
  <c r="F335" i="30"/>
  <c r="K335" i="30" s="1"/>
  <c r="J334" i="30"/>
  <c r="F334" i="30"/>
  <c r="J333" i="30"/>
  <c r="F333" i="30"/>
  <c r="F330" i="30"/>
  <c r="K330" i="30" s="1"/>
  <c r="J329" i="30"/>
  <c r="F329" i="30"/>
  <c r="J328" i="30"/>
  <c r="F328" i="30"/>
  <c r="F327" i="30"/>
  <c r="K327" i="30" s="1"/>
  <c r="J325" i="30"/>
  <c r="F325" i="30"/>
  <c r="J324" i="30"/>
  <c r="F324" i="30"/>
  <c r="J323" i="30"/>
  <c r="F323" i="30"/>
  <c r="J320" i="30"/>
  <c r="F320" i="30"/>
  <c r="J319" i="30"/>
  <c r="F319" i="30"/>
  <c r="J318" i="30"/>
  <c r="K318" i="30" s="1"/>
  <c r="J317" i="30"/>
  <c r="F317" i="30"/>
  <c r="J316" i="30"/>
  <c r="F316" i="30"/>
  <c r="J315" i="30"/>
  <c r="F315" i="30"/>
  <c r="J314" i="30"/>
  <c r="F314" i="30"/>
  <c r="J313" i="30"/>
  <c r="F313" i="30"/>
  <c r="F312" i="30"/>
  <c r="J311" i="30"/>
  <c r="F311" i="30"/>
  <c r="J310" i="30"/>
  <c r="F310" i="30"/>
  <c r="J309" i="30"/>
  <c r="F309" i="30"/>
  <c r="J308" i="30"/>
  <c r="F308" i="30"/>
  <c r="J307" i="30"/>
  <c r="F307" i="30"/>
  <c r="J306" i="30"/>
  <c r="F306" i="30"/>
  <c r="J305" i="30"/>
  <c r="K305" i="30" s="1"/>
  <c r="J304" i="30"/>
  <c r="F304" i="30"/>
  <c r="J303" i="30"/>
  <c r="F303" i="30"/>
  <c r="J302" i="30"/>
  <c r="K302" i="30" s="1"/>
  <c r="J301" i="30"/>
  <c r="F301" i="30"/>
  <c r="J299" i="30"/>
  <c r="F299" i="30"/>
  <c r="J298" i="30"/>
  <c r="F298" i="30"/>
  <c r="J297" i="30"/>
  <c r="F297" i="30"/>
  <c r="J296" i="30"/>
  <c r="F296" i="30"/>
  <c r="J295" i="30"/>
  <c r="F295" i="30"/>
  <c r="K288" i="30"/>
  <c r="F286" i="30"/>
  <c r="J285" i="30"/>
  <c r="F285" i="30"/>
  <c r="J284" i="30"/>
  <c r="F284" i="30"/>
  <c r="J283" i="30"/>
  <c r="F283" i="30"/>
  <c r="F282" i="30"/>
  <c r="K282" i="30" s="1"/>
  <c r="J281" i="30"/>
  <c r="F281" i="30"/>
  <c r="J280" i="30"/>
  <c r="F280" i="30"/>
  <c r="J279" i="30"/>
  <c r="F279" i="30"/>
  <c r="J278" i="30"/>
  <c r="F278" i="30"/>
  <c r="F276" i="30"/>
  <c r="K276" i="30" s="1"/>
  <c r="J275" i="30"/>
  <c r="F275" i="30"/>
  <c r="K274" i="30"/>
  <c r="J273" i="30"/>
  <c r="F273" i="30"/>
  <c r="J272" i="30"/>
  <c r="K272" i="30" s="1"/>
  <c r="J271" i="30"/>
  <c r="F271" i="30"/>
  <c r="J270" i="30"/>
  <c r="F270" i="30"/>
  <c r="J269" i="30"/>
  <c r="F269" i="30"/>
  <c r="F264" i="30"/>
  <c r="J263" i="30"/>
  <c r="F263" i="30"/>
  <c r="J261" i="30"/>
  <c r="F261" i="30"/>
  <c r="J260" i="30"/>
  <c r="K260" i="30" s="1"/>
  <c r="J259" i="30"/>
  <c r="F259" i="30"/>
  <c r="F258" i="30"/>
  <c r="K258" i="30" s="1"/>
  <c r="J257" i="30"/>
  <c r="F257" i="30"/>
  <c r="J256" i="30"/>
  <c r="F256" i="30"/>
  <c r="J255" i="30"/>
  <c r="F255" i="30"/>
  <c r="J254" i="30"/>
  <c r="F254" i="30"/>
  <c r="J253" i="30"/>
  <c r="F253" i="30"/>
  <c r="F252" i="30"/>
  <c r="J252" i="30" s="1"/>
  <c r="K252" i="30" s="1"/>
  <c r="J251" i="30"/>
  <c r="F251" i="30"/>
  <c r="J249" i="30"/>
  <c r="F249" i="30"/>
  <c r="J248" i="30"/>
  <c r="F248" i="30"/>
  <c r="J247" i="30"/>
  <c r="F247" i="30"/>
  <c r="J245" i="30"/>
  <c r="F245" i="30"/>
  <c r="F244" i="30"/>
  <c r="K244" i="30" s="1"/>
  <c r="F243" i="30"/>
  <c r="K243" i="30" s="1"/>
  <c r="F242" i="30"/>
  <c r="K242" i="30" s="1"/>
  <c r="F241" i="30"/>
  <c r="K241" i="30" s="1"/>
  <c r="F240" i="30"/>
  <c r="K240" i="30" s="1"/>
  <c r="K239" i="30"/>
  <c r="F238" i="30"/>
  <c r="K238" i="30" s="1"/>
  <c r="F237" i="30"/>
  <c r="K237" i="30" s="1"/>
  <c r="F236" i="30"/>
  <c r="K236" i="30" s="1"/>
  <c r="F235" i="30"/>
  <c r="K235" i="30" s="1"/>
  <c r="F233" i="30"/>
  <c r="K233" i="30" s="1"/>
  <c r="F232" i="30"/>
  <c r="K232" i="30" s="1"/>
  <c r="J231" i="30"/>
  <c r="F231" i="30"/>
  <c r="J230" i="30"/>
  <c r="F230" i="30"/>
  <c r="J229" i="30"/>
  <c r="F229" i="30"/>
  <c r="K219" i="30"/>
  <c r="F219" i="30"/>
  <c r="J218" i="30"/>
  <c r="F218" i="30"/>
  <c r="J217" i="30"/>
  <c r="F217" i="30"/>
  <c r="J216" i="30"/>
  <c r="F216" i="30"/>
  <c r="J215" i="30"/>
  <c r="F215" i="30"/>
  <c r="F209" i="30"/>
  <c r="K209" i="30" s="1"/>
  <c r="J205" i="30"/>
  <c r="K205" i="30" s="1"/>
  <c r="E205" i="30"/>
  <c r="F204" i="30"/>
  <c r="K204" i="30" s="1"/>
  <c r="J202" i="30"/>
  <c r="F202" i="30"/>
  <c r="J201" i="30"/>
  <c r="F201" i="30"/>
  <c r="J200" i="30"/>
  <c r="F200" i="30"/>
  <c r="J198" i="30"/>
  <c r="F198" i="30"/>
  <c r="J197" i="30"/>
  <c r="F197" i="30"/>
  <c r="F196" i="30"/>
  <c r="J195" i="30"/>
  <c r="F195" i="30"/>
  <c r="J194" i="30"/>
  <c r="F194" i="30"/>
  <c r="J192" i="30"/>
  <c r="F192" i="30"/>
  <c r="J191" i="30"/>
  <c r="F191" i="30"/>
  <c r="J190" i="30"/>
  <c r="K190" i="30" s="1"/>
  <c r="J189" i="30"/>
  <c r="F189" i="30"/>
  <c r="F182" i="30"/>
  <c r="J181" i="30"/>
  <c r="F181" i="30"/>
  <c r="J180" i="30"/>
  <c r="F180" i="30"/>
  <c r="J178" i="30"/>
  <c r="K178" i="30" s="1"/>
  <c r="J177" i="30"/>
  <c r="F177" i="30"/>
  <c r="J176" i="30"/>
  <c r="K176" i="30" s="1"/>
  <c r="J175" i="30"/>
  <c r="F175" i="30"/>
  <c r="J174" i="30"/>
  <c r="F174" i="30"/>
  <c r="F173" i="30"/>
  <c r="J172" i="30"/>
  <c r="F172" i="30"/>
  <c r="J170" i="30"/>
  <c r="F170" i="30"/>
  <c r="J169" i="30"/>
  <c r="K169" i="30" s="1"/>
  <c r="J168" i="30"/>
  <c r="F168" i="30"/>
  <c r="F165" i="30"/>
  <c r="K165" i="30" s="1"/>
  <c r="J164" i="30"/>
  <c r="K164" i="30" s="1"/>
  <c r="F162" i="30"/>
  <c r="J162" i="30" s="1"/>
  <c r="K162" i="30" s="1"/>
  <c r="J160" i="30"/>
  <c r="F160" i="30"/>
  <c r="J159" i="30"/>
  <c r="F159" i="30"/>
  <c r="F157" i="30"/>
  <c r="F156" i="30"/>
  <c r="F155" i="30"/>
  <c r="J154" i="30"/>
  <c r="K154" i="30" s="1"/>
  <c r="J153" i="30"/>
  <c r="K153" i="30" s="1"/>
  <c r="J152" i="30"/>
  <c r="K152" i="30" s="1"/>
  <c r="K151" i="30"/>
  <c r="J150" i="30"/>
  <c r="K150" i="30" s="1"/>
  <c r="K147" i="30"/>
  <c r="J146" i="30"/>
  <c r="K146" i="30" s="1"/>
  <c r="E141" i="30"/>
  <c r="J140" i="30"/>
  <c r="K140" i="30" s="1"/>
  <c r="J138" i="30"/>
  <c r="F138" i="30"/>
  <c r="J136" i="30"/>
  <c r="F136" i="30"/>
  <c r="F135" i="30"/>
  <c r="J133" i="30"/>
  <c r="K133" i="30" s="1"/>
  <c r="J132" i="30"/>
  <c r="K132" i="30" s="1"/>
  <c r="E132" i="30"/>
  <c r="J131" i="30"/>
  <c r="F131" i="30"/>
  <c r="E129" i="30"/>
  <c r="J128" i="30"/>
  <c r="F128" i="30"/>
  <c r="J127" i="30"/>
  <c r="F127" i="30"/>
  <c r="J126" i="30"/>
  <c r="F126" i="30"/>
  <c r="J125" i="30"/>
  <c r="F125" i="30"/>
  <c r="J124" i="30"/>
  <c r="K124" i="30" s="1"/>
  <c r="J123" i="30"/>
  <c r="F123" i="30"/>
  <c r="J122" i="30"/>
  <c r="F122" i="30"/>
  <c r="F121" i="30"/>
  <c r="J120" i="30"/>
  <c r="F120" i="30"/>
  <c r="J119" i="30"/>
  <c r="F119" i="30"/>
  <c r="J118" i="30"/>
  <c r="F118" i="30"/>
  <c r="J117" i="30"/>
  <c r="F117" i="30"/>
  <c r="J116" i="30"/>
  <c r="F116" i="30"/>
  <c r="J114" i="30"/>
  <c r="F114" i="30"/>
  <c r="F113" i="30"/>
  <c r="K113" i="30" s="1"/>
  <c r="F111" i="30"/>
  <c r="J110" i="30"/>
  <c r="K110" i="30" s="1"/>
  <c r="E110" i="30"/>
  <c r="F108" i="30"/>
  <c r="F107" i="30"/>
  <c r="K107" i="30" s="1"/>
  <c r="F106" i="30"/>
  <c r="K106" i="30" s="1"/>
  <c r="J105" i="30"/>
  <c r="F105" i="30"/>
  <c r="J103" i="30"/>
  <c r="F103" i="30"/>
  <c r="J102" i="30"/>
  <c r="F102" i="30"/>
  <c r="J101" i="30"/>
  <c r="F101" i="30"/>
  <c r="J100" i="30"/>
  <c r="F100" i="30"/>
  <c r="F98" i="30"/>
  <c r="F97" i="30"/>
  <c r="J96" i="30"/>
  <c r="K96" i="30" s="1"/>
  <c r="J94" i="30"/>
  <c r="F94" i="30"/>
  <c r="F86" i="30"/>
  <c r="D85" i="30"/>
  <c r="J84" i="30"/>
  <c r="J82" i="30"/>
  <c r="K82" i="30" s="1"/>
  <c r="J79" i="30"/>
  <c r="F79" i="30"/>
  <c r="F78" i="30"/>
  <c r="F77" i="30"/>
  <c r="K77" i="30" s="1"/>
  <c r="E76" i="30"/>
  <c r="F73" i="30"/>
  <c r="J72" i="30"/>
  <c r="F72" i="30"/>
  <c r="F71" i="30"/>
  <c r="J70" i="30"/>
  <c r="F70" i="30"/>
  <c r="F66" i="30"/>
  <c r="K66" i="30" s="1"/>
  <c r="F64" i="30"/>
  <c r="K64" i="30" s="1"/>
  <c r="F63" i="30"/>
  <c r="K63" i="30" s="1"/>
  <c r="F62" i="30"/>
  <c r="J61" i="30"/>
  <c r="F61" i="30"/>
  <c r="K60" i="30"/>
  <c r="J59" i="30"/>
  <c r="F59" i="30"/>
  <c r="K58" i="30"/>
  <c r="K57" i="30"/>
  <c r="F56" i="30"/>
  <c r="J55" i="30"/>
  <c r="F55" i="30"/>
  <c r="F54" i="30"/>
  <c r="K54" i="30" s="1"/>
  <c r="F53" i="30"/>
  <c r="K53" i="30" s="1"/>
  <c r="J52" i="30"/>
  <c r="F52" i="30"/>
  <c r="J51" i="30"/>
  <c r="K51" i="30" s="1"/>
  <c r="F47" i="30"/>
  <c r="J46" i="30"/>
  <c r="F46" i="30"/>
  <c r="J45" i="30"/>
  <c r="F45" i="30"/>
  <c r="J44" i="30"/>
  <c r="F44" i="30"/>
  <c r="J43" i="30"/>
  <c r="F43" i="30"/>
  <c r="J42" i="30"/>
  <c r="F42" i="30"/>
  <c r="J41" i="30"/>
  <c r="F41" i="30"/>
  <c r="F36" i="30"/>
  <c r="F35" i="30"/>
  <c r="K34" i="30"/>
  <c r="F33" i="30"/>
  <c r="K33" i="30" s="1"/>
  <c r="J31" i="30"/>
  <c r="F31" i="30"/>
  <c r="K31" i="30" s="1"/>
  <c r="J30" i="30"/>
  <c r="F30" i="30"/>
  <c r="F29" i="30"/>
  <c r="J25" i="30"/>
  <c r="F25" i="30"/>
  <c r="J24" i="30"/>
  <c r="F24" i="30"/>
  <c r="J23" i="30"/>
  <c r="F23" i="30"/>
  <c r="J22" i="30"/>
  <c r="F22" i="30"/>
  <c r="J21" i="30"/>
  <c r="F21" i="30"/>
  <c r="F20" i="30"/>
  <c r="F19" i="30"/>
  <c r="J17" i="30"/>
  <c r="K17" i="30" s="1"/>
  <c r="F16" i="30"/>
  <c r="J15" i="30"/>
  <c r="F15" i="30"/>
  <c r="J14" i="30"/>
  <c r="F14" i="30"/>
  <c r="J13" i="30"/>
  <c r="F13" i="30"/>
  <c r="J12" i="30"/>
  <c r="F12" i="30"/>
  <c r="J11" i="30"/>
  <c r="F11" i="30"/>
  <c r="J10" i="30"/>
  <c r="F10" i="30"/>
  <c r="J9" i="30"/>
  <c r="K9" i="30" s="1"/>
  <c r="J5" i="30"/>
  <c r="K5" i="30" s="1"/>
  <c r="J4" i="30"/>
  <c r="K4" i="30" s="1"/>
  <c r="J3" i="30"/>
  <c r="F3" i="30"/>
  <c r="F2" i="30"/>
  <c r="K585" i="28"/>
  <c r="F585" i="28"/>
  <c r="K628" i="28"/>
  <c r="K77" i="28"/>
  <c r="K707" i="28"/>
  <c r="K659" i="30" l="1"/>
  <c r="K19" i="30"/>
  <c r="K421" i="30"/>
  <c r="L401" i="28"/>
  <c r="L263" i="28"/>
  <c r="L275" i="28"/>
  <c r="L277" i="28"/>
  <c r="L299" i="28"/>
  <c r="L400" i="28"/>
  <c r="L237" i="28"/>
  <c r="L246" i="28"/>
  <c r="L302" i="28"/>
  <c r="L340" i="28"/>
  <c r="L349" i="28"/>
  <c r="L351" i="28"/>
  <c r="L360" i="28"/>
  <c r="L362" i="28"/>
  <c r="L377" i="28"/>
  <c r="L393" i="28"/>
  <c r="L405" i="28"/>
  <c r="K650" i="30"/>
  <c r="K539" i="30"/>
  <c r="L261" i="28"/>
  <c r="L282" i="28"/>
  <c r="L287" i="28"/>
  <c r="L289" i="28"/>
  <c r="L305" i="28"/>
  <c r="L328" i="28"/>
  <c r="L330" i="28"/>
  <c r="L356" i="28"/>
  <c r="L358" i="28"/>
  <c r="L375" i="28"/>
  <c r="L338" i="28"/>
  <c r="L262" i="28"/>
  <c r="L283" i="28"/>
  <c r="L310" i="28"/>
  <c r="L316" i="28"/>
  <c r="L329" i="28"/>
  <c r="L331" i="28"/>
  <c r="L335" i="28"/>
  <c r="L381" i="28"/>
  <c r="K52" i="30"/>
  <c r="K55" i="30"/>
  <c r="K100" i="30"/>
  <c r="K122" i="30"/>
  <c r="K170" i="30"/>
  <c r="K198" i="30"/>
  <c r="K201" i="30"/>
  <c r="K230" i="30"/>
  <c r="K245" i="30"/>
  <c r="K251" i="30"/>
  <c r="K303" i="30"/>
  <c r="K334" i="30"/>
  <c r="K59" i="30"/>
  <c r="K256" i="30"/>
  <c r="K247" i="30"/>
  <c r="K249" i="30"/>
  <c r="K343" i="30"/>
  <c r="K354" i="30"/>
  <c r="K280" i="30"/>
  <c r="K298" i="30"/>
  <c r="K308" i="30"/>
  <c r="K532" i="30"/>
  <c r="K565" i="30"/>
  <c r="K439" i="30"/>
  <c r="K259" i="30"/>
  <c r="K10" i="30"/>
  <c r="K255" i="30"/>
  <c r="K442" i="30"/>
  <c r="K627" i="30"/>
  <c r="K270" i="30"/>
  <c r="K628" i="30"/>
  <c r="K125" i="30"/>
  <c r="K127" i="30"/>
  <c r="K295" i="30"/>
  <c r="K297" i="30"/>
  <c r="K307" i="30"/>
  <c r="K311" i="30"/>
  <c r="K324" i="30"/>
  <c r="F397" i="30"/>
  <c r="K397" i="30" s="1"/>
  <c r="K435" i="30"/>
  <c r="K519" i="30"/>
  <c r="K524" i="30"/>
  <c r="K570" i="30"/>
  <c r="K94" i="30"/>
  <c r="K462" i="30"/>
  <c r="K473" i="30"/>
  <c r="K577" i="30"/>
  <c r="K454" i="30"/>
  <c r="K606" i="30"/>
  <c r="K271" i="30"/>
  <c r="K429" i="30"/>
  <c r="K11" i="30"/>
  <c r="K120" i="30"/>
  <c r="K301" i="30"/>
  <c r="K310" i="30"/>
  <c r="K319" i="30"/>
  <c r="K323" i="30"/>
  <c r="K412" i="30"/>
  <c r="K21" i="30"/>
  <c r="K281" i="30"/>
  <c r="K320" i="30"/>
  <c r="K84" i="30"/>
  <c r="K97" i="30"/>
  <c r="K202" i="30"/>
  <c r="K216" i="30"/>
  <c r="K261" i="30"/>
  <c r="K296" i="30"/>
  <c r="K304" i="30"/>
  <c r="K313" i="30"/>
  <c r="K315" i="30"/>
  <c r="K317" i="30"/>
  <c r="K329" i="30"/>
  <c r="K333" i="30"/>
  <c r="K342" i="30"/>
  <c r="K351" i="30"/>
  <c r="K374" i="30"/>
  <c r="K432" i="30"/>
  <c r="K516" i="30"/>
  <c r="K528" i="30"/>
  <c r="K579" i="30"/>
  <c r="K337" i="30"/>
  <c r="K350" i="30"/>
  <c r="K22" i="30"/>
  <c r="K24" i="30"/>
  <c r="K217" i="30"/>
  <c r="K346" i="30"/>
  <c r="K353" i="30"/>
  <c r="K373" i="30"/>
  <c r="K563" i="30"/>
  <c r="K257" i="30"/>
  <c r="K279" i="30"/>
  <c r="K283" i="30"/>
  <c r="K314" i="30"/>
  <c r="K457" i="30"/>
  <c r="K486" i="30"/>
  <c r="K581" i="30"/>
  <c r="K583" i="30"/>
  <c r="K284" i="30"/>
  <c r="K466" i="30"/>
  <c r="K489" i="30"/>
  <c r="K492" i="30"/>
  <c r="K410" i="30"/>
  <c r="K407" i="30"/>
  <c r="K370" i="30"/>
  <c r="K487" i="30"/>
  <c r="K572" i="30"/>
  <c r="K574" i="30"/>
  <c r="K589" i="30"/>
  <c r="K25" i="30"/>
  <c r="K61" i="30"/>
  <c r="K3" i="30"/>
  <c r="K15" i="30"/>
  <c r="K42" i="30"/>
  <c r="K2" i="30"/>
  <c r="K12" i="30"/>
  <c r="K14" i="30"/>
  <c r="K35" i="30"/>
  <c r="K41" i="30"/>
  <c r="K43" i="30"/>
  <c r="K45" i="30"/>
  <c r="K79" i="30"/>
  <c r="K117" i="30"/>
  <c r="K159" i="30"/>
  <c r="K215" i="30"/>
  <c r="K218" i="30"/>
  <c r="K229" i="30"/>
  <c r="K254" i="30"/>
  <c r="K338" i="30"/>
  <c r="K344" i="30"/>
  <c r="K450" i="30"/>
  <c r="K529" i="30"/>
  <c r="K552" i="30"/>
  <c r="K582" i="30"/>
  <c r="K586" i="30"/>
  <c r="K603" i="30"/>
  <c r="K386" i="30"/>
  <c r="K388" i="30"/>
  <c r="K390" i="30"/>
  <c r="K437" i="30"/>
  <c r="K385" i="30"/>
  <c r="K376" i="30"/>
  <c r="K417" i="30"/>
  <c r="K428" i="30"/>
  <c r="K434" i="30"/>
  <c r="K469" i="30"/>
  <c r="F601" i="30"/>
  <c r="K601" i="30" s="1"/>
  <c r="K28" i="30"/>
  <c r="K114" i="30"/>
  <c r="K123" i="30"/>
  <c r="K131" i="30"/>
  <c r="K138" i="30"/>
  <c r="K180" i="30"/>
  <c r="K191" i="30"/>
  <c r="K194" i="30"/>
  <c r="K231" i="30"/>
  <c r="K269" i="30"/>
  <c r="K278" i="30"/>
  <c r="K299" i="30"/>
  <c r="K306" i="30"/>
  <c r="K309" i="30"/>
  <c r="K316" i="30"/>
  <c r="K325" i="30"/>
  <c r="K328" i="30"/>
  <c r="K369" i="30"/>
  <c r="K389" i="30"/>
  <c r="K430" i="30"/>
  <c r="K436" i="30"/>
  <c r="K443" i="30"/>
  <c r="K453" i="30"/>
  <c r="K472" i="30"/>
  <c r="K478" i="30"/>
  <c r="K490" i="30"/>
  <c r="K518" i="30"/>
  <c r="K607" i="30"/>
  <c r="K30" i="30"/>
  <c r="K44" i="30"/>
  <c r="K101" i="30"/>
  <c r="K116" i="30"/>
  <c r="K128" i="30"/>
  <c r="K160" i="30"/>
  <c r="K175" i="30"/>
  <c r="K177" i="30"/>
  <c r="K197" i="30"/>
  <c r="K200" i="30"/>
  <c r="K248" i="30"/>
  <c r="K253" i="30"/>
  <c r="K263" i="30"/>
  <c r="K273" i="30"/>
  <c r="K275" i="30"/>
  <c r="K285" i="30"/>
  <c r="K336" i="30"/>
  <c r="K352" i="30"/>
  <c r="K372" i="30"/>
  <c r="K375" i="30"/>
  <c r="K391" i="30"/>
  <c r="K413" i="30"/>
  <c r="K418" i="30"/>
  <c r="K433" i="30"/>
  <c r="K451" i="30"/>
  <c r="K456" i="30"/>
  <c r="K461" i="30"/>
  <c r="K465" i="30"/>
  <c r="K470" i="30"/>
  <c r="K523" i="30"/>
  <c r="K531" i="30"/>
  <c r="K558" i="30"/>
  <c r="K576" i="30"/>
  <c r="K580" i="30"/>
  <c r="K604" i="30"/>
  <c r="K611" i="30"/>
  <c r="K615" i="30"/>
  <c r="K618" i="30"/>
  <c r="L268" i="28"/>
  <c r="L272" i="28"/>
  <c r="L279" i="28"/>
  <c r="L281" i="28"/>
  <c r="L312" i="28"/>
  <c r="L315" i="28"/>
  <c r="L333" i="28"/>
  <c r="L343" i="28"/>
  <c r="L348" i="28"/>
  <c r="L354" i="28"/>
  <c r="L357" i="28"/>
  <c r="L370" i="28"/>
  <c r="L373" i="28"/>
  <c r="L379" i="28"/>
  <c r="L382" i="28"/>
  <c r="L388" i="28"/>
  <c r="L397" i="28"/>
  <c r="L403" i="28"/>
  <c r="L318" i="28"/>
  <c r="L346" i="28"/>
  <c r="L383" i="28"/>
  <c r="L394" i="28"/>
  <c r="L230" i="28"/>
  <c r="L233" i="28"/>
  <c r="L244" i="28"/>
  <c r="L257" i="28"/>
  <c r="L259" i="28"/>
  <c r="L265" i="28"/>
  <c r="L267" i="28"/>
  <c r="L271" i="28"/>
  <c r="L280" i="28"/>
  <c r="L284" i="28"/>
  <c r="L300" i="28"/>
  <c r="L311" i="28"/>
  <c r="L313" i="28"/>
  <c r="L314" i="28"/>
  <c r="L336" i="28"/>
  <c r="L342" i="28"/>
  <c r="L344" i="28"/>
  <c r="L355" i="28"/>
  <c r="L365" i="28"/>
  <c r="L368" i="28"/>
  <c r="L374" i="28"/>
  <c r="L380" i="28"/>
  <c r="L386" i="28"/>
  <c r="L396" i="28"/>
  <c r="L402" i="28"/>
  <c r="F499" i="30"/>
  <c r="F500" i="30" s="1"/>
  <c r="K72" i="30"/>
  <c r="K111" i="30"/>
  <c r="K119" i="30"/>
  <c r="K189" i="30"/>
  <c r="K46" i="30"/>
  <c r="K70" i="30"/>
  <c r="K118" i="30"/>
  <c r="K13" i="30"/>
  <c r="K23" i="30"/>
  <c r="K36" i="30"/>
  <c r="K102" i="30"/>
  <c r="K105" i="30"/>
  <c r="K108" i="30"/>
  <c r="K126" i="30"/>
  <c r="K172" i="30"/>
  <c r="K136" i="30"/>
  <c r="K168" i="30"/>
  <c r="K174" i="30"/>
  <c r="K181" i="30"/>
  <c r="K192" i="30"/>
  <c r="L585" i="28"/>
  <c r="F562" i="28"/>
  <c r="F561" i="28"/>
  <c r="F426" i="28"/>
  <c r="F502" i="30" l="1"/>
  <c r="K494" i="30" s="1"/>
  <c r="K475" i="28"/>
  <c r="L475" i="28" s="1"/>
  <c r="K179" i="28"/>
  <c r="K53" i="28"/>
  <c r="K83" i="28"/>
  <c r="K687" i="28"/>
  <c r="K206" i="28"/>
  <c r="L206" i="28" s="1"/>
  <c r="D472" i="28"/>
  <c r="E472" i="28" s="1"/>
  <c r="K726" i="28"/>
  <c r="K563" i="28"/>
  <c r="K80" i="28"/>
  <c r="F725" i="28"/>
  <c r="F724" i="28"/>
  <c r="F157" i="28"/>
  <c r="D529" i="28"/>
  <c r="F529" i="28" s="1"/>
  <c r="F531" i="28"/>
  <c r="D664" i="28"/>
  <c r="K182" i="28"/>
  <c r="D530" i="28" l="1"/>
  <c r="D532" i="28" s="1"/>
  <c r="F178" i="28"/>
  <c r="F177" i="28"/>
  <c r="F613" i="28"/>
  <c r="F537" i="28" l="1"/>
  <c r="K723" i="28" l="1"/>
  <c r="F722" i="28"/>
  <c r="K491" i="28"/>
  <c r="K63" i="28" l="1"/>
  <c r="K468" i="28"/>
  <c r="L468" i="28" s="1"/>
  <c r="K534" i="28"/>
  <c r="K484" i="28"/>
  <c r="K76" i="28"/>
  <c r="K642" i="28"/>
  <c r="F61" i="28"/>
  <c r="L61" i="28" s="1"/>
  <c r="F60" i="28"/>
  <c r="L60" i="28" s="1"/>
  <c r="F721" i="28"/>
  <c r="K99" i="28"/>
  <c r="K105" i="28"/>
  <c r="K210" i="28"/>
  <c r="K609" i="28"/>
  <c r="K48" i="28"/>
  <c r="K220" i="28"/>
  <c r="K713" i="28"/>
  <c r="L713" i="28" s="1"/>
  <c r="K720" i="28"/>
  <c r="L720" i="28" s="1"/>
  <c r="F719" i="28"/>
  <c r="F718" i="28"/>
  <c r="F717" i="28"/>
  <c r="F641" i="28"/>
  <c r="G639" i="28" s="1"/>
  <c r="K633" i="28" l="1"/>
  <c r="K618" i="28"/>
  <c r="L617" i="28" s="1"/>
  <c r="K716" i="28"/>
  <c r="F12" i="28"/>
  <c r="K467" i="28"/>
  <c r="F609" i="28"/>
  <c r="F714" i="28"/>
  <c r="L39" i="28"/>
  <c r="K38" i="28"/>
  <c r="F38" i="28"/>
  <c r="K51" i="28"/>
  <c r="F52" i="28"/>
  <c r="K694" i="28"/>
  <c r="K449" i="28"/>
  <c r="K114" i="28"/>
  <c r="K493" i="28"/>
  <c r="K506" i="28"/>
  <c r="L38" i="28" l="1"/>
  <c r="F429" i="28" l="1"/>
  <c r="F708" i="28"/>
  <c r="K666" i="28" l="1"/>
  <c r="F552" i="28"/>
  <c r="K34" i="28"/>
  <c r="F568" i="20"/>
  <c r="F707" i="28"/>
  <c r="F49" i="28"/>
  <c r="F185" i="28"/>
  <c r="K665" i="28"/>
  <c r="K125" i="28"/>
  <c r="K517" i="28" l="1"/>
  <c r="K530" i="28"/>
  <c r="K150" i="28"/>
  <c r="L150" i="28" s="1"/>
  <c r="K561" i="28"/>
  <c r="K460" i="28"/>
  <c r="K75" i="28"/>
  <c r="L463" i="28"/>
  <c r="K463" i="28"/>
  <c r="K620" i="28"/>
  <c r="K46" i="28"/>
  <c r="L46" i="28" s="1"/>
  <c r="D706" i="28"/>
  <c r="K90" i="28"/>
  <c r="K454" i="28"/>
  <c r="K444" i="28"/>
  <c r="K161" i="28"/>
  <c r="G163" i="28"/>
  <c r="K456" i="28"/>
  <c r="B30" i="8" l="1"/>
  <c r="B29" i="8"/>
  <c r="L698" i="28" l="1"/>
  <c r="K698" i="28"/>
  <c r="K490" i="28"/>
  <c r="L490" i="28" s="1"/>
  <c r="K643" i="28"/>
  <c r="K439" i="28"/>
  <c r="K224" i="28"/>
  <c r="F629" i="28"/>
  <c r="L431" i="20"/>
  <c r="F432" i="20"/>
  <c r="F450" i="28"/>
  <c r="K631" i="28"/>
  <c r="K2" i="28"/>
  <c r="K505" i="28"/>
  <c r="F43" i="28"/>
  <c r="K703" i="28" l="1"/>
  <c r="L703" i="28" s="1"/>
  <c r="K702" i="28"/>
  <c r="L702" i="28" s="1"/>
  <c r="K701" i="28"/>
  <c r="L701" i="28" s="1"/>
  <c r="K603" i="28"/>
  <c r="K500" i="28"/>
  <c r="K421" i="28"/>
  <c r="D441" i="28" l="1"/>
  <c r="F441" i="28" s="1"/>
  <c r="K62" i="28" l="1"/>
  <c r="F694" i="28"/>
  <c r="L694" i="28" s="1"/>
  <c r="F693" i="28"/>
  <c r="F689" i="28"/>
  <c r="F416" i="28"/>
  <c r="L416" i="28" s="1"/>
  <c r="F89" i="28"/>
  <c r="F699" i="28"/>
  <c r="F637" i="28"/>
  <c r="F698" i="28"/>
  <c r="K696" i="28" l="1"/>
  <c r="K689" i="28"/>
  <c r="K545" i="28"/>
  <c r="K605" i="28"/>
  <c r="K550" i="28"/>
  <c r="F550" i="28"/>
  <c r="K199" i="28"/>
  <c r="L199" i="28" s="1"/>
  <c r="K217" i="28"/>
  <c r="F502" i="28"/>
  <c r="F180" i="28"/>
  <c r="F686" i="28"/>
  <c r="K513" i="28" l="1"/>
  <c r="F515" i="28"/>
  <c r="K88" i="28"/>
  <c r="K577" i="28" l="1"/>
  <c r="L577" i="28" s="1"/>
  <c r="F685" i="28"/>
  <c r="K519" i="28"/>
  <c r="F409" i="3"/>
  <c r="F472" i="20"/>
  <c r="F488" i="28"/>
  <c r="L456" i="28"/>
  <c r="K190" i="28"/>
  <c r="K175" i="28"/>
  <c r="F201" i="28"/>
  <c r="F683" i="28"/>
  <c r="K520" i="28"/>
  <c r="K648" i="28"/>
  <c r="F579" i="28"/>
  <c r="F577" i="28"/>
  <c r="F682" i="28"/>
  <c r="F681" i="28"/>
  <c r="F680" i="28"/>
  <c r="E147" i="28"/>
  <c r="F548" i="28"/>
  <c r="F19" i="28"/>
  <c r="F20" i="28"/>
  <c r="E16" i="28"/>
  <c r="F679" i="28"/>
  <c r="K652" i="28"/>
  <c r="F652" i="28"/>
  <c r="L652" i="28" l="1"/>
  <c r="B24" i="25"/>
  <c r="F88" i="28" l="1"/>
  <c r="L88" i="28" s="1"/>
  <c r="F490" i="28" l="1"/>
  <c r="F489" i="28"/>
  <c r="K582" i="28"/>
  <c r="F678" i="28"/>
  <c r="F549" i="28"/>
  <c r="F523" i="20" l="1"/>
  <c r="K677" i="28" l="1"/>
  <c r="L677" i="28" s="1"/>
  <c r="L99" i="28"/>
  <c r="K98" i="28"/>
  <c r="K165" i="28" l="1"/>
  <c r="K164" i="28"/>
  <c r="D509" i="28" l="1"/>
  <c r="F509" i="28" s="1"/>
  <c r="K152" i="28" l="1"/>
  <c r="K606" i="28"/>
  <c r="K586" i="28"/>
  <c r="K676" i="28"/>
  <c r="L676" i="28" s="1"/>
  <c r="F640" i="28"/>
  <c r="K640" i="28"/>
  <c r="K204" i="28"/>
  <c r="L204" i="28" s="1"/>
  <c r="F526" i="20"/>
  <c r="K675" i="28"/>
  <c r="L675" i="28" s="1"/>
  <c r="K72" i="28"/>
  <c r="L640" i="28" l="1"/>
  <c r="K674" i="28"/>
  <c r="L674" i="28" s="1"/>
  <c r="K668" i="28"/>
  <c r="L668" i="28" s="1"/>
  <c r="K216" i="20"/>
  <c r="L216" i="20" s="1"/>
  <c r="B65" i="24"/>
  <c r="B75" i="24" s="1"/>
  <c r="D70" i="24"/>
  <c r="B74" i="24" s="1"/>
  <c r="K148" i="28"/>
  <c r="B76" i="24" l="1"/>
  <c r="F554" i="28"/>
  <c r="F225" i="28" l="1"/>
  <c r="L563" i="28"/>
  <c r="K115" i="28"/>
  <c r="L115" i="28" s="1"/>
  <c r="F586" i="28" l="1"/>
  <c r="L586" i="28" s="1"/>
  <c r="E12" i="23" l="1"/>
  <c r="E29" i="23"/>
  <c r="F13" i="23"/>
  <c r="F522" i="28" l="1"/>
  <c r="K667" i="28"/>
  <c r="F667" i="28"/>
  <c r="K95" i="28"/>
  <c r="K108" i="28"/>
  <c r="F24" i="28"/>
  <c r="K23" i="28"/>
  <c r="L648" i="28"/>
  <c r="K221" i="28"/>
  <c r="L221" i="28" s="1"/>
  <c r="K614" i="28"/>
  <c r="L667" i="28" l="1"/>
  <c r="K487" i="28"/>
  <c r="E468" i="28"/>
  <c r="K448" i="28"/>
  <c r="F439" i="28"/>
  <c r="L439" i="28" s="1"/>
  <c r="K223" i="28" l="1"/>
  <c r="K163" i="28"/>
  <c r="L163" i="28" s="1"/>
  <c r="K121" i="28"/>
  <c r="L121" i="28" s="1"/>
  <c r="K74" i="28"/>
  <c r="K54" i="28"/>
  <c r="K42" i="28"/>
  <c r="K10" i="28"/>
  <c r="K4" i="28"/>
  <c r="K5" i="28"/>
  <c r="L5" i="28" s="1"/>
  <c r="K6" i="28"/>
  <c r="L6" i="28" s="1"/>
  <c r="K7" i="28"/>
  <c r="L7" i="28" s="1"/>
  <c r="K8" i="28"/>
  <c r="F647" i="28"/>
  <c r="F644" i="28"/>
  <c r="D645" i="28" s="1"/>
  <c r="F643" i="28"/>
  <c r="L643" i="28" s="1"/>
  <c r="K639" i="28"/>
  <c r="L639" i="28" s="1"/>
  <c r="K638" i="28"/>
  <c r="L638" i="28" s="1"/>
  <c r="K637" i="28"/>
  <c r="L637" i="28" s="1"/>
  <c r="K636" i="28"/>
  <c r="L636" i="28" s="1"/>
  <c r="K635" i="28"/>
  <c r="F634" i="28"/>
  <c r="F633" i="28"/>
  <c r="L633" i="28" s="1"/>
  <c r="F631" i="28"/>
  <c r="L631" i="28" s="1"/>
  <c r="K630" i="28"/>
  <c r="F630" i="28"/>
  <c r="L630" i="28" s="1"/>
  <c r="K629" i="28"/>
  <c r="L629" i="28" s="1"/>
  <c r="F628" i="28"/>
  <c r="D627" i="28"/>
  <c r="F626" i="28"/>
  <c r="F625" i="28"/>
  <c r="F624" i="28"/>
  <c r="F623" i="28"/>
  <c r="F622" i="28"/>
  <c r="K621" i="28"/>
  <c r="L621" i="28" s="1"/>
  <c r="F620" i="28"/>
  <c r="L620" i="28" s="1"/>
  <c r="F614" i="28"/>
  <c r="L614" i="28" s="1"/>
  <c r="K611" i="28"/>
  <c r="F611" i="28"/>
  <c r="L609" i="28"/>
  <c r="F606" i="28"/>
  <c r="L606" i="28" s="1"/>
  <c r="F605" i="28"/>
  <c r="L605" i="28" s="1"/>
  <c r="K604" i="28"/>
  <c r="F604" i="28"/>
  <c r="F603" i="28"/>
  <c r="L603" i="28" s="1"/>
  <c r="K601" i="28"/>
  <c r="F601" i="28"/>
  <c r="K600" i="28"/>
  <c r="F600" i="28"/>
  <c r="K598" i="28"/>
  <c r="F598" i="28"/>
  <c r="K597" i="28"/>
  <c r="L597" i="28" s="1"/>
  <c r="K596" i="28"/>
  <c r="F596" i="28"/>
  <c r="K595" i="28"/>
  <c r="L595" i="28" s="1"/>
  <c r="K594" i="28"/>
  <c r="F594" i="28"/>
  <c r="K593" i="28"/>
  <c r="L593" i="28" s="1"/>
  <c r="K591" i="28"/>
  <c r="F591" i="28"/>
  <c r="K590" i="28"/>
  <c r="K589" i="28"/>
  <c r="F589" i="28"/>
  <c r="K588" i="28"/>
  <c r="L588" i="28" s="1"/>
  <c r="K587" i="28"/>
  <c r="F587" i="28"/>
  <c r="F582" i="28"/>
  <c r="L582" i="28" s="1"/>
  <c r="K581" i="28"/>
  <c r="F581" i="28"/>
  <c r="K580" i="28"/>
  <c r="L580" i="28" s="1"/>
  <c r="K576" i="28"/>
  <c r="L576" i="28" s="1"/>
  <c r="K575" i="28"/>
  <c r="L575" i="28" s="1"/>
  <c r="K574" i="28"/>
  <c r="F574" i="28"/>
  <c r="L561" i="28"/>
  <c r="K559" i="28"/>
  <c r="L559" i="28" s="1"/>
  <c r="K557" i="28"/>
  <c r="L557" i="28" s="1"/>
  <c r="K555" i="28"/>
  <c r="L555" i="28" s="1"/>
  <c r="K554" i="28"/>
  <c r="L554" i="28" s="1"/>
  <c r="K553" i="28"/>
  <c r="F553" i="28"/>
  <c r="L550" i="28"/>
  <c r="K549" i="28"/>
  <c r="L549" i="28" s="1"/>
  <c r="F545" i="28"/>
  <c r="K544" i="28"/>
  <c r="L544" i="28" s="1"/>
  <c r="F543" i="28"/>
  <c r="L543" i="28" s="1"/>
  <c r="K542" i="28"/>
  <c r="F542" i="28"/>
  <c r="K541" i="28"/>
  <c r="F541" i="28"/>
  <c r="K540" i="28"/>
  <c r="L540" i="28" s="1"/>
  <c r="K539" i="28"/>
  <c r="L539" i="28" s="1"/>
  <c r="F539" i="28"/>
  <c r="K538" i="28"/>
  <c r="L538" i="28" s="1"/>
  <c r="K537" i="28"/>
  <c r="L537" i="28" s="1"/>
  <c r="K536" i="28"/>
  <c r="F536" i="28"/>
  <c r="K535" i="28"/>
  <c r="L535" i="28" s="1"/>
  <c r="F534" i="28"/>
  <c r="L534" i="28" s="1"/>
  <c r="F533" i="28"/>
  <c r="F528" i="28"/>
  <c r="F527" i="28"/>
  <c r="F526" i="28"/>
  <c r="F525" i="28"/>
  <c r="F524" i="28"/>
  <c r="F530" i="28" s="1"/>
  <c r="F532" i="28" s="1"/>
  <c r="K523" i="28"/>
  <c r="L523" i="28" s="1"/>
  <c r="F523" i="28"/>
  <c r="K522" i="28"/>
  <c r="L522" i="28" s="1"/>
  <c r="F520" i="28"/>
  <c r="L520" i="28" s="1"/>
  <c r="F519" i="28"/>
  <c r="L519" i="28" s="1"/>
  <c r="F518" i="28"/>
  <c r="F517" i="28"/>
  <c r="K516" i="28"/>
  <c r="F516" i="28"/>
  <c r="F513" i="28"/>
  <c r="K512" i="28"/>
  <c r="L512" i="28" s="1"/>
  <c r="E512" i="28"/>
  <c r="F511" i="28"/>
  <c r="L511" i="28" s="1"/>
  <c r="F508" i="28"/>
  <c r="K507" i="28"/>
  <c r="F507" i="28"/>
  <c r="L502" i="28"/>
  <c r="L500" i="28"/>
  <c r="K499" i="28"/>
  <c r="F499" i="28"/>
  <c r="K498" i="28"/>
  <c r="F498" i="28"/>
  <c r="F497" i="28"/>
  <c r="K496" i="28"/>
  <c r="F496" i="28"/>
  <c r="K495" i="28"/>
  <c r="F495" i="28"/>
  <c r="K494" i="28"/>
  <c r="L494" i="28" s="1"/>
  <c r="F493" i="28"/>
  <c r="L493" i="28" s="1"/>
  <c r="K492" i="28"/>
  <c r="F492" i="28"/>
  <c r="K489" i="28"/>
  <c r="K488" i="28"/>
  <c r="L487" i="28"/>
  <c r="F486" i="28"/>
  <c r="L486" i="28" s="1"/>
  <c r="K485" i="28"/>
  <c r="F485" i="28"/>
  <c r="F484" i="28"/>
  <c r="L484" i="28" s="1"/>
  <c r="K483" i="28"/>
  <c r="F483" i="28"/>
  <c r="K482" i="28"/>
  <c r="F482" i="28"/>
  <c r="F481" i="28"/>
  <c r="K480" i="28"/>
  <c r="F480" i="28"/>
  <c r="K479" i="28"/>
  <c r="F479" i="28"/>
  <c r="K473" i="28"/>
  <c r="L473" i="28" s="1"/>
  <c r="F467" i="28"/>
  <c r="L467" i="28" s="1"/>
  <c r="K466" i="28"/>
  <c r="F466" i="28"/>
  <c r="K464" i="28"/>
  <c r="L464" i="28" s="1"/>
  <c r="K462" i="28"/>
  <c r="F462" i="28"/>
  <c r="F461" i="28"/>
  <c r="F460" i="28"/>
  <c r="K455" i="28"/>
  <c r="F455" i="28"/>
  <c r="F454" i="28"/>
  <c r="K453" i="28"/>
  <c r="F453" i="28"/>
  <c r="K452" i="28"/>
  <c r="F452" i="28"/>
  <c r="K451" i="28"/>
  <c r="F451" i="28"/>
  <c r="F449" i="28"/>
  <c r="L449" i="28" s="1"/>
  <c r="F448" i="28"/>
  <c r="K447" i="28"/>
  <c r="F447" i="28"/>
  <c r="F445" i="28"/>
  <c r="F444" i="28"/>
  <c r="K438" i="28"/>
  <c r="F438" i="28"/>
  <c r="K437" i="28"/>
  <c r="F437" i="28"/>
  <c r="F436" i="28"/>
  <c r="K435" i="28"/>
  <c r="L435" i="28" s="1"/>
  <c r="F434" i="28"/>
  <c r="K433" i="28"/>
  <c r="F433" i="28"/>
  <c r="K432" i="28"/>
  <c r="F432" i="28"/>
  <c r="K431" i="28"/>
  <c r="L431" i="28" s="1"/>
  <c r="K430" i="28"/>
  <c r="F430" i="28"/>
  <c r="K428" i="28"/>
  <c r="F428" i="28"/>
  <c r="K427" i="28"/>
  <c r="F427" i="28"/>
  <c r="F425" i="28"/>
  <c r="F423" i="28"/>
  <c r="F422" i="28"/>
  <c r="F421" i="28"/>
  <c r="K420" i="28"/>
  <c r="F420" i="28"/>
  <c r="K419" i="28"/>
  <c r="F419" i="28"/>
  <c r="K418" i="28"/>
  <c r="F418" i="28"/>
  <c r="K417" i="28"/>
  <c r="F417" i="28"/>
  <c r="F415" i="28"/>
  <c r="L415" i="28" s="1"/>
  <c r="K414" i="28"/>
  <c r="F414" i="28"/>
  <c r="K226" i="28"/>
  <c r="F226" i="28"/>
  <c r="F223" i="28"/>
  <c r="L224" i="28" s="1"/>
  <c r="K222" i="28"/>
  <c r="F222" i="28"/>
  <c r="F220" i="28"/>
  <c r="L220" i="28" s="1"/>
  <c r="K218" i="28"/>
  <c r="F218" i="28"/>
  <c r="F217" i="28"/>
  <c r="L217" i="28" s="1"/>
  <c r="K216" i="28"/>
  <c r="L216" i="28" s="1"/>
  <c r="K215" i="28"/>
  <c r="F215" i="28"/>
  <c r="F214" i="28"/>
  <c r="K213" i="28"/>
  <c r="F213" i="28"/>
  <c r="K212" i="28"/>
  <c r="F212" i="28"/>
  <c r="L210" i="28"/>
  <c r="K208" i="28"/>
  <c r="F208" i="28"/>
  <c r="K207" i="28"/>
  <c r="F207" i="28"/>
  <c r="F204" i="28"/>
  <c r="K203" i="28"/>
  <c r="F203" i="28"/>
  <c r="K202" i="28"/>
  <c r="F202" i="28"/>
  <c r="F198" i="28"/>
  <c r="K197" i="28"/>
  <c r="F197" i="28"/>
  <c r="K196" i="28"/>
  <c r="F196" i="28"/>
  <c r="K195" i="28"/>
  <c r="L195" i="28" s="1"/>
  <c r="K194" i="28"/>
  <c r="F194" i="28"/>
  <c r="F190" i="28"/>
  <c r="K189" i="28"/>
  <c r="L189" i="28" s="1"/>
  <c r="F188" i="28"/>
  <c r="K188" i="28" s="1"/>
  <c r="K187" i="28"/>
  <c r="F187" i="28"/>
  <c r="K186" i="28"/>
  <c r="F186" i="28"/>
  <c r="K184" i="28"/>
  <c r="L184" i="28" s="1"/>
  <c r="F183" i="28"/>
  <c r="K181" i="28"/>
  <c r="F181" i="28"/>
  <c r="F175" i="28"/>
  <c r="K174" i="28"/>
  <c r="K173" i="28"/>
  <c r="F173" i="28"/>
  <c r="K172" i="28"/>
  <c r="F172" i="28"/>
  <c r="F171" i="28"/>
  <c r="L171" i="28" s="1"/>
  <c r="F170" i="28"/>
  <c r="K169" i="28"/>
  <c r="F169" i="28"/>
  <c r="K168" i="28"/>
  <c r="F168" i="28"/>
  <c r="F164" i="28"/>
  <c r="L164" i="28" s="1"/>
  <c r="E163" i="28"/>
  <c r="L161" i="28"/>
  <c r="K160" i="28"/>
  <c r="F160" i="28"/>
  <c r="K158" i="28"/>
  <c r="F158" i="28"/>
  <c r="L152" i="28"/>
  <c r="K151" i="28"/>
  <c r="L151" i="28" s="1"/>
  <c r="F148" i="28"/>
  <c r="L148" i="28" s="1"/>
  <c r="D144" i="28"/>
  <c r="D145" i="28" s="1"/>
  <c r="F143" i="28"/>
  <c r="F142" i="28"/>
  <c r="F141" i="28"/>
  <c r="K140" i="28"/>
  <c r="L140" i="28" s="1"/>
  <c r="F140" i="28"/>
  <c r="K139" i="28"/>
  <c r="F139" i="28"/>
  <c r="K138" i="28"/>
  <c r="F138" i="28"/>
  <c r="K137" i="28"/>
  <c r="F137" i="28"/>
  <c r="K136" i="28"/>
  <c r="F136" i="28"/>
  <c r="K135" i="28"/>
  <c r="L135" i="28" s="1"/>
  <c r="K134" i="28"/>
  <c r="F134" i="28"/>
  <c r="K133" i="28"/>
  <c r="F133" i="28"/>
  <c r="F132" i="28"/>
  <c r="K131" i="28"/>
  <c r="F131" i="28"/>
  <c r="K130" i="28"/>
  <c r="F130" i="28"/>
  <c r="K129" i="28"/>
  <c r="F129" i="28"/>
  <c r="K128" i="28"/>
  <c r="F128" i="28"/>
  <c r="K127" i="28"/>
  <c r="F127" i="28"/>
  <c r="F125" i="28"/>
  <c r="L125" i="28" s="1"/>
  <c r="K123" i="28"/>
  <c r="F123" i="28"/>
  <c r="K122" i="28"/>
  <c r="F122" i="28"/>
  <c r="E121" i="28"/>
  <c r="K120" i="28"/>
  <c r="F120" i="28"/>
  <c r="F119" i="28"/>
  <c r="K119" i="28" s="1"/>
  <c r="F118" i="28"/>
  <c r="L118" i="28" s="1"/>
  <c r="K117" i="28"/>
  <c r="F117" i="28"/>
  <c r="F115" i="28"/>
  <c r="K113" i="28"/>
  <c r="F113" i="28"/>
  <c r="K112" i="28"/>
  <c r="F112" i="28"/>
  <c r="K111" i="28"/>
  <c r="F111" i="28"/>
  <c r="F109" i="28"/>
  <c r="F108" i="28"/>
  <c r="K107" i="28"/>
  <c r="L107" i="28" s="1"/>
  <c r="F105" i="28"/>
  <c r="F97" i="28"/>
  <c r="L95" i="28" s="1"/>
  <c r="D96" i="28"/>
  <c r="K93" i="28"/>
  <c r="L93" i="28" s="1"/>
  <c r="F90" i="28"/>
  <c r="L86" i="28"/>
  <c r="E86" i="28"/>
  <c r="E84" i="28"/>
  <c r="F82" i="28"/>
  <c r="L83" i="28" s="1"/>
  <c r="K81" i="28"/>
  <c r="F81" i="28"/>
  <c r="K79" i="28"/>
  <c r="F79" i="28"/>
  <c r="L80" i="28" s="1"/>
  <c r="K78" i="28"/>
  <c r="F78" i="28"/>
  <c r="F74" i="28"/>
  <c r="F72" i="28"/>
  <c r="K71" i="28"/>
  <c r="F71" i="28"/>
  <c r="F70" i="28"/>
  <c r="K69" i="28"/>
  <c r="F69" i="28"/>
  <c r="L68" i="28"/>
  <c r="K67" i="28"/>
  <c r="F67" i="28"/>
  <c r="L66" i="28"/>
  <c r="L65" i="28"/>
  <c r="F64" i="28"/>
  <c r="F62" i="28"/>
  <c r="F59" i="28"/>
  <c r="L59" i="28" s="1"/>
  <c r="K58" i="28"/>
  <c r="F58" i="28"/>
  <c r="K57" i="28"/>
  <c r="L57" i="28" s="1"/>
  <c r="F56" i="28"/>
  <c r="K55" i="28"/>
  <c r="F55" i="28"/>
  <c r="F54" i="28"/>
  <c r="F51" i="28"/>
  <c r="L51" i="28" s="1"/>
  <c r="K50" i="28"/>
  <c r="F50" i="28"/>
  <c r="K43" i="28"/>
  <c r="L43" i="28" s="1"/>
  <c r="F42" i="28"/>
  <c r="K39" i="28"/>
  <c r="K37" i="28"/>
  <c r="F37" i="28"/>
  <c r="L36" i="28"/>
  <c r="F35" i="28"/>
  <c r="L35" i="28" s="1"/>
  <c r="F34" i="28"/>
  <c r="L34" i="28" s="1"/>
  <c r="K33" i="28"/>
  <c r="F33" i="28"/>
  <c r="F32" i="28"/>
  <c r="K31" i="28" s="1"/>
  <c r="L31" i="28" s="1"/>
  <c r="L27" i="28"/>
  <c r="K26" i="28"/>
  <c r="F26" i="28"/>
  <c r="K25" i="28"/>
  <c r="F25" i="28"/>
  <c r="F23" i="28"/>
  <c r="L23" i="28" s="1"/>
  <c r="K22" i="28"/>
  <c r="F22" i="28"/>
  <c r="K21" i="28"/>
  <c r="F21" i="28"/>
  <c r="K16" i="28"/>
  <c r="L16" i="28" s="1"/>
  <c r="K15" i="28"/>
  <c r="L15" i="28" s="1"/>
  <c r="F14" i="28"/>
  <c r="K13" i="28"/>
  <c r="F13" i="28"/>
  <c r="K12" i="28"/>
  <c r="L12" i="28" s="1"/>
  <c r="K11" i="28"/>
  <c r="F11" i="28"/>
  <c r="F10" i="28"/>
  <c r="K9" i="28"/>
  <c r="F9" i="28"/>
  <c r="F8" i="28"/>
  <c r="F4" i="28"/>
  <c r="F2" i="28"/>
  <c r="L62" i="28" l="1"/>
  <c r="L63" i="28"/>
  <c r="L517" i="28"/>
  <c r="L530" i="28"/>
  <c r="L444" i="28"/>
  <c r="L108" i="28"/>
  <c r="D146" i="28"/>
  <c r="L545" i="28"/>
  <c r="L553" i="28"/>
  <c r="L628" i="28"/>
  <c r="L133" i="28"/>
  <c r="L74" i="28"/>
  <c r="L119" i="28"/>
  <c r="L22" i="28"/>
  <c r="L4" i="28"/>
  <c r="L42" i="28"/>
  <c r="L112" i="28"/>
  <c r="L90" i="28"/>
  <c r="L169" i="28"/>
  <c r="L172" i="28"/>
  <c r="L174" i="28"/>
  <c r="L181" i="28"/>
  <c r="L186" i="28"/>
  <c r="L194" i="28"/>
  <c r="L202" i="28"/>
  <c r="L418" i="28"/>
  <c r="L437" i="28"/>
  <c r="L536" i="28"/>
  <c r="L604" i="28"/>
  <c r="L130" i="28"/>
  <c r="L137" i="28"/>
  <c r="L139" i="28"/>
  <c r="L215" i="28"/>
  <c r="L207" i="28"/>
  <c r="L81" i="28"/>
  <c r="L123" i="28"/>
  <c r="L127" i="28"/>
  <c r="L129" i="28"/>
  <c r="L462" i="28"/>
  <c r="L482" i="28"/>
  <c r="L414" i="28"/>
  <c r="L428" i="28"/>
  <c r="L447" i="28"/>
  <c r="L452" i="28"/>
  <c r="L485" i="28"/>
  <c r="L488" i="28"/>
  <c r="L492" i="28"/>
  <c r="L495" i="28"/>
  <c r="L516" i="28"/>
  <c r="L587" i="28"/>
  <c r="F627" i="28"/>
  <c r="L611" i="28"/>
  <c r="L541" i="28"/>
  <c r="L54" i="28"/>
  <c r="L67" i="28"/>
  <c r="L21" i="28"/>
  <c r="L433" i="28"/>
  <c r="L420" i="28"/>
  <c r="L71" i="28"/>
  <c r="L117" i="28"/>
  <c r="L581" i="28"/>
  <c r="L594" i="28"/>
  <c r="L600" i="28"/>
  <c r="L105" i="28"/>
  <c r="L136" i="28"/>
  <c r="L168" i="28"/>
  <c r="L432" i="28"/>
  <c r="L483" i="28"/>
  <c r="L524" i="28"/>
  <c r="L8" i="28"/>
  <c r="L55" i="28"/>
  <c r="L58" i="28"/>
  <c r="L78" i="28"/>
  <c r="L113" i="28"/>
  <c r="L134" i="28"/>
  <c r="L208" i="28"/>
  <c r="L222" i="28"/>
  <c r="L419" i="28"/>
  <c r="L430" i="28"/>
  <c r="L451" i="28"/>
  <c r="L479" i="28"/>
  <c r="L489" i="28"/>
  <c r="L496" i="28"/>
  <c r="L589" i="28"/>
  <c r="L598" i="28"/>
  <c r="L601" i="28"/>
  <c r="L37" i="28"/>
  <c r="L120" i="28"/>
  <c r="L138" i="28"/>
  <c r="L158" i="28"/>
  <c r="L480" i="28"/>
  <c r="L499" i="28"/>
  <c r="L131" i="28"/>
  <c r="L26" i="28"/>
  <c r="L33" i="28"/>
  <c r="L111" i="28"/>
  <c r="L175" i="28"/>
  <c r="L197" i="28"/>
  <c r="L212" i="28"/>
  <c r="L218" i="28"/>
  <c r="L427" i="28"/>
  <c r="L498" i="28"/>
  <c r="L507" i="28"/>
  <c r="L10" i="28"/>
  <c r="L69" i="28"/>
  <c r="L455" i="28"/>
  <c r="L466" i="28"/>
  <c r="L542" i="28"/>
  <c r="L574" i="28"/>
  <c r="L591" i="28"/>
  <c r="L79" i="28"/>
  <c r="L454" i="28"/>
  <c r="L173" i="28"/>
  <c r="L226" i="28"/>
  <c r="L417" i="28"/>
  <c r="L438" i="28"/>
  <c r="L13" i="28"/>
  <c r="L25" i="28"/>
  <c r="L50" i="28"/>
  <c r="L460" i="28"/>
  <c r="L9" i="28"/>
  <c r="L11" i="28"/>
  <c r="L128" i="28"/>
  <c r="L188" i="28"/>
  <c r="L2" i="28"/>
  <c r="L72" i="28"/>
  <c r="L190" i="28"/>
  <c r="L213" i="28"/>
  <c r="L453" i="28"/>
  <c r="L513" i="28"/>
  <c r="K170" i="28"/>
  <c r="L170" i="28" s="1"/>
  <c r="L596" i="28"/>
  <c r="L122" i="28"/>
  <c r="L160" i="28"/>
  <c r="L187" i="28"/>
  <c r="L196" i="28"/>
  <c r="L203" i="28"/>
  <c r="L448" i="28"/>
  <c r="L198" i="28"/>
  <c r="D136" i="20"/>
  <c r="F135" i="20"/>
  <c r="F598" i="20"/>
  <c r="F597" i="20"/>
  <c r="F105" i="20" l="1"/>
  <c r="K485" i="20" l="1"/>
  <c r="K323" i="20"/>
  <c r="L17" i="20"/>
  <c r="K17" i="20"/>
  <c r="F17" i="20"/>
  <c r="K318" i="20"/>
  <c r="K303" i="20"/>
  <c r="L83" i="20"/>
  <c r="K83" i="20"/>
  <c r="K66" i="20"/>
  <c r="F66" i="20"/>
  <c r="L66" i="20" s="1"/>
  <c r="K454" i="20"/>
  <c r="L454" i="20" s="1"/>
  <c r="K244" i="20"/>
  <c r="K70" i="20"/>
  <c r="F70" i="20"/>
  <c r="L513" i="20"/>
  <c r="K513" i="20"/>
  <c r="K108" i="20"/>
  <c r="K549" i="20"/>
  <c r="L549" i="20" s="1"/>
  <c r="L70" i="20" l="1"/>
  <c r="K194" i="20"/>
  <c r="F596" i="20" l="1"/>
  <c r="K538" i="20"/>
  <c r="K315" i="20"/>
  <c r="B30" i="24" l="1"/>
  <c r="F581" i="20" l="1"/>
  <c r="K287" i="20"/>
  <c r="K581" i="20"/>
  <c r="F176" i="20"/>
  <c r="L176" i="20" s="1"/>
  <c r="K176" i="20"/>
  <c r="K422" i="20"/>
  <c r="K102" i="20"/>
  <c r="E489" i="20"/>
  <c r="K489" i="20"/>
  <c r="L489" i="20" s="1"/>
  <c r="K309" i="20"/>
  <c r="K306" i="20"/>
  <c r="K305" i="20"/>
  <c r="K117" i="20"/>
  <c r="L117" i="20" s="1"/>
  <c r="E453" i="20"/>
  <c r="K450" i="20"/>
  <c r="F509" i="20"/>
  <c r="E73" i="20" l="1"/>
  <c r="L73" i="20"/>
  <c r="F408" i="20" l="1"/>
  <c r="F410" i="20"/>
  <c r="F407" i="20"/>
  <c r="F406" i="20"/>
  <c r="F479" i="20"/>
  <c r="G406" i="20" l="1"/>
  <c r="K196" i="20"/>
  <c r="K96" i="20"/>
  <c r="K341" i="20"/>
  <c r="L341" i="20" s="1"/>
  <c r="F343" i="20"/>
  <c r="K278" i="20"/>
  <c r="K308" i="20"/>
  <c r="F405" i="20"/>
  <c r="K358" i="20"/>
  <c r="L358" i="20" s="1"/>
  <c r="K304" i="20"/>
  <c r="K462" i="20"/>
  <c r="F595" i="20"/>
  <c r="K311" i="20" l="1"/>
  <c r="F193" i="20"/>
  <c r="K36" i="20"/>
  <c r="L36" i="20" s="1"/>
  <c r="K274" i="20"/>
  <c r="K458" i="20"/>
  <c r="K276" i="20"/>
  <c r="K340" i="20"/>
  <c r="F340" i="20"/>
  <c r="K593" i="20"/>
  <c r="L593" i="20" s="1"/>
  <c r="K533" i="20"/>
  <c r="L533" i="20" s="1"/>
  <c r="K592" i="20"/>
  <c r="L592" i="20" s="1"/>
  <c r="K310" i="20"/>
  <c r="K443" i="20"/>
  <c r="K279" i="20"/>
  <c r="K299" i="20"/>
  <c r="K43" i="20"/>
  <c r="K314" i="20"/>
  <c r="K282" i="20"/>
  <c r="K242" i="20"/>
  <c r="K41" i="20" l="1"/>
  <c r="F392" i="20"/>
  <c r="K280" i="20"/>
  <c r="K296" i="20" l="1"/>
  <c r="K267" i="20"/>
  <c r="K297" i="20"/>
  <c r="K448" i="20"/>
  <c r="K591" i="20"/>
  <c r="L591" i="20" s="1"/>
  <c r="K480" i="20"/>
  <c r="K286" i="20"/>
  <c r="K39" i="20" l="1"/>
  <c r="K300" i="20"/>
  <c r="K258" i="20"/>
  <c r="K477" i="20"/>
  <c r="K264" i="20"/>
  <c r="K281" i="20"/>
  <c r="F268" i="20"/>
  <c r="K302" i="20"/>
  <c r="K447" i="20"/>
  <c r="K590" i="20"/>
  <c r="L590" i="20" s="1"/>
  <c r="K46" i="20"/>
  <c r="K40" i="20"/>
  <c r="K283" i="20"/>
  <c r="K271" i="20"/>
  <c r="K261" i="20"/>
  <c r="K589" i="20"/>
  <c r="F295" i="20" l="1"/>
  <c r="K8" i="20" l="1"/>
  <c r="K571" i="20"/>
  <c r="L571" i="20" s="1"/>
  <c r="K398" i="3"/>
  <c r="L398" i="3" s="1"/>
  <c r="F588" i="20"/>
  <c r="F424" i="20"/>
  <c r="F423" i="20"/>
  <c r="K213" i="20"/>
  <c r="K212" i="20"/>
  <c r="F213" i="20"/>
  <c r="L213" i="20" l="1"/>
  <c r="K79" i="20"/>
  <c r="L79" i="20" s="1"/>
  <c r="K77" i="20"/>
  <c r="L77" i="20" s="1"/>
  <c r="K445" i="20"/>
  <c r="K24" i="20"/>
  <c r="K254" i="20"/>
  <c r="K567" i="20"/>
  <c r="E7" i="27" l="1"/>
  <c r="E8" i="27"/>
  <c r="F8" i="27" s="1"/>
  <c r="E9" i="27"/>
  <c r="E11" i="27"/>
  <c r="F11" i="27" s="1"/>
  <c r="B18" i="27"/>
  <c r="E31" i="27"/>
  <c r="E30" i="27"/>
  <c r="D7" i="27"/>
  <c r="D5" i="27"/>
  <c r="E10" i="27"/>
  <c r="F10" i="27" s="1"/>
  <c r="E12" i="27"/>
  <c r="F12" i="27" s="1"/>
  <c r="E13" i="27"/>
  <c r="F13" i="27" s="1"/>
  <c r="E14" i="27"/>
  <c r="F14" i="27" s="1"/>
  <c r="E15" i="27"/>
  <c r="F15" i="27" s="1"/>
  <c r="E6" i="27"/>
  <c r="F6" i="27" s="1"/>
  <c r="D18" i="27" l="1"/>
  <c r="F9" i="27"/>
  <c r="E18" i="27"/>
  <c r="F7" i="27"/>
  <c r="F18" i="27" l="1"/>
  <c r="B19" i="27" s="1"/>
  <c r="B21" i="27" s="1"/>
  <c r="K259" i="20"/>
  <c r="K23" i="20"/>
  <c r="K243" i="20"/>
  <c r="K270" i="20"/>
  <c r="K427" i="20"/>
  <c r="K425" i="20"/>
  <c r="K401" i="20"/>
  <c r="L401" i="20" s="1"/>
  <c r="K428" i="20"/>
  <c r="F587" i="20" l="1"/>
  <c r="F586" i="20"/>
  <c r="F250" i="20"/>
  <c r="E249" i="20"/>
  <c r="K376" i="20" l="1"/>
  <c r="K331" i="20" l="1"/>
  <c r="F331" i="20"/>
  <c r="K257" i="20"/>
  <c r="K266" i="20"/>
  <c r="K519" i="20"/>
  <c r="L519" i="20" s="1"/>
  <c r="K255" i="20"/>
  <c r="K252" i="20"/>
  <c r="K457" i="20"/>
  <c r="K360" i="20"/>
  <c r="K33" i="20"/>
  <c r="K260" i="20"/>
  <c r="J439" i="20"/>
  <c r="K439" i="20"/>
  <c r="K247" i="20"/>
  <c r="K413" i="20"/>
  <c r="K239" i="20"/>
  <c r="K440" i="20"/>
  <c r="K32" i="20"/>
  <c r="K419" i="20"/>
  <c r="K272" i="20"/>
  <c r="K431" i="20"/>
  <c r="K584" i="20"/>
  <c r="K30" i="20"/>
  <c r="K291" i="20"/>
  <c r="L291" i="20" s="1"/>
  <c r="K530" i="20"/>
  <c r="K273" i="20"/>
  <c r="K253" i="20"/>
  <c r="K45" i="20"/>
  <c r="K285" i="20"/>
  <c r="K52" i="20"/>
  <c r="K434" i="20"/>
  <c r="K354" i="20"/>
  <c r="K415" i="20"/>
  <c r="F361" i="20"/>
  <c r="F360" i="20"/>
  <c r="L360" i="20" s="1"/>
  <c r="K241" i="20"/>
  <c r="K423" i="20"/>
  <c r="K38" i="20"/>
  <c r="F585" i="20"/>
  <c r="F584" i="20"/>
  <c r="L584" i="20" s="1"/>
  <c r="K361" i="20" l="1"/>
  <c r="L361" i="20" s="1"/>
  <c r="K21" i="20"/>
  <c r="K583" i="20"/>
  <c r="L583" i="20" s="1"/>
  <c r="K161" i="20"/>
  <c r="K421" i="20"/>
  <c r="K433" i="20"/>
  <c r="K515" i="20"/>
  <c r="L515" i="20" s="1"/>
  <c r="K476" i="20"/>
  <c r="K435" i="20"/>
  <c r="K240" i="20"/>
  <c r="L581" i="20"/>
  <c r="K414" i="20"/>
  <c r="K416" i="20"/>
  <c r="F417" i="20"/>
  <c r="F416" i="20"/>
  <c r="K411" i="20"/>
  <c r="K76" i="20"/>
  <c r="K150" i="20"/>
  <c r="L150" i="20" s="1"/>
  <c r="K473" i="20"/>
  <c r="K436" i="20"/>
  <c r="L416" i="20" l="1"/>
  <c r="K395" i="20"/>
  <c r="D580" i="20"/>
  <c r="F576" i="20"/>
  <c r="F577" i="20"/>
  <c r="F578" i="20"/>
  <c r="F579" i="20"/>
  <c r="F575" i="20"/>
  <c r="K11" i="20"/>
  <c r="K435" i="3"/>
  <c r="L435" i="3" s="1"/>
  <c r="F435" i="3"/>
  <c r="K574" i="20"/>
  <c r="L574" i="20" s="1"/>
  <c r="K446" i="20"/>
  <c r="F573" i="20"/>
  <c r="K388" i="20"/>
  <c r="L331" i="20"/>
  <c r="K437" i="20"/>
  <c r="F580" i="20" l="1"/>
  <c r="K246" i="20"/>
  <c r="K20" i="20"/>
  <c r="E150" i="20"/>
  <c r="K399" i="20" l="1"/>
  <c r="K290" i="20"/>
  <c r="F301" i="20" l="1"/>
  <c r="L301" i="20" s="1"/>
  <c r="F570" i="20"/>
  <c r="K412" i="20"/>
  <c r="K180" i="20" l="1"/>
  <c r="L180" i="20" s="1"/>
  <c r="K111" i="20"/>
  <c r="L111" i="20" s="1"/>
  <c r="K110" i="20"/>
  <c r="K35" i="20"/>
  <c r="L35" i="20" s="1"/>
  <c r="E532" i="20"/>
  <c r="D86" i="20"/>
  <c r="K564" i="20"/>
  <c r="F210" i="20"/>
  <c r="K207" i="20"/>
  <c r="K206" i="20"/>
  <c r="K34" i="20"/>
  <c r="K569" i="20"/>
  <c r="F569" i="20"/>
  <c r="K556" i="20"/>
  <c r="K387" i="20"/>
  <c r="K386" i="20"/>
  <c r="K19" i="20"/>
  <c r="K568" i="20"/>
  <c r="L568" i="20" s="1"/>
  <c r="F87" i="20"/>
  <c r="K357" i="20"/>
  <c r="K375" i="20"/>
  <c r="L569" i="20" l="1"/>
  <c r="K365" i="20"/>
  <c r="K566" i="20"/>
  <c r="L566" i="20" s="1"/>
  <c r="K393" i="20"/>
  <c r="K200" i="20"/>
  <c r="F200" i="20"/>
  <c r="L200" i="20" l="1"/>
  <c r="D38" i="24" l="1"/>
  <c r="B39" i="24" s="1"/>
  <c r="B31" i="24"/>
  <c r="B40" i="24" s="1"/>
  <c r="F216" i="20"/>
  <c r="F318" i="3"/>
  <c r="B41" i="24" l="1"/>
  <c r="K363" i="20"/>
  <c r="K370" i="20"/>
  <c r="K381" i="20"/>
  <c r="K364" i="20"/>
  <c r="K383" i="20" l="1"/>
  <c r="K397" i="20"/>
  <c r="F565" i="20"/>
  <c r="K356" i="20"/>
  <c r="F464" i="20"/>
  <c r="K463" i="20"/>
  <c r="K560" i="20"/>
  <c r="K557" i="20" l="1"/>
  <c r="L557" i="20" s="1"/>
  <c r="K350" i="20"/>
  <c r="K237" i="20"/>
  <c r="H438" i="19"/>
  <c r="F564" i="20"/>
  <c r="L564" i="20" s="1"/>
  <c r="K337" i="20"/>
  <c r="K352" i="20"/>
  <c r="K373" i="20"/>
  <c r="K171" i="20"/>
  <c r="K170" i="20"/>
  <c r="L170" i="20" s="1"/>
  <c r="H23" i="19" l="1"/>
  <c r="H22" i="19"/>
  <c r="L25" i="20"/>
  <c r="K558" i="20"/>
  <c r="K398" i="20"/>
  <c r="K491" i="20"/>
  <c r="K371" i="20"/>
  <c r="K379" i="20"/>
  <c r="K321" i="20"/>
  <c r="K366" i="20"/>
  <c r="F563" i="20"/>
  <c r="K378" i="20"/>
  <c r="K289" i="20"/>
  <c r="K15" i="20"/>
  <c r="K330" i="20"/>
  <c r="K369" i="20"/>
  <c r="K474" i="20"/>
  <c r="K353" i="20"/>
  <c r="K372" i="20"/>
  <c r="K146" i="20"/>
  <c r="K470" i="20"/>
  <c r="K201" i="20"/>
  <c r="K345" i="20"/>
  <c r="K561" i="20"/>
  <c r="F561" i="20"/>
  <c r="F560" i="20"/>
  <c r="L560" i="20" s="1"/>
  <c r="L561" i="20" l="1"/>
  <c r="K483" i="20"/>
  <c r="L483" i="20" s="1"/>
  <c r="F439" i="3"/>
  <c r="F438" i="3"/>
  <c r="F558" i="20"/>
  <c r="L558" i="20" s="1"/>
  <c r="K437" i="3"/>
  <c r="L437" i="3" s="1"/>
  <c r="F401" i="20" l="1"/>
  <c r="F400" i="20"/>
  <c r="F490" i="20" l="1"/>
  <c r="K490" i="20" l="1"/>
  <c r="L490" i="20" s="1"/>
  <c r="K396" i="20"/>
  <c r="K178" i="20"/>
  <c r="K367" i="20"/>
  <c r="K126" i="20"/>
  <c r="K368" i="20"/>
  <c r="L88" i="20"/>
  <c r="L98" i="28" s="1"/>
  <c r="K90" i="20"/>
  <c r="F556" i="20"/>
  <c r="L556" i="20" s="1"/>
  <c r="F501" i="20"/>
  <c r="K101" i="20" l="1"/>
  <c r="K348" i="20"/>
  <c r="K468" i="20"/>
  <c r="K555" i="20"/>
  <c r="L555" i="20" s="1"/>
  <c r="K481" i="20"/>
  <c r="K97" i="20"/>
  <c r="F554" i="20"/>
  <c r="K554" i="20"/>
  <c r="K355" i="20"/>
  <c r="L554" i="20" l="1"/>
  <c r="K234" i="20"/>
  <c r="K553" i="20"/>
  <c r="L553" i="20" s="1"/>
  <c r="K552" i="20"/>
  <c r="F552" i="20"/>
  <c r="K472" i="20"/>
  <c r="K499" i="20"/>
  <c r="L552" i="20" l="1"/>
  <c r="K544" i="20"/>
  <c r="L544" i="20" s="1"/>
  <c r="K63" i="20" l="1"/>
  <c r="L63" i="20" s="1"/>
  <c r="K61" i="20"/>
  <c r="L207" i="20"/>
  <c r="K157" i="20"/>
  <c r="K338" i="20"/>
  <c r="K551" i="20"/>
  <c r="K214" i="20"/>
  <c r="K316" i="20"/>
  <c r="K550" i="20"/>
  <c r="F550" i="20"/>
  <c r="F548" i="20"/>
  <c r="K548" i="20"/>
  <c r="L548" i="20" l="1"/>
  <c r="L550" i="20"/>
  <c r="K325" i="20"/>
  <c r="K184" i="20"/>
  <c r="K130" i="20"/>
  <c r="K198" i="20"/>
  <c r="K167" i="20"/>
  <c r="E206" i="20"/>
  <c r="F546" i="20" l="1"/>
  <c r="K182" i="20"/>
  <c r="K168" i="20"/>
  <c r="F545" i="20"/>
  <c r="K545" i="20"/>
  <c r="K362" i="20"/>
  <c r="K172" i="20"/>
  <c r="K190" i="20"/>
  <c r="K177" i="20"/>
  <c r="K202" i="20"/>
  <c r="K328" i="20"/>
  <c r="L545" i="20" l="1"/>
  <c r="K543" i="20"/>
  <c r="L543" i="20" s="1"/>
  <c r="K542" i="20"/>
  <c r="L542" i="20" s="1"/>
  <c r="K18" i="20"/>
  <c r="K179" i="20"/>
  <c r="K188" i="20"/>
  <c r="K429" i="20"/>
  <c r="K174" i="20"/>
  <c r="K541" i="20"/>
  <c r="L541" i="20" s="1"/>
  <c r="F540" i="20"/>
  <c r="K540" i="20"/>
  <c r="K466" i="20"/>
  <c r="K346" i="20"/>
  <c r="K532" i="20"/>
  <c r="L532" i="20" s="1"/>
  <c r="K418" i="20"/>
  <c r="K187" i="20"/>
  <c r="K165" i="20"/>
  <c r="K349" i="20"/>
  <c r="L530" i="20"/>
  <c r="K529" i="20"/>
  <c r="L529" i="20" s="1"/>
  <c r="K211" i="20"/>
  <c r="L524" i="20"/>
  <c r="K527" i="20"/>
  <c r="L527" i="20" s="1"/>
  <c r="K113" i="20"/>
  <c r="K159" i="20"/>
  <c r="K233" i="20"/>
  <c r="K526" i="20"/>
  <c r="L526" i="20" s="1"/>
  <c r="K154" i="20"/>
  <c r="L540" i="20" l="1"/>
  <c r="F525" i="20"/>
  <c r="K525" i="20"/>
  <c r="K149" i="20"/>
  <c r="K81" i="20"/>
  <c r="K497" i="20"/>
  <c r="L497" i="20" s="1"/>
  <c r="K148" i="20"/>
  <c r="K123" i="20"/>
  <c r="K183" i="20"/>
  <c r="L525" i="20" l="1"/>
  <c r="K181" i="20"/>
  <c r="K523" i="20"/>
  <c r="L523" i="20" s="1"/>
  <c r="K57" i="20"/>
  <c r="F522" i="20"/>
  <c r="K522" i="20"/>
  <c r="K169" i="20"/>
  <c r="K521" i="20"/>
  <c r="L521" i="20" s="1"/>
  <c r="K131" i="20"/>
  <c r="K163" i="20"/>
  <c r="K203" i="20"/>
  <c r="F29" i="20"/>
  <c r="K28" i="20" s="1"/>
  <c r="L28" i="20" s="1"/>
  <c r="K164" i="20"/>
  <c r="K143" i="20"/>
  <c r="K122" i="20"/>
  <c r="K236" i="20"/>
  <c r="K65" i="20"/>
  <c r="K465" i="20"/>
  <c r="F520" i="20"/>
  <c r="L520" i="20" s="1"/>
  <c r="K413" i="3"/>
  <c r="F3" i="15"/>
  <c r="B27" i="23"/>
  <c r="B26" i="23"/>
  <c r="E26" i="23"/>
  <c r="D26" i="23"/>
  <c r="D27" i="23"/>
  <c r="E27" i="23" s="1"/>
  <c r="B28" i="23" s="1"/>
  <c r="E25" i="23"/>
  <c r="D25" i="23"/>
  <c r="B25" i="23"/>
  <c r="B22" i="23"/>
  <c r="D22" i="23" s="1"/>
  <c r="E22" i="23" s="1"/>
  <c r="B23" i="23" s="1"/>
  <c r="E21" i="23"/>
  <c r="D21" i="23"/>
  <c r="D20" i="23"/>
  <c r="E20" i="23" s="1"/>
  <c r="B21" i="23" s="1"/>
  <c r="D3" i="23"/>
  <c r="E3" i="23" s="1"/>
  <c r="B4" i="23" s="1"/>
  <c r="E74" i="20"/>
  <c r="E113" i="20"/>
  <c r="E103" i="20"/>
  <c r="C7" i="15"/>
  <c r="F502" i="20"/>
  <c r="F500" i="20"/>
  <c r="F499" i="20"/>
  <c r="L522" i="20" l="1"/>
  <c r="D28" i="23"/>
  <c r="E28" i="23" s="1"/>
  <c r="B29" i="23" s="1"/>
  <c r="D29" i="23" s="1"/>
  <c r="B30" i="23" s="1"/>
  <c r="D23" i="23"/>
  <c r="E23" i="23" s="1"/>
  <c r="D4" i="23"/>
  <c r="E4" i="23" s="1"/>
  <c r="B5" i="23" s="1"/>
  <c r="B8" i="22"/>
  <c r="F511" i="20"/>
  <c r="F130" i="20"/>
  <c r="H410" i="19"/>
  <c r="F10" i="21"/>
  <c r="F9" i="21"/>
  <c r="F8" i="21"/>
  <c r="F6" i="21"/>
  <c r="F5" i="21"/>
  <c r="F153" i="20"/>
  <c r="F517" i="20"/>
  <c r="K344" i="20"/>
  <c r="K486" i="20"/>
  <c r="F7" i="21"/>
  <c r="F4" i="21"/>
  <c r="F12" i="21" s="1"/>
  <c r="B24" i="21"/>
  <c r="K322" i="20"/>
  <c r="K503" i="20"/>
  <c r="L503" i="20" s="1"/>
  <c r="K67" i="20"/>
  <c r="K317" i="20"/>
  <c r="F518" i="20"/>
  <c r="K518" i="20"/>
  <c r="K116" i="20"/>
  <c r="K54" i="20"/>
  <c r="K186" i="20"/>
  <c r="K121" i="20"/>
  <c r="K144" i="20"/>
  <c r="K153" i="20"/>
  <c r="K327" i="20"/>
  <c r="K125" i="20"/>
  <c r="K517" i="20"/>
  <c r="K115" i="20"/>
  <c r="K129" i="20"/>
  <c r="K516" i="20"/>
  <c r="L516" i="20" s="1"/>
  <c r="F515" i="20"/>
  <c r="K138" i="20"/>
  <c r="K478" i="20"/>
  <c r="K319" i="20"/>
  <c r="K514" i="20"/>
  <c r="L514" i="20" s="1"/>
  <c r="K175" i="20"/>
  <c r="K320" i="20"/>
  <c r="K119" i="20"/>
  <c r="K512" i="20"/>
  <c r="L512" i="20" s="1"/>
  <c r="K103" i="20"/>
  <c r="K128" i="20"/>
  <c r="K511" i="20"/>
  <c r="L511" i="20" s="1"/>
  <c r="K510" i="20"/>
  <c r="L510" i="20" s="1"/>
  <c r="L517" i="20" l="1"/>
  <c r="D30" i="23"/>
  <c r="E30" i="23" s="1"/>
  <c r="D5" i="23"/>
  <c r="E5" i="23"/>
  <c r="B6" i="23" s="1"/>
  <c r="D8" i="23"/>
  <c r="E8" i="23" s="1"/>
  <c r="B9" i="23" s="1"/>
  <c r="D9" i="23" s="1"/>
  <c r="L518" i="20"/>
  <c r="K132" i="20"/>
  <c r="K158" i="20"/>
  <c r="K329" i="20"/>
  <c r="K120" i="20"/>
  <c r="K88" i="20"/>
  <c r="K56" i="20"/>
  <c r="K106" i="20"/>
  <c r="K112" i="20"/>
  <c r="K127" i="20"/>
  <c r="K456" i="20"/>
  <c r="K68" i="20"/>
  <c r="K215" i="20"/>
  <c r="K460" i="20"/>
  <c r="K100" i="20"/>
  <c r="K160" i="20"/>
  <c r="K507" i="20"/>
  <c r="F507" i="20"/>
  <c r="B31" i="23" l="1"/>
  <c r="D31" i="23" s="1"/>
  <c r="E31" i="23" s="1"/>
  <c r="D6" i="23"/>
  <c r="E6" i="23"/>
  <c r="E9" i="23"/>
  <c r="B10" i="23" s="1"/>
  <c r="D10" i="23" s="1"/>
  <c r="L507" i="20"/>
  <c r="K85" i="20"/>
  <c r="L85" i="20" s="1"/>
  <c r="K496" i="20"/>
  <c r="L496" i="20" s="1"/>
  <c r="K69" i="20"/>
  <c r="L351" i="20"/>
  <c r="E10" i="23" l="1"/>
  <c r="B11" i="23" s="1"/>
  <c r="F2" i="20"/>
  <c r="K2" i="20"/>
  <c r="F3" i="20"/>
  <c r="K3" i="20"/>
  <c r="K4" i="20"/>
  <c r="L4" i="20" s="1"/>
  <c r="K5" i="20"/>
  <c r="L5" i="20" s="1"/>
  <c r="F506" i="20"/>
  <c r="F503" i="20"/>
  <c r="F498" i="20"/>
  <c r="L498" i="20" s="1"/>
  <c r="F497" i="20"/>
  <c r="F495" i="20"/>
  <c r="F494" i="20"/>
  <c r="F493" i="20"/>
  <c r="F492" i="20"/>
  <c r="F491" i="20"/>
  <c r="L491" i="20" s="1"/>
  <c r="F488" i="20"/>
  <c r="L488" i="20" s="1"/>
  <c r="F486" i="20"/>
  <c r="F485" i="20"/>
  <c r="L485" i="20" s="1"/>
  <c r="L484" i="20"/>
  <c r="F481" i="20"/>
  <c r="L481" i="20" s="1"/>
  <c r="F480" i="20"/>
  <c r="L480" i="20" s="1"/>
  <c r="F478" i="20"/>
  <c r="L478" i="20" s="1"/>
  <c r="F477" i="20"/>
  <c r="L477" i="20" s="1"/>
  <c r="L476" i="20"/>
  <c r="F475" i="20"/>
  <c r="L475" i="20" s="1"/>
  <c r="F474" i="20"/>
  <c r="L474" i="20" s="1"/>
  <c r="F473" i="20"/>
  <c r="L473" i="20" s="1"/>
  <c r="L472" i="20"/>
  <c r="L470" i="20"/>
  <c r="F469" i="20"/>
  <c r="L469" i="20" s="1"/>
  <c r="F468" i="20"/>
  <c r="L468" i="20" s="1"/>
  <c r="F467" i="20"/>
  <c r="L467" i="20" s="1"/>
  <c r="F466" i="20"/>
  <c r="L466" i="20" s="1"/>
  <c r="F465" i="20"/>
  <c r="L465" i="20" s="1"/>
  <c r="F463" i="20"/>
  <c r="L463" i="20" s="1"/>
  <c r="F462" i="20"/>
  <c r="L462" i="20" s="1"/>
  <c r="L460" i="20"/>
  <c r="L458" i="20"/>
  <c r="E458" i="20"/>
  <c r="F457" i="20"/>
  <c r="L457" i="20" s="1"/>
  <c r="F456" i="20"/>
  <c r="L456" i="20" s="1"/>
  <c r="L450" i="20"/>
  <c r="F449" i="20"/>
  <c r="L449" i="20" s="1"/>
  <c r="F448" i="20"/>
  <c r="L448" i="20" s="1"/>
  <c r="L447" i="20"/>
  <c r="F446" i="20"/>
  <c r="L446" i="20" s="1"/>
  <c r="L445" i="20"/>
  <c r="F444" i="20"/>
  <c r="L444" i="20" s="1"/>
  <c r="F443" i="20"/>
  <c r="L443" i="20" s="1"/>
  <c r="F442" i="20"/>
  <c r="F441" i="20"/>
  <c r="L441" i="20" s="1"/>
  <c r="F440" i="20"/>
  <c r="L440" i="20" s="1"/>
  <c r="F439" i="20"/>
  <c r="L439" i="20" s="1"/>
  <c r="L437" i="20"/>
  <c r="F436" i="20"/>
  <c r="L436" i="20" s="1"/>
  <c r="F435" i="20"/>
  <c r="L435" i="20" s="1"/>
  <c r="F434" i="20"/>
  <c r="L434" i="20" s="1"/>
  <c r="F433" i="20"/>
  <c r="L433" i="20" s="1"/>
  <c r="F431" i="20"/>
  <c r="F429" i="20"/>
  <c r="L429" i="20" s="1"/>
  <c r="F428" i="20"/>
  <c r="L428" i="20" s="1"/>
  <c r="F426" i="20"/>
  <c r="F425" i="20"/>
  <c r="L423" i="20"/>
  <c r="F422" i="20"/>
  <c r="L422" i="20" s="1"/>
  <c r="F421" i="20"/>
  <c r="L421" i="20" s="1"/>
  <c r="F419" i="20"/>
  <c r="L419" i="20" s="1"/>
  <c r="L418" i="20"/>
  <c r="F415" i="20"/>
  <c r="L415" i="20" s="1"/>
  <c r="L414" i="20"/>
  <c r="F413" i="20"/>
  <c r="F412" i="20"/>
  <c r="L412" i="20" s="1"/>
  <c r="F411" i="20"/>
  <c r="L411" i="20" s="1"/>
  <c r="F404" i="20"/>
  <c r="F399" i="20"/>
  <c r="L399" i="20" s="1"/>
  <c r="F398" i="20"/>
  <c r="L398" i="20" s="1"/>
  <c r="F397" i="20"/>
  <c r="F396" i="20"/>
  <c r="L396" i="20" s="1"/>
  <c r="F395" i="20"/>
  <c r="L395" i="20" s="1"/>
  <c r="F394" i="20"/>
  <c r="L394" i="20" s="1"/>
  <c r="F393" i="20"/>
  <c r="F388" i="20"/>
  <c r="L388" i="20" s="1"/>
  <c r="L387" i="20"/>
  <c r="F386" i="20"/>
  <c r="L386" i="20" s="1"/>
  <c r="F384" i="20"/>
  <c r="F383" i="20"/>
  <c r="L383" i="20" s="1"/>
  <c r="F382" i="20"/>
  <c r="F381" i="20"/>
  <c r="F380" i="20"/>
  <c r="L380" i="20" s="1"/>
  <c r="F379" i="20"/>
  <c r="L379" i="20" s="1"/>
  <c r="F378" i="20"/>
  <c r="L378" i="20" s="1"/>
  <c r="F375" i="20"/>
  <c r="L375" i="20" s="1"/>
  <c r="F373" i="20"/>
  <c r="L373" i="20" s="1"/>
  <c r="F372" i="20"/>
  <c r="F371" i="20"/>
  <c r="L371" i="20" s="1"/>
  <c r="F370" i="20"/>
  <c r="L370" i="20" s="1"/>
  <c r="F369" i="20"/>
  <c r="L369" i="20" s="1"/>
  <c r="F367" i="20"/>
  <c r="L367" i="20" s="1"/>
  <c r="L366" i="20"/>
  <c r="F365" i="20"/>
  <c r="L365" i="20" s="1"/>
  <c r="F364" i="20"/>
  <c r="L364" i="20" s="1"/>
  <c r="F363" i="20"/>
  <c r="L363" i="20" s="1"/>
  <c r="F362" i="20"/>
  <c r="L362" i="20" s="1"/>
  <c r="L359" i="20"/>
  <c r="F357" i="20"/>
  <c r="L357" i="20" s="1"/>
  <c r="F356" i="20"/>
  <c r="L356" i="20" s="1"/>
  <c r="F355" i="20"/>
  <c r="L355" i="20" s="1"/>
  <c r="F354" i="20"/>
  <c r="L353" i="20"/>
  <c r="F352" i="20"/>
  <c r="L352" i="20" s="1"/>
  <c r="F350" i="20"/>
  <c r="L350" i="20" s="1"/>
  <c r="F349" i="20"/>
  <c r="L349" i="20" s="1"/>
  <c r="F348" i="20"/>
  <c r="F347" i="20"/>
  <c r="L347" i="20" s="1"/>
  <c r="F346" i="20"/>
  <c r="L346" i="20" s="1"/>
  <c r="F345" i="20"/>
  <c r="L345" i="20" s="1"/>
  <c r="F344" i="20"/>
  <c r="L344" i="20" s="1"/>
  <c r="L340" i="20"/>
  <c r="F339" i="20"/>
  <c r="L339" i="20" s="1"/>
  <c r="F338" i="20"/>
  <c r="L338" i="20" s="1"/>
  <c r="F337" i="20"/>
  <c r="L337" i="20" s="1"/>
  <c r="F329" i="20"/>
  <c r="L329" i="20" s="1"/>
  <c r="F328" i="20"/>
  <c r="L328" i="20" s="1"/>
  <c r="F327" i="20"/>
  <c r="L327" i="20" s="1"/>
  <c r="F326" i="20"/>
  <c r="L326" i="20" s="1"/>
  <c r="F325" i="20"/>
  <c r="L325" i="20" s="1"/>
  <c r="F323" i="20"/>
  <c r="L323" i="20" s="1"/>
  <c r="F322" i="20"/>
  <c r="L322" i="20" s="1"/>
  <c r="F321" i="20"/>
  <c r="L321" i="20" s="1"/>
  <c r="F320" i="20"/>
  <c r="L320" i="20" s="1"/>
  <c r="L319" i="20"/>
  <c r="F318" i="20"/>
  <c r="L318" i="20" s="1"/>
  <c r="F317" i="20"/>
  <c r="L317" i="20" s="1"/>
  <c r="F316" i="20"/>
  <c r="L316" i="20" s="1"/>
  <c r="F315" i="20"/>
  <c r="L315" i="20" s="1"/>
  <c r="F314" i="20"/>
  <c r="L314" i="20" s="1"/>
  <c r="F313" i="20"/>
  <c r="F312" i="20"/>
  <c r="F311" i="20"/>
  <c r="F310" i="20"/>
  <c r="L310" i="20" s="1"/>
  <c r="F309" i="20"/>
  <c r="L309" i="20" s="1"/>
  <c r="F308" i="20"/>
  <c r="L308" i="20" s="1"/>
  <c r="F307" i="20"/>
  <c r="F306" i="20"/>
  <c r="L306" i="20" s="1"/>
  <c r="F305" i="20"/>
  <c r="L305" i="20" s="1"/>
  <c r="F304" i="20"/>
  <c r="L304" i="20" s="1"/>
  <c r="L303" i="20"/>
  <c r="F302" i="20"/>
  <c r="L302" i="20" s="1"/>
  <c r="F300" i="20"/>
  <c r="L300" i="20" s="1"/>
  <c r="F299" i="20"/>
  <c r="F297" i="20"/>
  <c r="L297" i="20" s="1"/>
  <c r="F296" i="20"/>
  <c r="L296" i="20" s="1"/>
  <c r="F290" i="20"/>
  <c r="L290" i="20" s="1"/>
  <c r="F288" i="20"/>
  <c r="F287" i="20"/>
  <c r="F286" i="20"/>
  <c r="L286" i="20" s="1"/>
  <c r="F285" i="20"/>
  <c r="L285" i="20" s="1"/>
  <c r="F284" i="20"/>
  <c r="L284" i="20" s="1"/>
  <c r="F283" i="20"/>
  <c r="F282" i="20"/>
  <c r="L282" i="20" s="1"/>
  <c r="F281" i="20"/>
  <c r="L281" i="20" s="1"/>
  <c r="F280" i="20"/>
  <c r="L280" i="20" s="1"/>
  <c r="F279" i="20"/>
  <c r="F278" i="20"/>
  <c r="L278" i="20" s="1"/>
  <c r="L276" i="20"/>
  <c r="F274" i="20"/>
  <c r="L274" i="20" s="1"/>
  <c r="L273" i="20"/>
  <c r="F272" i="20"/>
  <c r="L272" i="20" s="1"/>
  <c r="F271" i="20"/>
  <c r="F270" i="20"/>
  <c r="L270" i="20" s="1"/>
  <c r="L268" i="20"/>
  <c r="F267" i="20"/>
  <c r="L267" i="20" s="1"/>
  <c r="F266" i="20"/>
  <c r="L266" i="20" s="1"/>
  <c r="L265" i="20"/>
  <c r="F264" i="20"/>
  <c r="L264" i="20" s="1"/>
  <c r="F262" i="20"/>
  <c r="L262" i="20" s="1"/>
  <c r="F261" i="20"/>
  <c r="F260" i="20"/>
  <c r="L260" i="20" s="1"/>
  <c r="F259" i="20"/>
  <c r="L259" i="20" s="1"/>
  <c r="F258" i="20"/>
  <c r="L258" i="20" s="1"/>
  <c r="F257" i="20"/>
  <c r="F256" i="20"/>
  <c r="F255" i="20"/>
  <c r="L255" i="20" s="1"/>
  <c r="F254" i="20"/>
  <c r="L254" i="20" s="1"/>
  <c r="F253" i="20"/>
  <c r="L253" i="20" s="1"/>
  <c r="F252" i="20"/>
  <c r="L252" i="20" s="1"/>
  <c r="L248" i="20"/>
  <c r="F247" i="20"/>
  <c r="L247" i="20" s="1"/>
  <c r="F246" i="20"/>
  <c r="L246" i="20" s="1"/>
  <c r="F245" i="20"/>
  <c r="L245" i="20" s="1"/>
  <c r="F244" i="20"/>
  <c r="L244" i="20" s="1"/>
  <c r="F243" i="20"/>
  <c r="L242" i="20"/>
  <c r="F241" i="20"/>
  <c r="L241" i="20" s="1"/>
  <c r="F240" i="20"/>
  <c r="L240" i="20" s="1"/>
  <c r="F239" i="20"/>
  <c r="L239" i="20" s="1"/>
  <c r="F237" i="20"/>
  <c r="L237" i="20" s="1"/>
  <c r="F236" i="20"/>
  <c r="L236" i="20" s="1"/>
  <c r="F235" i="20"/>
  <c r="F234" i="20"/>
  <c r="L234" i="20" s="1"/>
  <c r="F233" i="20"/>
  <c r="L233" i="20" s="1"/>
  <c r="F232" i="20"/>
  <c r="L232" i="20" s="1"/>
  <c r="F215" i="20"/>
  <c r="L215" i="20" s="1"/>
  <c r="F214" i="20"/>
  <c r="L214" i="20" s="1"/>
  <c r="F212" i="20"/>
  <c r="L212" i="20" s="1"/>
  <c r="F211" i="20"/>
  <c r="L211" i="20" s="1"/>
  <c r="L206" i="20"/>
  <c r="F205" i="20"/>
  <c r="L205" i="20" s="1"/>
  <c r="F203" i="20"/>
  <c r="F202" i="20"/>
  <c r="L202" i="20" s="1"/>
  <c r="F201" i="20"/>
  <c r="L201" i="20" s="1"/>
  <c r="F199" i="20"/>
  <c r="L199" i="20" s="1"/>
  <c r="F198" i="20"/>
  <c r="F196" i="20"/>
  <c r="L196" i="20" s="1"/>
  <c r="F194" i="20"/>
  <c r="L194" i="20" s="1"/>
  <c r="F192" i="20"/>
  <c r="L192" i="20" s="1"/>
  <c r="F190" i="20"/>
  <c r="L190" i="20" s="1"/>
  <c r="F189" i="20"/>
  <c r="L187" i="20"/>
  <c r="F186" i="20"/>
  <c r="L186" i="20" s="1"/>
  <c r="F185" i="20"/>
  <c r="F184" i="20"/>
  <c r="F183" i="20"/>
  <c r="L183" i="20" s="1"/>
  <c r="F181" i="20"/>
  <c r="L181" i="20" s="1"/>
  <c r="F179" i="20"/>
  <c r="L179" i="20" s="1"/>
  <c r="F178" i="20"/>
  <c r="F177" i="20"/>
  <c r="L177" i="20" s="1"/>
  <c r="F175" i="20"/>
  <c r="L175" i="20" s="1"/>
  <c r="F174" i="20"/>
  <c r="L174" i="20" s="1"/>
  <c r="F173" i="20"/>
  <c r="F172" i="20"/>
  <c r="L172" i="20" s="1"/>
  <c r="F171" i="20"/>
  <c r="L171" i="20" s="1"/>
  <c r="F169" i="20"/>
  <c r="L169" i="20" s="1"/>
  <c r="F168" i="20"/>
  <c r="L168" i="20" s="1"/>
  <c r="L167" i="20"/>
  <c r="F166" i="20"/>
  <c r="F165" i="20"/>
  <c r="L165" i="20" s="1"/>
  <c r="F164" i="20"/>
  <c r="L164" i="20" s="1"/>
  <c r="L163" i="20"/>
  <c r="F162" i="20"/>
  <c r="L162" i="20" s="1"/>
  <c r="F161" i="20"/>
  <c r="L161" i="20" s="1"/>
  <c r="F160" i="20"/>
  <c r="L160" i="20" s="1"/>
  <c r="F159" i="20"/>
  <c r="L159" i="20" s="1"/>
  <c r="F158" i="20"/>
  <c r="L158" i="20" s="1"/>
  <c r="F157" i="20"/>
  <c r="L157" i="20" s="1"/>
  <c r="F156" i="20"/>
  <c r="L156" i="20" s="1"/>
  <c r="F155" i="20"/>
  <c r="F154" i="20"/>
  <c r="L154" i="20" s="1"/>
  <c r="L153" i="20"/>
  <c r="L152" i="20"/>
  <c r="F151" i="20"/>
  <c r="L151" i="20" s="1"/>
  <c r="L149" i="20"/>
  <c r="F148" i="20"/>
  <c r="L148" i="20" s="1"/>
  <c r="F146" i="20"/>
  <c r="L146" i="20" s="1"/>
  <c r="L144" i="20"/>
  <c r="L143" i="20"/>
  <c r="F137" i="20"/>
  <c r="L137" i="20" s="1"/>
  <c r="F134" i="20"/>
  <c r="F133" i="20"/>
  <c r="F132" i="20"/>
  <c r="F131" i="20"/>
  <c r="L131" i="20" s="1"/>
  <c r="L130" i="20"/>
  <c r="F129" i="20"/>
  <c r="L129" i="20" s="1"/>
  <c r="F128" i="20"/>
  <c r="L128" i="20" s="1"/>
  <c r="L127" i="20"/>
  <c r="F126" i="20"/>
  <c r="L126" i="20" s="1"/>
  <c r="F125" i="20"/>
  <c r="L125" i="20" s="1"/>
  <c r="F124" i="20"/>
  <c r="F123" i="20"/>
  <c r="F122" i="20"/>
  <c r="L122" i="20" s="1"/>
  <c r="F121" i="20"/>
  <c r="L121" i="20" s="1"/>
  <c r="F120" i="20"/>
  <c r="L120" i="20" s="1"/>
  <c r="F119" i="20"/>
  <c r="L119" i="20" s="1"/>
  <c r="F118" i="20"/>
  <c r="L118" i="20" s="1"/>
  <c r="F116" i="20"/>
  <c r="L116" i="20" s="1"/>
  <c r="F115" i="20"/>
  <c r="L115" i="20" s="1"/>
  <c r="F112" i="20"/>
  <c r="L112" i="20" s="1"/>
  <c r="L110" i="20"/>
  <c r="F108" i="20"/>
  <c r="L108" i="20" s="1"/>
  <c r="F107" i="20"/>
  <c r="F106" i="20"/>
  <c r="L106" i="20" s="1"/>
  <c r="L103" i="20"/>
  <c r="F102" i="20"/>
  <c r="L102" i="20" s="1"/>
  <c r="F101" i="20"/>
  <c r="L101" i="20" s="1"/>
  <c r="F100" i="20"/>
  <c r="L100" i="20" s="1"/>
  <c r="F99" i="20"/>
  <c r="F98" i="20"/>
  <c r="L98" i="20" s="1"/>
  <c r="L97" i="20"/>
  <c r="F96" i="20"/>
  <c r="L96" i="20" s="1"/>
  <c r="L81" i="20"/>
  <c r="F76" i="20"/>
  <c r="L76" i="20" s="1"/>
  <c r="L72" i="20"/>
  <c r="F69" i="20"/>
  <c r="L69" i="20" s="1"/>
  <c r="F68" i="20"/>
  <c r="L68" i="20" s="1"/>
  <c r="F67" i="20"/>
  <c r="L67" i="20" s="1"/>
  <c r="F65" i="20"/>
  <c r="L65" i="20" s="1"/>
  <c r="F61" i="20"/>
  <c r="L61" i="20" s="1"/>
  <c r="F57" i="20"/>
  <c r="L57" i="20" s="1"/>
  <c r="F56" i="20"/>
  <c r="L56" i="20" s="1"/>
  <c r="F55" i="20"/>
  <c r="F54" i="20"/>
  <c r="L53" i="20"/>
  <c r="F52" i="20"/>
  <c r="L52" i="20" s="1"/>
  <c r="L51" i="20"/>
  <c r="L50" i="20"/>
  <c r="F49" i="20"/>
  <c r="F48" i="20"/>
  <c r="L48" i="20" s="1"/>
  <c r="F47" i="20"/>
  <c r="L47" i="20" s="1"/>
  <c r="F46" i="20"/>
  <c r="L46" i="20" s="1"/>
  <c r="L45" i="20"/>
  <c r="F44" i="20"/>
  <c r="F43" i="20"/>
  <c r="F41" i="20"/>
  <c r="L41" i="20" s="1"/>
  <c r="F40" i="20"/>
  <c r="L40" i="20" s="1"/>
  <c r="F39" i="20"/>
  <c r="L39" i="20" s="1"/>
  <c r="L38" i="20"/>
  <c r="F36" i="20"/>
  <c r="F34" i="20"/>
  <c r="L34" i="20" s="1"/>
  <c r="L33" i="20"/>
  <c r="F32" i="20"/>
  <c r="L32" i="20" s="1"/>
  <c r="F31" i="20"/>
  <c r="L31" i="20" s="1"/>
  <c r="F30" i="20"/>
  <c r="L30" i="20" s="1"/>
  <c r="F24" i="20"/>
  <c r="L24" i="20" s="1"/>
  <c r="F23" i="20"/>
  <c r="L23" i="20" s="1"/>
  <c r="F22" i="20"/>
  <c r="F21" i="20"/>
  <c r="L21" i="20" s="1"/>
  <c r="F20" i="20"/>
  <c r="L20" i="20" s="1"/>
  <c r="L19" i="20"/>
  <c r="L18" i="20"/>
  <c r="F16" i="20"/>
  <c r="F15" i="20"/>
  <c r="K14" i="20"/>
  <c r="L14" i="20" s="1"/>
  <c r="K13" i="20"/>
  <c r="F13" i="20"/>
  <c r="F11" i="20"/>
  <c r="K10" i="20"/>
  <c r="F10" i="20"/>
  <c r="K7" i="20"/>
  <c r="F7" i="20"/>
  <c r="K6" i="20"/>
  <c r="L6" i="20" s="1"/>
  <c r="K277" i="3"/>
  <c r="E394" i="3"/>
  <c r="L486" i="20" l="1"/>
  <c r="D487" i="20"/>
  <c r="L287" i="20"/>
  <c r="L425" i="20"/>
  <c r="K256" i="20"/>
  <c r="L256" i="20" s="1"/>
  <c r="L15" i="20"/>
  <c r="L123" i="20"/>
  <c r="K173" i="20"/>
  <c r="L173" i="20" s="1"/>
  <c r="K166" i="20"/>
  <c r="L166" i="20" s="1"/>
  <c r="L203" i="20"/>
  <c r="D11" i="23"/>
  <c r="E11" i="23" s="1"/>
  <c r="B12" i="23" s="1"/>
  <c r="D12" i="23" s="1"/>
  <c r="L54" i="20"/>
  <c r="K155" i="20"/>
  <c r="L155" i="20" s="1"/>
  <c r="L138" i="20"/>
  <c r="L184" i="20"/>
  <c r="L3" i="20"/>
  <c r="L2" i="20"/>
  <c r="L7" i="20"/>
  <c r="L381" i="20"/>
  <c r="L10" i="20"/>
  <c r="L312" i="20"/>
  <c r="L43" i="20"/>
  <c r="L13" i="20"/>
  <c r="L11" i="20"/>
  <c r="L132" i="20"/>
  <c r="L107" i="20"/>
  <c r="L178" i="20"/>
  <c r="L257" i="20"/>
  <c r="L271" i="20"/>
  <c r="L279" i="20"/>
  <c r="L307" i="20"/>
  <c r="L348" i="20"/>
  <c r="L368" i="20"/>
  <c r="L393" i="20"/>
  <c r="L22" i="20"/>
  <c r="L74" i="20"/>
  <c r="L113" i="20"/>
  <c r="L189" i="20"/>
  <c r="L198" i="20"/>
  <c r="L235" i="20"/>
  <c r="L243" i="20"/>
  <c r="L261" i="20"/>
  <c r="L283" i="20"/>
  <c r="L299" i="20"/>
  <c r="L311" i="20"/>
  <c r="L354" i="20"/>
  <c r="L372" i="20"/>
  <c r="L397" i="20"/>
  <c r="L413" i="20"/>
  <c r="F444" i="3"/>
  <c r="F443" i="3"/>
  <c r="F442" i="3"/>
  <c r="F441" i="3"/>
  <c r="B13" i="23" l="1"/>
  <c r="F440" i="3"/>
  <c r="D13" i="23" l="1"/>
  <c r="E13" i="23" s="1"/>
  <c r="F164" i="3"/>
  <c r="L165" i="3" s="1"/>
  <c r="F81" i="3"/>
  <c r="B14" i="23" l="1"/>
  <c r="D14" i="23" s="1"/>
  <c r="E14" i="23" s="1"/>
  <c r="K11" i="3"/>
  <c r="L11" i="3" s="1"/>
  <c r="H427" i="19"/>
  <c r="H426" i="19"/>
  <c r="H425" i="19"/>
  <c r="H424" i="19"/>
  <c r="H423" i="19"/>
  <c r="H419" i="19"/>
  <c r="H418" i="19"/>
  <c r="H417" i="19"/>
  <c r="H412" i="19"/>
  <c r="H411" i="19"/>
  <c r="H409" i="19"/>
  <c r="H408" i="19"/>
  <c r="H406" i="19"/>
  <c r="H405" i="19"/>
  <c r="H404" i="19"/>
  <c r="H403" i="19"/>
  <c r="H401" i="19"/>
  <c r="H399" i="19"/>
  <c r="H398" i="19"/>
  <c r="H397" i="19"/>
  <c r="H396" i="19"/>
  <c r="H394" i="19"/>
  <c r="H393" i="19"/>
  <c r="H389" i="19"/>
  <c r="H388" i="19"/>
  <c r="H387" i="19"/>
  <c r="H385" i="19"/>
  <c r="H384" i="19"/>
  <c r="H383" i="19"/>
  <c r="H380" i="19"/>
  <c r="H373" i="19"/>
  <c r="H372" i="19"/>
  <c r="H371" i="19"/>
  <c r="H370" i="19"/>
  <c r="H367" i="19"/>
  <c r="H366" i="19"/>
  <c r="H363" i="19"/>
  <c r="H362" i="19"/>
  <c r="H361" i="19"/>
  <c r="H360" i="19"/>
  <c r="H359" i="19"/>
  <c r="H358" i="19"/>
  <c r="H357" i="19"/>
  <c r="H356" i="19"/>
  <c r="H355" i="19"/>
  <c r="H352" i="19"/>
  <c r="H351" i="19"/>
  <c r="H350" i="19"/>
  <c r="H349" i="19"/>
  <c r="H346" i="19"/>
  <c r="H344" i="19"/>
  <c r="H343" i="19"/>
  <c r="H342" i="19"/>
  <c r="H341" i="19"/>
  <c r="H340" i="19"/>
  <c r="H338" i="19"/>
  <c r="H337" i="19"/>
  <c r="H336" i="19"/>
  <c r="H335" i="19"/>
  <c r="H334" i="19"/>
  <c r="H333" i="19"/>
  <c r="H332" i="19"/>
  <c r="H324" i="19"/>
  <c r="H323" i="19"/>
  <c r="H322" i="19"/>
  <c r="H321" i="19"/>
  <c r="H320" i="19"/>
  <c r="H319" i="19"/>
  <c r="H318" i="19"/>
  <c r="H317" i="19"/>
  <c r="H316" i="19"/>
  <c r="H315" i="19"/>
  <c r="H314" i="19"/>
  <c r="H313" i="19"/>
  <c r="H312" i="19"/>
  <c r="H311" i="19"/>
  <c r="H310" i="19"/>
  <c r="H309" i="19"/>
  <c r="H308" i="19"/>
  <c r="H307" i="19"/>
  <c r="H306" i="19"/>
  <c r="H305" i="19"/>
  <c r="H303" i="19"/>
  <c r="H302" i="19"/>
  <c r="H301" i="19"/>
  <c r="H299" i="19"/>
  <c r="H298" i="19"/>
  <c r="H295" i="19"/>
  <c r="H294" i="19"/>
  <c r="H293" i="19"/>
  <c r="H292" i="19"/>
  <c r="H290" i="19"/>
  <c r="H286" i="19"/>
  <c r="H285" i="19"/>
  <c r="H284" i="19"/>
  <c r="H283" i="19"/>
  <c r="H282" i="19"/>
  <c r="H281" i="19"/>
  <c r="H280" i="19"/>
  <c r="H279" i="19"/>
  <c r="H277" i="19"/>
  <c r="H276" i="19"/>
  <c r="H275" i="19"/>
  <c r="H274" i="19"/>
  <c r="H272" i="19"/>
  <c r="H270" i="19"/>
  <c r="H269" i="19"/>
  <c r="H268" i="19"/>
  <c r="H267" i="19"/>
  <c r="H265" i="19"/>
  <c r="H264" i="19"/>
  <c r="H262" i="19"/>
  <c r="H261" i="19"/>
  <c r="H260" i="19"/>
  <c r="H259" i="19"/>
  <c r="H258" i="19"/>
  <c r="H257" i="19"/>
  <c r="H256" i="19"/>
  <c r="H255" i="19"/>
  <c r="H254" i="19"/>
  <c r="H253" i="19"/>
  <c r="H252" i="19"/>
  <c r="H251" i="19"/>
  <c r="H250" i="19"/>
  <c r="H249" i="19"/>
  <c r="H248" i="19"/>
  <c r="H246" i="19"/>
  <c r="H245" i="19"/>
  <c r="H244" i="19"/>
  <c r="H242" i="19"/>
  <c r="H241" i="19"/>
  <c r="H240" i="19"/>
  <c r="H239" i="19"/>
  <c r="H238" i="19"/>
  <c r="H237" i="19"/>
  <c r="H236" i="19"/>
  <c r="H235" i="19"/>
  <c r="H234" i="19"/>
  <c r="H233" i="19"/>
  <c r="H232" i="19"/>
  <c r="H231" i="19"/>
  <c r="H230" i="19"/>
  <c r="H229" i="19"/>
  <c r="H228" i="19"/>
  <c r="H227" i="19"/>
  <c r="H225" i="19"/>
  <c r="H223" i="19"/>
  <c r="H222" i="19"/>
  <c r="H221" i="19"/>
  <c r="H218" i="19"/>
  <c r="H217" i="19"/>
  <c r="H214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198" i="19"/>
  <c r="H196" i="19"/>
  <c r="H195" i="19"/>
  <c r="H194" i="19"/>
  <c r="H193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6" i="19"/>
  <c r="H175" i="19"/>
  <c r="H174" i="19"/>
  <c r="H173" i="19"/>
  <c r="H172" i="19"/>
  <c r="H169" i="19"/>
  <c r="H168" i="19"/>
  <c r="H166" i="19"/>
  <c r="H164" i="19"/>
  <c r="H163" i="19"/>
  <c r="H162" i="19"/>
  <c r="H161" i="19"/>
  <c r="H160" i="19"/>
  <c r="H159" i="19"/>
  <c r="H158" i="19"/>
  <c r="H157" i="19"/>
  <c r="H156" i="19"/>
  <c r="H155" i="19"/>
  <c r="H151" i="19"/>
  <c r="H150" i="19"/>
  <c r="H149" i="19"/>
  <c r="H148" i="19"/>
  <c r="H147" i="19"/>
  <c r="H146" i="19"/>
  <c r="H145" i="19"/>
  <c r="H144" i="19"/>
  <c r="H143" i="19"/>
  <c r="H141" i="19"/>
  <c r="H140" i="19"/>
  <c r="H138" i="19"/>
  <c r="H137" i="19"/>
  <c r="H136" i="19"/>
  <c r="H134" i="19"/>
  <c r="H133" i="19"/>
  <c r="H132" i="19"/>
  <c r="H131" i="19"/>
  <c r="H130" i="19"/>
  <c r="H129" i="19"/>
  <c r="H128" i="19"/>
  <c r="H127" i="19"/>
  <c r="H126" i="19"/>
  <c r="H123" i="19"/>
  <c r="H121" i="19"/>
  <c r="H120" i="19"/>
  <c r="H118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4" i="19"/>
  <c r="H83" i="19"/>
  <c r="H82" i="19"/>
  <c r="H81" i="19"/>
  <c r="H79" i="19"/>
  <c r="G72" i="19"/>
  <c r="H66" i="19"/>
  <c r="H65" i="19"/>
  <c r="H62" i="19"/>
  <c r="H61" i="19"/>
  <c r="H60" i="19"/>
  <c r="H59" i="19"/>
  <c r="H58" i="19"/>
  <c r="H55" i="19"/>
  <c r="H52" i="19"/>
  <c r="H51" i="19"/>
  <c r="H50" i="19"/>
  <c r="H49" i="19"/>
  <c r="H47" i="19"/>
  <c r="H44" i="19"/>
  <c r="H43" i="19"/>
  <c r="H42" i="19"/>
  <c r="H41" i="19"/>
  <c r="H39" i="19"/>
  <c r="H38" i="19"/>
  <c r="H37" i="19"/>
  <c r="H36" i="19"/>
  <c r="H35" i="19"/>
  <c r="H31" i="19"/>
  <c r="H30" i="19"/>
  <c r="H28" i="19"/>
  <c r="H27" i="19"/>
  <c r="H25" i="19"/>
  <c r="H21" i="19"/>
  <c r="H20" i="19"/>
  <c r="H19" i="19"/>
  <c r="H18" i="19"/>
  <c r="H17" i="19"/>
  <c r="H14" i="19"/>
  <c r="H13" i="19"/>
  <c r="H10" i="19"/>
  <c r="H9" i="19"/>
  <c r="H8" i="19"/>
  <c r="H7" i="19"/>
  <c r="H3" i="19"/>
  <c r="H2" i="19"/>
  <c r="F14" i="3"/>
  <c r="K47" i="3"/>
  <c r="L47" i="3" s="1"/>
  <c r="K406" i="3"/>
  <c r="K54" i="3"/>
  <c r="K394" i="3"/>
  <c r="F433" i="3"/>
  <c r="K396" i="3" l="1"/>
  <c r="L396" i="3" s="1"/>
  <c r="K330" i="3" l="1"/>
  <c r="K46" i="3" l="1"/>
  <c r="F46" i="3"/>
  <c r="F432" i="3"/>
  <c r="F378" i="3"/>
  <c r="K45" i="3"/>
  <c r="L45" i="3" s="1"/>
  <c r="K44" i="3"/>
  <c r="L44" i="3" s="1"/>
  <c r="K124" i="3"/>
  <c r="L124" i="3" s="1"/>
  <c r="L46" i="3" l="1"/>
  <c r="F356" i="3"/>
  <c r="E71" i="3" l="1"/>
  <c r="K63" i="3"/>
  <c r="L63" i="3" s="1"/>
  <c r="F34" i="3"/>
  <c r="F13" i="3"/>
  <c r="F283" i="3" l="1"/>
  <c r="K30" i="3"/>
  <c r="L30" i="3" s="1"/>
  <c r="F431" i="3"/>
  <c r="F430" i="3"/>
  <c r="F424" i="3" l="1"/>
  <c r="K373" i="3"/>
  <c r="L373" i="3" s="1"/>
  <c r="K43" i="3"/>
  <c r="F43" i="3"/>
  <c r="K169" i="3"/>
  <c r="F277" i="3"/>
  <c r="L277" i="3" s="1"/>
  <c r="K166" i="3"/>
  <c r="K238" i="3"/>
  <c r="F238" i="3"/>
  <c r="L238" i="3" l="1"/>
  <c r="F57" i="3"/>
  <c r="F54" i="3"/>
  <c r="L54" i="3" s="1"/>
  <c r="B16" i="16"/>
  <c r="D3" i="17"/>
  <c r="F305" i="3"/>
  <c r="K303" i="3"/>
  <c r="K369" i="3" l="1"/>
  <c r="L369" i="3" s="1"/>
  <c r="K257" i="3"/>
  <c r="F258" i="3"/>
  <c r="F361" i="3"/>
  <c r="K42" i="3"/>
  <c r="F42" i="3"/>
  <c r="K41" i="3"/>
  <c r="F41" i="3"/>
  <c r="F240" i="3"/>
  <c r="L240" i="3" s="1"/>
  <c r="K125" i="3"/>
  <c r="L125" i="3" s="1"/>
  <c r="K391" i="3"/>
  <c r="L41" i="3" l="1"/>
  <c r="L42" i="3"/>
  <c r="F158" i="3"/>
  <c r="K243" i="3"/>
  <c r="F40" i="3"/>
  <c r="K40" i="3"/>
  <c r="F393" i="3"/>
  <c r="K393" i="3"/>
  <c r="L40" i="3" l="1"/>
  <c r="L393" i="3"/>
  <c r="F49" i="3"/>
  <c r="F78" i="3"/>
  <c r="K73" i="3"/>
  <c r="L73" i="3" s="1"/>
  <c r="K68" i="3"/>
  <c r="K67" i="3"/>
  <c r="K51" i="3"/>
  <c r="K49" i="3"/>
  <c r="L49" i="3" l="1"/>
  <c r="D17" i="13" l="1"/>
  <c r="K386" i="3" l="1"/>
  <c r="K39" i="3" l="1"/>
  <c r="L39" i="3" s="1"/>
  <c r="K165" i="3"/>
  <c r="K37" i="3" l="1"/>
  <c r="F37" i="3"/>
  <c r="F38" i="3"/>
  <c r="L37" i="3" l="1"/>
  <c r="F111" i="3"/>
  <c r="F110" i="3"/>
  <c r="F101" i="3"/>
  <c r="K85" i="3"/>
  <c r="K36" i="3"/>
  <c r="F36" i="3"/>
  <c r="B23" i="9"/>
  <c r="L36" i="3" l="1"/>
  <c r="B15" i="10"/>
  <c r="K219" i="3"/>
  <c r="K380" i="3"/>
  <c r="L380" i="3" s="1"/>
  <c r="F323" i="3"/>
  <c r="K291" i="3"/>
  <c r="K35" i="3" l="1"/>
  <c r="F35" i="3"/>
  <c r="L386" i="3"/>
  <c r="K34" i="3"/>
  <c r="L34" i="3" s="1"/>
  <c r="K32" i="3"/>
  <c r="L32" i="3" s="1"/>
  <c r="K153" i="3"/>
  <c r="L152" i="3" s="1"/>
  <c r="F30" i="3"/>
  <c r="K175" i="3"/>
  <c r="F175" i="3"/>
  <c r="F29" i="3"/>
  <c r="L29" i="3" s="1"/>
  <c r="K29" i="3"/>
  <c r="L35" i="3" l="1"/>
  <c r="L175" i="3"/>
  <c r="K121" i="3" l="1"/>
  <c r="F118" i="3"/>
  <c r="K134" i="3" l="1"/>
  <c r="F134" i="3"/>
  <c r="K142" i="3"/>
  <c r="F143" i="3"/>
  <c r="K116" i="3"/>
  <c r="L116" i="3" s="1"/>
  <c r="L142" i="3" l="1"/>
  <c r="L134" i="3"/>
  <c r="K113" i="3"/>
  <c r="F114" i="3"/>
  <c r="K421" i="3" l="1"/>
  <c r="L421" i="3" s="1"/>
  <c r="F372" i="3"/>
  <c r="F388" i="3"/>
  <c r="K28" i="3"/>
  <c r="L28" i="3"/>
  <c r="F376" i="3"/>
  <c r="F27" i="3"/>
  <c r="K27" i="3"/>
  <c r="K26" i="3"/>
  <c r="F26" i="3"/>
  <c r="L26" i="3" s="1"/>
  <c r="K216" i="3"/>
  <c r="K65" i="3"/>
  <c r="L27" i="3" l="1"/>
  <c r="K425" i="3"/>
  <c r="K24" i="3"/>
  <c r="F24" i="3"/>
  <c r="K300" i="3"/>
  <c r="L300" i="3" s="1"/>
  <c r="L330" i="3"/>
  <c r="L24" i="3" l="1"/>
  <c r="F346" i="3"/>
  <c r="F17" i="3" l="1"/>
  <c r="K358" i="3" l="1"/>
  <c r="L358" i="3" s="1"/>
  <c r="K23" i="3" l="1"/>
  <c r="L23" i="3" s="1"/>
  <c r="K267" i="3"/>
  <c r="K22" i="3" l="1"/>
  <c r="L22" i="3" s="1"/>
  <c r="K21" i="3"/>
  <c r="F20" i="3"/>
  <c r="F21" i="3"/>
  <c r="K20" i="3"/>
  <c r="L21" i="3" l="1"/>
  <c r="L20" i="3"/>
  <c r="L291" i="3"/>
  <c r="K343" i="3" l="1"/>
  <c r="K19" i="3"/>
  <c r="F19" i="3"/>
  <c r="K196" i="3"/>
  <c r="L19" i="3" l="1"/>
  <c r="F18" i="3"/>
  <c r="L18" i="3" s="1"/>
  <c r="K345" i="3"/>
  <c r="K17" i="3"/>
  <c r="L17" i="3" s="1"/>
  <c r="K16" i="3"/>
  <c r="L16" i="3" s="1"/>
  <c r="K275" i="3"/>
  <c r="K8" i="3"/>
  <c r="F8" i="3"/>
  <c r="L8" i="3" l="1"/>
  <c r="K400" i="3"/>
  <c r="K15" i="3"/>
  <c r="L15" i="3" s="1"/>
  <c r="K13" i="3"/>
  <c r="L13" i="3" s="1"/>
  <c r="K10" i="3"/>
  <c r="F10" i="3"/>
  <c r="F429" i="3"/>
  <c r="L10" i="3" l="1"/>
  <c r="F418" i="3"/>
  <c r="F9" i="3"/>
  <c r="F7" i="3"/>
  <c r="F284" i="3" l="1"/>
  <c r="K9" i="3" l="1"/>
  <c r="L9" i="3" s="1"/>
  <c r="K7" i="3"/>
  <c r="L7" i="3" s="1"/>
  <c r="F314" i="3" l="1"/>
  <c r="F273" i="3"/>
  <c r="K273" i="3"/>
  <c r="F405" i="3"/>
  <c r="K6" i="3" l="1"/>
  <c r="L6" i="3" s="1"/>
  <c r="K5" i="3"/>
  <c r="L5" i="3" s="1"/>
  <c r="K271" i="3"/>
  <c r="K4" i="3"/>
  <c r="L4" i="3" s="1"/>
  <c r="K48" i="3"/>
  <c r="K3" i="3"/>
  <c r="F3" i="3"/>
  <c r="F48" i="3"/>
  <c r="F50" i="3"/>
  <c r="F51" i="3"/>
  <c r="L51" i="3" s="1"/>
  <c r="F58" i="3"/>
  <c r="F59" i="3"/>
  <c r="F60" i="3"/>
  <c r="F61" i="3"/>
  <c r="F64" i="3"/>
  <c r="F65" i="3"/>
  <c r="L65" i="3" s="1"/>
  <c r="F80" i="3"/>
  <c r="F82" i="3"/>
  <c r="F83" i="3"/>
  <c r="F84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2" i="3"/>
  <c r="F103" i="3"/>
  <c r="F104" i="3"/>
  <c r="F105" i="3"/>
  <c r="F106" i="3"/>
  <c r="F107" i="3"/>
  <c r="F108" i="3"/>
  <c r="F109" i="3"/>
  <c r="F112" i="3"/>
  <c r="F113" i="3"/>
  <c r="L113" i="3" s="1"/>
  <c r="F120" i="3"/>
  <c r="F121" i="3"/>
  <c r="F123" i="3"/>
  <c r="F126" i="3"/>
  <c r="F127" i="3"/>
  <c r="F128" i="3"/>
  <c r="F129" i="3"/>
  <c r="F130" i="3"/>
  <c r="F131" i="3"/>
  <c r="F132" i="3"/>
  <c r="F133" i="3"/>
  <c r="F136" i="3"/>
  <c r="F137" i="3"/>
  <c r="F138" i="3"/>
  <c r="F140" i="3"/>
  <c r="F141" i="3"/>
  <c r="F144" i="3"/>
  <c r="F145" i="3"/>
  <c r="F146" i="3"/>
  <c r="F147" i="3"/>
  <c r="F148" i="3"/>
  <c r="F149" i="3"/>
  <c r="F150" i="3"/>
  <c r="F151" i="3"/>
  <c r="F155" i="3"/>
  <c r="F156" i="3"/>
  <c r="F157" i="3"/>
  <c r="F159" i="3"/>
  <c r="F160" i="3"/>
  <c r="F161" i="3"/>
  <c r="F162" i="3"/>
  <c r="F163" i="3"/>
  <c r="F166" i="3"/>
  <c r="F168" i="3"/>
  <c r="F169" i="3"/>
  <c r="F172" i="3"/>
  <c r="F173" i="3"/>
  <c r="F174" i="3"/>
  <c r="F176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3" i="3"/>
  <c r="F194" i="3"/>
  <c r="F195" i="3"/>
  <c r="F196" i="3"/>
  <c r="F199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5" i="3"/>
  <c r="F218" i="3"/>
  <c r="F219" i="3"/>
  <c r="F222" i="3"/>
  <c r="F223" i="3"/>
  <c r="F224" i="3"/>
  <c r="F226" i="3"/>
  <c r="F228" i="3"/>
  <c r="F229" i="3"/>
  <c r="F230" i="3"/>
  <c r="F231" i="3"/>
  <c r="F232" i="3"/>
  <c r="F233" i="3"/>
  <c r="F234" i="3"/>
  <c r="F235" i="3"/>
  <c r="F236" i="3"/>
  <c r="F237" i="3"/>
  <c r="F239" i="3"/>
  <c r="F241" i="3"/>
  <c r="F242" i="3"/>
  <c r="F243" i="3"/>
  <c r="F245" i="3"/>
  <c r="F246" i="3"/>
  <c r="F247" i="3"/>
  <c r="F249" i="3"/>
  <c r="F250" i="3"/>
  <c r="F251" i="3"/>
  <c r="F252" i="3"/>
  <c r="F253" i="3"/>
  <c r="F254" i="3"/>
  <c r="F255" i="3"/>
  <c r="F256" i="3"/>
  <c r="F257" i="3"/>
  <c r="L257" i="3" s="1"/>
  <c r="F259" i="3"/>
  <c r="F260" i="3"/>
  <c r="F261" i="3"/>
  <c r="F262" i="3"/>
  <c r="F263" i="3"/>
  <c r="F265" i="3"/>
  <c r="F266" i="3"/>
  <c r="F267" i="3"/>
  <c r="L267" i="3" s="1"/>
  <c r="F268" i="3"/>
  <c r="F269" i="3"/>
  <c r="F270" i="3"/>
  <c r="F271" i="3"/>
  <c r="F279" i="3"/>
  <c r="F280" i="3"/>
  <c r="F281" i="3"/>
  <c r="F285" i="3"/>
  <c r="F286" i="3"/>
  <c r="F287" i="3"/>
  <c r="F288" i="3"/>
  <c r="F289" i="3"/>
  <c r="F290" i="3"/>
  <c r="F294" i="3"/>
  <c r="F296" i="3"/>
  <c r="F297" i="3"/>
  <c r="F298" i="3"/>
  <c r="F299" i="3"/>
  <c r="F302" i="3"/>
  <c r="F303" i="3"/>
  <c r="F306" i="3"/>
  <c r="F307" i="3"/>
  <c r="F309" i="3"/>
  <c r="F310" i="3"/>
  <c r="F311" i="3"/>
  <c r="F312" i="3"/>
  <c r="F313" i="3"/>
  <c r="F315" i="3"/>
  <c r="F316" i="3"/>
  <c r="F317" i="3"/>
  <c r="F319" i="3"/>
  <c r="F320" i="3"/>
  <c r="F321" i="3"/>
  <c r="F322" i="3"/>
  <c r="F324" i="3"/>
  <c r="F325" i="3"/>
  <c r="F326" i="3"/>
  <c r="F327" i="3"/>
  <c r="F328" i="3"/>
  <c r="F329" i="3"/>
  <c r="F337" i="3"/>
  <c r="F338" i="3"/>
  <c r="F339" i="3"/>
  <c r="F340" i="3"/>
  <c r="F341" i="3"/>
  <c r="F342" i="3"/>
  <c r="F343" i="3"/>
  <c r="F345" i="3"/>
  <c r="L345" i="3" s="1"/>
  <c r="F347" i="3"/>
  <c r="F348" i="3"/>
  <c r="F349" i="3"/>
  <c r="F351" i="3"/>
  <c r="F354" i="3"/>
  <c r="F355" i="3"/>
  <c r="F357" i="3"/>
  <c r="F360" i="3"/>
  <c r="F362" i="3"/>
  <c r="F363" i="3"/>
  <c r="F364" i="3"/>
  <c r="F365" i="3"/>
  <c r="F366" i="3"/>
  <c r="F367" i="3"/>
  <c r="F368" i="3"/>
  <c r="F371" i="3"/>
  <c r="F375" i="3"/>
  <c r="F377" i="3"/>
  <c r="F385" i="3"/>
  <c r="F389" i="3"/>
  <c r="F390" i="3"/>
  <c r="F392" i="3"/>
  <c r="F398" i="3"/>
  <c r="F400" i="3"/>
  <c r="F402" i="3"/>
  <c r="F403" i="3"/>
  <c r="F404" i="3"/>
  <c r="F407" i="3"/>
  <c r="F408" i="3"/>
  <c r="F410" i="3"/>
  <c r="F411" i="3"/>
  <c r="F412" i="3"/>
  <c r="F415" i="3"/>
  <c r="F416" i="3"/>
  <c r="F417" i="3"/>
  <c r="F423" i="3"/>
  <c r="F425" i="3"/>
  <c r="K2" i="3"/>
  <c r="F2" i="3"/>
  <c r="K157" i="3" l="1"/>
  <c r="L157" i="3" s="1"/>
  <c r="L3" i="3"/>
  <c r="L2" i="3"/>
  <c r="L48" i="3"/>
  <c r="K419" i="3" l="1"/>
  <c r="L419" i="3" s="1"/>
  <c r="K50" i="3"/>
  <c r="L50" i="3" s="1"/>
  <c r="K53" i="3"/>
  <c r="K58" i="3"/>
  <c r="L58" i="3" s="1"/>
  <c r="K59" i="3"/>
  <c r="L59" i="3" s="1"/>
  <c r="K60" i="3"/>
  <c r="L60" i="3" s="1"/>
  <c r="K61" i="3"/>
  <c r="L61" i="3" s="1"/>
  <c r="K64" i="3"/>
  <c r="L64" i="3" s="1"/>
  <c r="K69" i="3"/>
  <c r="L69" i="3" s="1"/>
  <c r="K71" i="3"/>
  <c r="L71" i="3" s="1"/>
  <c r="K79" i="3"/>
  <c r="L79" i="3" s="1"/>
  <c r="K80" i="3"/>
  <c r="L80" i="3" s="1"/>
  <c r="K82" i="3"/>
  <c r="L82" i="3" s="1"/>
  <c r="K83" i="3"/>
  <c r="L83" i="3" s="1"/>
  <c r="K84" i="3"/>
  <c r="L84" i="3" s="1"/>
  <c r="L85" i="3"/>
  <c r="K87" i="3"/>
  <c r="L87" i="3" s="1"/>
  <c r="K88" i="3"/>
  <c r="L88" i="3" s="1"/>
  <c r="K89" i="3"/>
  <c r="L89" i="3" s="1"/>
  <c r="K90" i="3"/>
  <c r="L90" i="3" s="1"/>
  <c r="K91" i="3"/>
  <c r="L91" i="3" s="1"/>
  <c r="K92" i="3"/>
  <c r="L92" i="3" s="1"/>
  <c r="K93" i="3"/>
  <c r="L93" i="3" s="1"/>
  <c r="K94" i="3"/>
  <c r="L94" i="3" s="1"/>
  <c r="K95" i="3"/>
  <c r="L95" i="3" s="1"/>
  <c r="K96" i="3"/>
  <c r="L96" i="3" s="1"/>
  <c r="K97" i="3"/>
  <c r="L97" i="3" s="1"/>
  <c r="K98" i="3"/>
  <c r="L98" i="3" s="1"/>
  <c r="K99" i="3"/>
  <c r="L99" i="3" s="1"/>
  <c r="K100" i="3"/>
  <c r="L100" i="3" s="1"/>
  <c r="K102" i="3"/>
  <c r="L102" i="3" s="1"/>
  <c r="K103" i="3"/>
  <c r="L103" i="3" s="1"/>
  <c r="K104" i="3"/>
  <c r="L104" i="3" s="1"/>
  <c r="K105" i="3"/>
  <c r="L105" i="3" s="1"/>
  <c r="K106" i="3"/>
  <c r="L106" i="3" s="1"/>
  <c r="K107" i="3"/>
  <c r="L107" i="3" s="1"/>
  <c r="K108" i="3"/>
  <c r="L108" i="3" s="1"/>
  <c r="K109" i="3"/>
  <c r="L109" i="3" s="1"/>
  <c r="K112" i="3"/>
  <c r="L112" i="3" s="1"/>
  <c r="K115" i="3"/>
  <c r="L115" i="3" s="1"/>
  <c r="K118" i="3"/>
  <c r="L118" i="3" s="1"/>
  <c r="K120" i="3"/>
  <c r="L120" i="3" s="1"/>
  <c r="L121" i="3"/>
  <c r="K123" i="3"/>
  <c r="L123" i="3" s="1"/>
  <c r="K126" i="3"/>
  <c r="L126" i="3" s="1"/>
  <c r="K127" i="3"/>
  <c r="L127" i="3" s="1"/>
  <c r="K128" i="3"/>
  <c r="L128" i="3" s="1"/>
  <c r="K129" i="3"/>
  <c r="L129" i="3" s="1"/>
  <c r="K130" i="3"/>
  <c r="L130" i="3" s="1"/>
  <c r="K131" i="3"/>
  <c r="L131" i="3" s="1"/>
  <c r="K132" i="3"/>
  <c r="L132" i="3" s="1"/>
  <c r="K133" i="3"/>
  <c r="L133" i="3" s="1"/>
  <c r="K135" i="3"/>
  <c r="L135" i="3" s="1"/>
  <c r="K136" i="3"/>
  <c r="L136" i="3" s="1"/>
  <c r="K137" i="3"/>
  <c r="L137" i="3" s="1"/>
  <c r="K138" i="3"/>
  <c r="L138" i="3" s="1"/>
  <c r="K139" i="3"/>
  <c r="L139" i="3" s="1"/>
  <c r="K140" i="3"/>
  <c r="L140" i="3" s="1"/>
  <c r="K141" i="3"/>
  <c r="L141" i="3" s="1"/>
  <c r="K144" i="3"/>
  <c r="L144" i="3" s="1"/>
  <c r="K145" i="3"/>
  <c r="L145" i="3" s="1"/>
  <c r="K146" i="3"/>
  <c r="L146" i="3" s="1"/>
  <c r="K147" i="3"/>
  <c r="L147" i="3" s="1"/>
  <c r="K148" i="3"/>
  <c r="L148" i="3" s="1"/>
  <c r="K149" i="3"/>
  <c r="L149" i="3" s="1"/>
  <c r="K150" i="3"/>
  <c r="L150" i="3" s="1"/>
  <c r="K151" i="3"/>
  <c r="L151" i="3" s="1"/>
  <c r="K155" i="3"/>
  <c r="L155" i="3" s="1"/>
  <c r="K156" i="3"/>
  <c r="L156" i="3" s="1"/>
  <c r="K159" i="3"/>
  <c r="L159" i="3" s="1"/>
  <c r="K160" i="3"/>
  <c r="L160" i="3" s="1"/>
  <c r="K161" i="3"/>
  <c r="L161" i="3" s="1"/>
  <c r="K162" i="3"/>
  <c r="L162" i="3" s="1"/>
  <c r="K163" i="3"/>
  <c r="L163" i="3" s="1"/>
  <c r="K164" i="3"/>
  <c r="L166" i="3"/>
  <c r="K168" i="3"/>
  <c r="L168" i="3" s="1"/>
  <c r="L169" i="3"/>
  <c r="K172" i="3"/>
  <c r="L172" i="3" s="1"/>
  <c r="K173" i="3"/>
  <c r="L173" i="3" s="1"/>
  <c r="K174" i="3"/>
  <c r="L174" i="3" s="1"/>
  <c r="K176" i="3"/>
  <c r="L176" i="3" s="1"/>
  <c r="K177" i="3"/>
  <c r="L177" i="3" s="1"/>
  <c r="K178" i="3"/>
  <c r="L178" i="3" s="1"/>
  <c r="K179" i="3"/>
  <c r="L179" i="3" s="1"/>
  <c r="K180" i="3"/>
  <c r="L180" i="3" s="1"/>
  <c r="K181" i="3"/>
  <c r="L181" i="3" s="1"/>
  <c r="K182" i="3"/>
  <c r="L182" i="3" s="1"/>
  <c r="K183" i="3"/>
  <c r="L183" i="3" s="1"/>
  <c r="K184" i="3"/>
  <c r="L184" i="3" s="1"/>
  <c r="K185" i="3"/>
  <c r="L185" i="3" s="1"/>
  <c r="K186" i="3"/>
  <c r="L186" i="3" s="1"/>
  <c r="K187" i="3"/>
  <c r="L187" i="3" s="1"/>
  <c r="K188" i="3"/>
  <c r="L188" i="3" s="1"/>
  <c r="K189" i="3"/>
  <c r="L189" i="3" s="1"/>
  <c r="K190" i="3"/>
  <c r="L190" i="3" s="1"/>
  <c r="K191" i="3"/>
  <c r="L191" i="3" s="1"/>
  <c r="K192" i="3"/>
  <c r="L192" i="3" s="1"/>
  <c r="K193" i="3"/>
  <c r="L193" i="3" s="1"/>
  <c r="K194" i="3"/>
  <c r="L194" i="3" s="1"/>
  <c r="K195" i="3"/>
  <c r="L195" i="3" s="1"/>
  <c r="L196" i="3"/>
  <c r="K199" i="3"/>
  <c r="L199" i="3" s="1"/>
  <c r="K200" i="3"/>
  <c r="L200" i="3" s="1"/>
  <c r="K202" i="3"/>
  <c r="L202" i="3" s="1"/>
  <c r="K203" i="3"/>
  <c r="L203" i="3" s="1"/>
  <c r="K204" i="3"/>
  <c r="L204" i="3" s="1"/>
  <c r="K205" i="3"/>
  <c r="L205" i="3" s="1"/>
  <c r="K206" i="3"/>
  <c r="L206" i="3" s="1"/>
  <c r="K207" i="3"/>
  <c r="L207" i="3" s="1"/>
  <c r="K208" i="3"/>
  <c r="L208" i="3" s="1"/>
  <c r="K209" i="3"/>
  <c r="L209" i="3" s="1"/>
  <c r="K210" i="3"/>
  <c r="L210" i="3" s="1"/>
  <c r="K211" i="3"/>
  <c r="L211" i="3" s="1"/>
  <c r="K212" i="3"/>
  <c r="L212" i="3" s="1"/>
  <c r="K213" i="3"/>
  <c r="L213" i="3" s="1"/>
  <c r="K214" i="3"/>
  <c r="L214" i="3" s="1"/>
  <c r="K215" i="3"/>
  <c r="L215" i="3" s="1"/>
  <c r="K218" i="3"/>
  <c r="L218" i="3" s="1"/>
  <c r="L219" i="3"/>
  <c r="K222" i="3"/>
  <c r="L222" i="3" s="1"/>
  <c r="K223" i="3"/>
  <c r="L223" i="3" s="1"/>
  <c r="K224" i="3"/>
  <c r="L224" i="3" s="1"/>
  <c r="K225" i="3"/>
  <c r="L225" i="3" s="1"/>
  <c r="K226" i="3"/>
  <c r="L226" i="3" s="1"/>
  <c r="K227" i="3"/>
  <c r="L227" i="3" s="1"/>
  <c r="K228" i="3"/>
  <c r="L228" i="3" s="1"/>
  <c r="K229" i="3"/>
  <c r="L229" i="3" s="1"/>
  <c r="K230" i="3"/>
  <c r="L230" i="3" s="1"/>
  <c r="K231" i="3"/>
  <c r="L231" i="3" s="1"/>
  <c r="K232" i="3"/>
  <c r="L232" i="3" s="1"/>
  <c r="K233" i="3"/>
  <c r="L233" i="3" s="1"/>
  <c r="K234" i="3"/>
  <c r="L234" i="3" s="1"/>
  <c r="K235" i="3"/>
  <c r="L235" i="3" s="1"/>
  <c r="K236" i="3"/>
  <c r="L236" i="3" s="1"/>
  <c r="K237" i="3"/>
  <c r="L237" i="3" s="1"/>
  <c r="K239" i="3"/>
  <c r="L239" i="3" s="1"/>
  <c r="K241" i="3"/>
  <c r="L241" i="3" s="1"/>
  <c r="K242" i="3"/>
  <c r="L242" i="3" s="1"/>
  <c r="L243" i="3"/>
  <c r="K245" i="3"/>
  <c r="L245" i="3" s="1"/>
  <c r="K246" i="3"/>
  <c r="L246" i="3" s="1"/>
  <c r="K247" i="3"/>
  <c r="L247" i="3" s="1"/>
  <c r="K248" i="3"/>
  <c r="L248" i="3" s="1"/>
  <c r="K249" i="3"/>
  <c r="L249" i="3" s="1"/>
  <c r="K250" i="3"/>
  <c r="L250" i="3" s="1"/>
  <c r="K251" i="3"/>
  <c r="L251" i="3" s="1"/>
  <c r="K252" i="3"/>
  <c r="L252" i="3" s="1"/>
  <c r="K253" i="3"/>
  <c r="L253" i="3" s="1"/>
  <c r="K254" i="3"/>
  <c r="L254" i="3" s="1"/>
  <c r="K255" i="3"/>
  <c r="L255" i="3" s="1"/>
  <c r="K256" i="3"/>
  <c r="L256" i="3" s="1"/>
  <c r="K259" i="3"/>
  <c r="L259" i="3" s="1"/>
  <c r="K260" i="3"/>
  <c r="L260" i="3" s="1"/>
  <c r="K261" i="3"/>
  <c r="L261" i="3" s="1"/>
  <c r="K262" i="3"/>
  <c r="L262" i="3" s="1"/>
  <c r="K263" i="3"/>
  <c r="L263" i="3" s="1"/>
  <c r="K264" i="3"/>
  <c r="L264" i="3" s="1"/>
  <c r="K265" i="3"/>
  <c r="L265" i="3" s="1"/>
  <c r="K266" i="3"/>
  <c r="L266" i="3" s="1"/>
  <c r="K268" i="3"/>
  <c r="L268" i="3" s="1"/>
  <c r="K269" i="3"/>
  <c r="L269" i="3" s="1"/>
  <c r="K270" i="3"/>
  <c r="L270" i="3" s="1"/>
  <c r="L271" i="3"/>
  <c r="L273" i="3"/>
  <c r="K279" i="3"/>
  <c r="L279" i="3" s="1"/>
  <c r="K280" i="3"/>
  <c r="L280" i="3" s="1"/>
  <c r="K281" i="3"/>
  <c r="L281" i="3" s="1"/>
  <c r="K282" i="3"/>
  <c r="L282" i="3" s="1"/>
  <c r="K284" i="3"/>
  <c r="L284" i="3" s="1"/>
  <c r="K285" i="3"/>
  <c r="L285" i="3" s="1"/>
  <c r="K286" i="3"/>
  <c r="L286" i="3" s="1"/>
  <c r="K287" i="3"/>
  <c r="L287" i="3" s="1"/>
  <c r="K288" i="3"/>
  <c r="L288" i="3" s="1"/>
  <c r="K289" i="3"/>
  <c r="L289" i="3" s="1"/>
  <c r="K290" i="3"/>
  <c r="L290" i="3" s="1"/>
  <c r="K294" i="3"/>
  <c r="L294" i="3" s="1"/>
  <c r="K295" i="3"/>
  <c r="L295" i="3" s="1"/>
  <c r="K296" i="3"/>
  <c r="L296" i="3" s="1"/>
  <c r="K297" i="3"/>
  <c r="L297" i="3" s="1"/>
  <c r="K298" i="3"/>
  <c r="L298" i="3" s="1"/>
  <c r="K299" i="3"/>
  <c r="L299" i="3" s="1"/>
  <c r="K302" i="3"/>
  <c r="L302" i="3" s="1"/>
  <c r="L303" i="3"/>
  <c r="K306" i="3"/>
  <c r="L306" i="3" s="1"/>
  <c r="K307" i="3"/>
  <c r="L307" i="3" s="1"/>
  <c r="K308" i="3"/>
  <c r="L308" i="3" s="1"/>
  <c r="K309" i="3"/>
  <c r="L309" i="3" s="1"/>
  <c r="K310" i="3"/>
  <c r="L310" i="3" s="1"/>
  <c r="K311" i="3"/>
  <c r="L311" i="3" s="1"/>
  <c r="K312" i="3"/>
  <c r="L312" i="3" s="1"/>
  <c r="K313" i="3"/>
  <c r="L313" i="3" s="1"/>
  <c r="K314" i="3"/>
  <c r="L314" i="3" s="1"/>
  <c r="K315" i="3"/>
  <c r="L315" i="3" s="1"/>
  <c r="K316" i="3"/>
  <c r="L316" i="3" s="1"/>
  <c r="K317" i="3"/>
  <c r="L317" i="3" s="1"/>
  <c r="K319" i="3"/>
  <c r="L319" i="3" s="1"/>
  <c r="K320" i="3"/>
  <c r="L320" i="3" s="1"/>
  <c r="K321" i="3"/>
  <c r="L321" i="3" s="1"/>
  <c r="K322" i="3"/>
  <c r="L322" i="3" s="1"/>
  <c r="K324" i="3"/>
  <c r="L324" i="3" s="1"/>
  <c r="K325" i="3"/>
  <c r="L325" i="3" s="1"/>
  <c r="K326" i="3"/>
  <c r="L326" i="3" s="1"/>
  <c r="K327" i="3"/>
  <c r="L327" i="3" s="1"/>
  <c r="K328" i="3"/>
  <c r="L328" i="3" s="1"/>
  <c r="K329" i="3"/>
  <c r="L329" i="3" s="1"/>
  <c r="K337" i="3"/>
  <c r="L337" i="3" s="1"/>
  <c r="K338" i="3"/>
  <c r="L338" i="3" s="1"/>
  <c r="K339" i="3"/>
  <c r="L339" i="3" s="1"/>
  <c r="K340" i="3"/>
  <c r="L340" i="3" s="1"/>
  <c r="K341" i="3"/>
  <c r="K342" i="3"/>
  <c r="L342" i="3" s="1"/>
  <c r="L343" i="3"/>
  <c r="K347" i="3"/>
  <c r="L347" i="3" s="1"/>
  <c r="K348" i="3"/>
  <c r="L348" i="3" s="1"/>
  <c r="K349" i="3"/>
  <c r="L349" i="3" s="1"/>
  <c r="K350" i="3"/>
  <c r="L350" i="3" s="1"/>
  <c r="K351" i="3"/>
  <c r="L351" i="3" s="1"/>
  <c r="K352" i="3"/>
  <c r="L352" i="3" s="1"/>
  <c r="K353" i="3"/>
  <c r="L353" i="3" s="1"/>
  <c r="K354" i="3"/>
  <c r="L354" i="3" s="1"/>
  <c r="K355" i="3"/>
  <c r="L355" i="3" s="1"/>
  <c r="K357" i="3"/>
  <c r="L357" i="3" s="1"/>
  <c r="K360" i="3"/>
  <c r="L360" i="3" s="1"/>
  <c r="K362" i="3"/>
  <c r="L362" i="3" s="1"/>
  <c r="K363" i="3"/>
  <c r="L363" i="3" s="1"/>
  <c r="K364" i="3"/>
  <c r="L364" i="3" s="1"/>
  <c r="K365" i="3"/>
  <c r="L365" i="3" s="1"/>
  <c r="K366" i="3"/>
  <c r="L366" i="3" s="1"/>
  <c r="K367" i="3"/>
  <c r="L367" i="3" s="1"/>
  <c r="K368" i="3"/>
  <c r="L368" i="3" s="1"/>
  <c r="K371" i="3"/>
  <c r="L371" i="3" s="1"/>
  <c r="K372" i="3"/>
  <c r="L372" i="3" s="1"/>
  <c r="K375" i="3"/>
  <c r="L375" i="3" s="1"/>
  <c r="K377" i="3"/>
  <c r="L377" i="3" s="1"/>
  <c r="K378" i="3"/>
  <c r="L378" i="3" s="1"/>
  <c r="K379" i="3"/>
  <c r="L379" i="3" s="1"/>
  <c r="K385" i="3"/>
  <c r="L385" i="3" s="1"/>
  <c r="K388" i="3"/>
  <c r="L388" i="3" s="1"/>
  <c r="K389" i="3"/>
  <c r="L389" i="3" s="1"/>
  <c r="K390" i="3"/>
  <c r="L390" i="3" s="1"/>
  <c r="K392" i="3"/>
  <c r="L394" i="3"/>
  <c r="L400" i="3"/>
  <c r="K402" i="3"/>
  <c r="L402" i="3" s="1"/>
  <c r="K403" i="3"/>
  <c r="L403" i="3" s="1"/>
  <c r="K404" i="3"/>
  <c r="L404" i="3" s="1"/>
  <c r="K405" i="3"/>
  <c r="K407" i="3"/>
  <c r="L407" i="3" s="1"/>
  <c r="K408" i="3"/>
  <c r="L408" i="3" s="1"/>
  <c r="K409" i="3"/>
  <c r="L409" i="3" s="1"/>
  <c r="K410" i="3"/>
  <c r="L410" i="3" s="1"/>
  <c r="K411" i="3"/>
  <c r="L411" i="3" s="1"/>
  <c r="K412" i="3"/>
  <c r="L412" i="3" s="1"/>
  <c r="K414" i="3"/>
  <c r="L414" i="3" s="1"/>
  <c r="K415" i="3"/>
  <c r="L415" i="3" s="1"/>
  <c r="K416" i="3"/>
  <c r="L416" i="3" s="1"/>
  <c r="K417" i="3"/>
  <c r="L417" i="3" s="1"/>
  <c r="K418" i="3"/>
  <c r="L418" i="3" s="1"/>
  <c r="K423" i="3"/>
  <c r="L423" i="3" s="1"/>
  <c r="L425" i="3"/>
  <c r="L392" i="3" l="1"/>
  <c r="L341" i="3"/>
  <c r="L405" i="3"/>
  <c r="L289" i="20"/>
</calcChain>
</file>

<file path=xl/sharedStrings.xml><?xml version="1.0" encoding="utf-8"?>
<sst xmlns="http://schemas.openxmlformats.org/spreadsheetml/2006/main" count="9702" uniqueCount="3994">
  <si>
    <t>ردیف</t>
  </si>
  <si>
    <t>نام مشتری</t>
  </si>
  <si>
    <t>شروع سپرده</t>
  </si>
  <si>
    <t>پایان سپرده</t>
  </si>
  <si>
    <t>تاریخ واریزی</t>
  </si>
  <si>
    <t>درصد مشارکت</t>
  </si>
  <si>
    <t>اصل ضمانت</t>
  </si>
  <si>
    <t>خانم رویا غلامی</t>
  </si>
  <si>
    <t xml:space="preserve">عبدالحسین کامگارپور </t>
  </si>
  <si>
    <t>جواد حاتم زاده فهندری</t>
  </si>
  <si>
    <t>مسعود غلامی (علی غلامی)</t>
  </si>
  <si>
    <t xml:space="preserve">فاطمه بارانی </t>
  </si>
  <si>
    <t xml:space="preserve">محمد حسین پور </t>
  </si>
  <si>
    <t>مینا خالدی</t>
  </si>
  <si>
    <t>الهه طیبی کریم آبادی</t>
  </si>
  <si>
    <t>محمد حسینی</t>
  </si>
  <si>
    <t>سید ناصر رییس الساداتی</t>
  </si>
  <si>
    <t xml:space="preserve">هادی تابانی </t>
  </si>
  <si>
    <t>فاطمه شیرازی کالشور</t>
  </si>
  <si>
    <t>علی زردادخانی</t>
  </si>
  <si>
    <t xml:space="preserve">مجتبی غلامی </t>
  </si>
  <si>
    <t>غلامرضا محمدی</t>
  </si>
  <si>
    <t>ملیحه تابانی</t>
  </si>
  <si>
    <t xml:space="preserve">اعظم صالحان </t>
  </si>
  <si>
    <t>عفت بهلولی دونخی</t>
  </si>
  <si>
    <t>پرستو محمد زاده</t>
  </si>
  <si>
    <t xml:space="preserve">فاطمه اسماعیلی  </t>
  </si>
  <si>
    <t>زهرا کریمی تیگاب</t>
  </si>
  <si>
    <t xml:space="preserve">احمد طاهری </t>
  </si>
  <si>
    <t xml:space="preserve">زینب قزل سفلو </t>
  </si>
  <si>
    <t>شاه جهان کریم خواه</t>
  </si>
  <si>
    <t xml:space="preserve">کبرا شاه وردی </t>
  </si>
  <si>
    <t xml:space="preserve">محمد غلامی پسر علی </t>
  </si>
  <si>
    <t>نسرین شمسی</t>
  </si>
  <si>
    <t xml:space="preserve">مهدی کیوانلو شهرستانکی </t>
  </si>
  <si>
    <t>امیر مهدی رضائی</t>
  </si>
  <si>
    <t>احمد عبداللهی</t>
  </si>
  <si>
    <t>علی حسینی (قاین)</t>
  </si>
  <si>
    <t>صفیه علی میرزائی</t>
  </si>
  <si>
    <t>امیر شریف زاده کریمی شریف</t>
  </si>
  <si>
    <t xml:space="preserve">مریم عباسی </t>
  </si>
  <si>
    <t xml:space="preserve">غلامرضا حشمتی نیا </t>
  </si>
  <si>
    <t xml:space="preserve">عسگری شهبازی نیا </t>
  </si>
  <si>
    <t>مسلم رحمانی</t>
  </si>
  <si>
    <t xml:space="preserve">عصمت حسینی </t>
  </si>
  <si>
    <t xml:space="preserve">فاطمه میرانی نژاد </t>
  </si>
  <si>
    <t>مریم اردونی ثانی</t>
  </si>
  <si>
    <t>هادی اصغری</t>
  </si>
  <si>
    <t xml:space="preserve">سکینه زارع بیدک </t>
  </si>
  <si>
    <t xml:space="preserve">محمد گلذاری </t>
  </si>
  <si>
    <t xml:space="preserve">سعیده خیامی </t>
  </si>
  <si>
    <t xml:space="preserve">قاسم حسینی </t>
  </si>
  <si>
    <t>محمد سلیمانی</t>
  </si>
  <si>
    <t>غلامرضا رستمی</t>
  </si>
  <si>
    <t>حمیده بیرجندی</t>
  </si>
  <si>
    <t>فاطمه غلامعلی زاده عباس ابادی</t>
  </si>
  <si>
    <t xml:space="preserve">فاطمه قزل سفلو </t>
  </si>
  <si>
    <t>زیور همتی نیا</t>
  </si>
  <si>
    <t>مرتضی بارانی</t>
  </si>
  <si>
    <t>جواد خدا دوست</t>
  </si>
  <si>
    <t xml:space="preserve">علی محمودی </t>
  </si>
  <si>
    <t>سید قاسم محمدی طرقی</t>
  </si>
  <si>
    <t xml:space="preserve">حسن کاشانی </t>
  </si>
  <si>
    <t>ذلیخا کریم خواه</t>
  </si>
  <si>
    <t>گلشاه خالقی</t>
  </si>
  <si>
    <t>مرضیه احمدی</t>
  </si>
  <si>
    <t>ریحانه کریمی شریف</t>
  </si>
  <si>
    <t>آرزو کامگاری</t>
  </si>
  <si>
    <t>نرگس رمضانی</t>
  </si>
  <si>
    <t xml:space="preserve">محمد رضا خاکسار </t>
  </si>
  <si>
    <t>کبری گوینده</t>
  </si>
  <si>
    <t>عصمت نادی</t>
  </si>
  <si>
    <t>محمد رازی</t>
  </si>
  <si>
    <t>هایده خیامی</t>
  </si>
  <si>
    <t xml:space="preserve">حمید رضا خالقی </t>
  </si>
  <si>
    <t>فاطمه میرکی قرائی</t>
  </si>
  <si>
    <t>بتول سلیمان زاده</t>
  </si>
  <si>
    <t>غلامعلی کامگارپور</t>
  </si>
  <si>
    <t>حسین یوسفی(پدر )</t>
  </si>
  <si>
    <t>محمد عزیز عربی</t>
  </si>
  <si>
    <t xml:space="preserve">علی کامگاری </t>
  </si>
  <si>
    <t xml:space="preserve">مجتبی نیکفرجام سالار آبادی </t>
  </si>
  <si>
    <t xml:space="preserve">فاطمه عبدالهی </t>
  </si>
  <si>
    <t>هادی قربان نژاد</t>
  </si>
  <si>
    <t>حسن حسینی بیرم اباد</t>
  </si>
  <si>
    <t>محمد علی کامکاری</t>
  </si>
  <si>
    <t>زینب عبدالهی(خواهر )</t>
  </si>
  <si>
    <t xml:space="preserve">علی قندی مطلق فریمان </t>
  </si>
  <si>
    <t xml:space="preserve">مجتبی کامکاری </t>
  </si>
  <si>
    <t>علی حسینی نصراباد</t>
  </si>
  <si>
    <t>راحله کریمی شریف</t>
  </si>
  <si>
    <t>اسما سجودی فریمانی</t>
  </si>
  <si>
    <t>خدیجه علی اکبری</t>
  </si>
  <si>
    <t>نجمه ایمانی</t>
  </si>
  <si>
    <t>محمد رضا آراسته</t>
  </si>
  <si>
    <t xml:space="preserve">اکبر جلالی </t>
  </si>
  <si>
    <t>محمد نیکفرجام سالار ابادی</t>
  </si>
  <si>
    <t>محمد علی نیازجو</t>
  </si>
  <si>
    <t>فاطمه بخشی گلستانی(زینب صولتی مادرش)</t>
  </si>
  <si>
    <t>علی اکبر یزدانی نژاد</t>
  </si>
  <si>
    <t xml:space="preserve">مجتبی چمنی ریابی </t>
  </si>
  <si>
    <t>طاهره شافعی اسفدن</t>
  </si>
  <si>
    <t>مهناز حسینی مقدم پهلوان</t>
  </si>
  <si>
    <t xml:space="preserve">عارفه نصری </t>
  </si>
  <si>
    <t xml:space="preserve">حسین نادی </t>
  </si>
  <si>
    <t>رضا سر بیشه گی</t>
  </si>
  <si>
    <t xml:space="preserve">علی اصغر حسینی </t>
  </si>
  <si>
    <t>مصطفی اعظمی چنار</t>
  </si>
  <si>
    <t>زینب قافیه کته شمشیر</t>
  </si>
  <si>
    <t>قدرت الوانی</t>
  </si>
  <si>
    <t>سعید رضاگلچین</t>
  </si>
  <si>
    <t>عباس وحیدی خواه</t>
  </si>
  <si>
    <t xml:space="preserve">عذرا توانگر </t>
  </si>
  <si>
    <t>قاسم حسینی (پسر معصومه پورخواجه )</t>
  </si>
  <si>
    <t xml:space="preserve">حمید ده ده خانی </t>
  </si>
  <si>
    <t>مرضیه غلامعلی زاده</t>
  </si>
  <si>
    <t>جعفر عبداللهی</t>
  </si>
  <si>
    <t>فائزه عباس زاده</t>
  </si>
  <si>
    <t>مهدیه خالقی</t>
  </si>
  <si>
    <t xml:space="preserve">ریحانه کامگارپور </t>
  </si>
  <si>
    <t xml:space="preserve">محمد سلطان زاده مزرجی </t>
  </si>
  <si>
    <t xml:space="preserve">زهرا کرمی </t>
  </si>
  <si>
    <t>زهرا عبداللهی</t>
  </si>
  <si>
    <t xml:space="preserve">پری مقیمی </t>
  </si>
  <si>
    <t xml:space="preserve">علی عزیز عربی </t>
  </si>
  <si>
    <t xml:space="preserve">پری موسی </t>
  </si>
  <si>
    <t>مهروز مزینانی</t>
  </si>
  <si>
    <t>نعیم رازی (فائزه کامگار پور )</t>
  </si>
  <si>
    <t xml:space="preserve">امید کامگاری </t>
  </si>
  <si>
    <t>پریسا خنک بان ابوالفضل بهلولی</t>
  </si>
  <si>
    <t>محمد خورشیدی</t>
  </si>
  <si>
    <t xml:space="preserve">علی اکبر یعقوبی </t>
  </si>
  <si>
    <t>عطیه شیر قاز خانی (سجاد وحیدی خواه )</t>
  </si>
  <si>
    <t xml:space="preserve">سید محمد جواد سیدی </t>
  </si>
  <si>
    <t xml:space="preserve">الیاس اسدی </t>
  </si>
  <si>
    <t xml:space="preserve">بیگم شمشیری </t>
  </si>
  <si>
    <t xml:space="preserve">سیده فاطمه اکبری </t>
  </si>
  <si>
    <t>قاسم کبوتری</t>
  </si>
  <si>
    <t>کبری تقوی تقی آباد</t>
  </si>
  <si>
    <t>محسن غلامی(آمنه محمدی )</t>
  </si>
  <si>
    <t xml:space="preserve">مریم درست </t>
  </si>
  <si>
    <t>معصومه سادات حسینی</t>
  </si>
  <si>
    <t>سهیلا وظیفه دار</t>
  </si>
  <si>
    <t>جواد عبداللهی</t>
  </si>
  <si>
    <t>کنیز رضا شفایی</t>
  </si>
  <si>
    <t>اسماعیل حسینی</t>
  </si>
  <si>
    <t>مرتضی حبیبیی</t>
  </si>
  <si>
    <t xml:space="preserve">حسین عطائی </t>
  </si>
  <si>
    <t>مریم باقری زاده</t>
  </si>
  <si>
    <t>مرضیه خیاط زاده</t>
  </si>
  <si>
    <t xml:space="preserve">علی محمد صلواتی موحد </t>
  </si>
  <si>
    <t>احمد احمدی پساویی</t>
  </si>
  <si>
    <t>راحله کشاورزی پورتفتی</t>
  </si>
  <si>
    <t>امیر مصمور</t>
  </si>
  <si>
    <t xml:space="preserve">مرتضی رمضانی </t>
  </si>
  <si>
    <t xml:space="preserve">عباس عباسی بهلولی </t>
  </si>
  <si>
    <t>امیر حاجی میری</t>
  </si>
  <si>
    <t>سیما حسن زاده</t>
  </si>
  <si>
    <t xml:space="preserve">معصومه پورخواجه </t>
  </si>
  <si>
    <t>اسماعیل مودی</t>
  </si>
  <si>
    <t>کاظم غلامی</t>
  </si>
  <si>
    <t>مهین پور حسن طرقی</t>
  </si>
  <si>
    <t>ابراهیم جواهری</t>
  </si>
  <si>
    <t>افضل کامگار پور</t>
  </si>
  <si>
    <t xml:space="preserve">فاطمه وحیدی خواه </t>
  </si>
  <si>
    <t>کبری مقدم ماشوله</t>
  </si>
  <si>
    <t xml:space="preserve">محمود درکی </t>
  </si>
  <si>
    <t>صدیقه قایناتی</t>
  </si>
  <si>
    <t xml:space="preserve">ارسیا صنعتی </t>
  </si>
  <si>
    <t>سمیرا محمد زاده بیرم آباد</t>
  </si>
  <si>
    <t>عبدالمجید ایوبی مقدم</t>
  </si>
  <si>
    <t xml:space="preserve">محمد عبداللهی غلام </t>
  </si>
  <si>
    <t>محمد علیزاده</t>
  </si>
  <si>
    <t>محسن عبداللهی</t>
  </si>
  <si>
    <t>محمد غلامی رحمان</t>
  </si>
  <si>
    <t xml:space="preserve">هومن رستمی خرم </t>
  </si>
  <si>
    <t>اسماعیل قائینی</t>
  </si>
  <si>
    <t>زهرا محمدی</t>
  </si>
  <si>
    <t>مرضیه خالقی</t>
  </si>
  <si>
    <t>باقر وحیدی خواه</t>
  </si>
  <si>
    <t>محمد کامگاری</t>
  </si>
  <si>
    <t>مرضیه اخوان</t>
  </si>
  <si>
    <t>غلامعلی زردادخانی</t>
  </si>
  <si>
    <t>علی جوینی</t>
  </si>
  <si>
    <t>علی عبداللهی</t>
  </si>
  <si>
    <t>سید محسن رضانیا زاده</t>
  </si>
  <si>
    <t>محسن دیوسار</t>
  </si>
  <si>
    <t>علی نادی</t>
  </si>
  <si>
    <t>قنبر نیکوکار</t>
  </si>
  <si>
    <t>سید امیرحسام راد حسینی</t>
  </si>
  <si>
    <t>کبری مودی</t>
  </si>
  <si>
    <t>زهرا حسینی</t>
  </si>
  <si>
    <t>فاطمه احمدی فیض آباد</t>
  </si>
  <si>
    <t>اسماعیل کریمی ( الهه جوینی )</t>
  </si>
  <si>
    <t>سید حمید ابراهیمی تقی آباد</t>
  </si>
  <si>
    <t>سمیرا شریفی اصل</t>
  </si>
  <si>
    <t>ابراهیم جلالی</t>
  </si>
  <si>
    <t>غلامرضا رمضانی</t>
  </si>
  <si>
    <t>فاطمه رفیعی</t>
  </si>
  <si>
    <t>صغری عزیز عربی</t>
  </si>
  <si>
    <t>محمدرضا خالقی ( پری خالقی )</t>
  </si>
  <si>
    <t>علم کامکاری</t>
  </si>
  <si>
    <t>فاطمه غلامی جدید ( همسر مجتبی غلامی )</t>
  </si>
  <si>
    <t>مهدی چهکندی</t>
  </si>
  <si>
    <t>مهران جلالی</t>
  </si>
  <si>
    <t>اکرم حسین زاده</t>
  </si>
  <si>
    <t>محمدرضا قربانی تقی آباد</t>
  </si>
  <si>
    <t>حمید آذر بوبه</t>
  </si>
  <si>
    <t>زینب صالحان</t>
  </si>
  <si>
    <t>محمد ایمان نژاد</t>
  </si>
  <si>
    <t>لیلا جلالی</t>
  </si>
  <si>
    <t>مریم سحرخیزیان</t>
  </si>
  <si>
    <t>علیرضا محمد نیا</t>
  </si>
  <si>
    <t>علیرضا صلواتی موحد</t>
  </si>
  <si>
    <t>غلام غلامی</t>
  </si>
  <si>
    <t>پروین خنک بان</t>
  </si>
  <si>
    <t>فاطمه کریمی شریف</t>
  </si>
  <si>
    <t>مهدی مرادی</t>
  </si>
  <si>
    <t>صغری باقری زاده</t>
  </si>
  <si>
    <t>محمدرضا نیکوکار</t>
  </si>
  <si>
    <t>الهام جوینی</t>
  </si>
  <si>
    <t>هادی عبداللهی</t>
  </si>
  <si>
    <t>احسان جلالی</t>
  </si>
  <si>
    <t>مهدی فتح آبادی</t>
  </si>
  <si>
    <t>عاطفه جان محمد موسی آباد</t>
  </si>
  <si>
    <t>فاطمه کامگاری</t>
  </si>
  <si>
    <t xml:space="preserve">احمدرضا افضلی پل بندی </t>
  </si>
  <si>
    <t>مریم رستگار مقدم اصغری</t>
  </si>
  <si>
    <t>محمد رضایی ( مصیب )</t>
  </si>
  <si>
    <t>اسماعیل علی زاده</t>
  </si>
  <si>
    <t>جواد خاکسار</t>
  </si>
  <si>
    <t>مریم قربانی تقی آباد</t>
  </si>
  <si>
    <t>محمود کامگاری</t>
  </si>
  <si>
    <t>مهدی بلیله</t>
  </si>
  <si>
    <t>علی ناروئی</t>
  </si>
  <si>
    <t>ملیحه جوینی</t>
  </si>
  <si>
    <t>زهرا عباسی</t>
  </si>
  <si>
    <t>معصومه چوپان زاده قلعه سنگی</t>
  </si>
  <si>
    <t>ریحانه رمضانی ( محمد کریمی )</t>
  </si>
  <si>
    <t>غلامحسن گلی</t>
  </si>
  <si>
    <t>عاطفه حسنی</t>
  </si>
  <si>
    <t>سمیه شریفی اصل</t>
  </si>
  <si>
    <t>مریم بهزادی نژاد ( خدیجه بهزادی نژاد )</t>
  </si>
  <si>
    <t>محمدرضا شریفی گرمجان</t>
  </si>
  <si>
    <t>زهره کارکن اسفجیر</t>
  </si>
  <si>
    <t>معصومه ستونی ( کاظم کامکاری )</t>
  </si>
  <si>
    <t>محسن بیک خراسانی</t>
  </si>
  <si>
    <t>زهرا قربان نژاد</t>
  </si>
  <si>
    <t>علی نیکوی حسین آبادی</t>
  </si>
  <si>
    <t>حمید ابراهیم پور</t>
  </si>
  <si>
    <t>علی بای</t>
  </si>
  <si>
    <t>زهرا حسنی</t>
  </si>
  <si>
    <t>جواد محمدنیا</t>
  </si>
  <si>
    <t>دادخدا نادی</t>
  </si>
  <si>
    <t>معصومه شادکی</t>
  </si>
  <si>
    <t>غلامرضا فخر دهقان کاریزنوئی</t>
  </si>
  <si>
    <t>سید محمد حسینی قره تکان</t>
  </si>
  <si>
    <t>هادی جوینی</t>
  </si>
  <si>
    <t>محمد احمدی</t>
  </si>
  <si>
    <t>غلامعلی دل آرام</t>
  </si>
  <si>
    <t>مهدی غلامی</t>
  </si>
  <si>
    <t>غلامعلی زرداد خانی</t>
  </si>
  <si>
    <t>عباس کامگار</t>
  </si>
  <si>
    <t>6104-3373-6719-7934</t>
  </si>
  <si>
    <t>شماره حساب / کارت / شبا</t>
  </si>
  <si>
    <t>دهم</t>
  </si>
  <si>
    <t>شماره پیگیری واریزی</t>
  </si>
  <si>
    <t>6037-7011-2805-1510</t>
  </si>
  <si>
    <t>1401/03/11</t>
  </si>
  <si>
    <t>مبلغ واریزی به تومان</t>
  </si>
  <si>
    <t>شبا بانک ملت 1265</t>
  </si>
  <si>
    <t>توضیحات</t>
  </si>
  <si>
    <t>مبلغ 3 میلیون تومان بابت ماه های فروردین اردیبهشت و خرداد پرداخت شد</t>
  </si>
  <si>
    <t>موسی علیزاده (محبوبه رسولی طرقی)</t>
  </si>
  <si>
    <t>میزان مشارکت به تومان</t>
  </si>
  <si>
    <t>6104-3376-0486-0070</t>
  </si>
  <si>
    <t>چک بانک سپه 857064</t>
  </si>
  <si>
    <t>مبلغ ضمانت به تومان</t>
  </si>
  <si>
    <t>6104-3373-3006-4781</t>
  </si>
  <si>
    <t>به دلیل تمدید سرمایه درصد مشارکت از این ماه افزایش پیدا کرده است.</t>
  </si>
  <si>
    <t>مریم غلامی ( زن علی غلامی تیگاب )</t>
  </si>
  <si>
    <t>6104-3374-8201-9328</t>
  </si>
  <si>
    <t>اصل سود به تومان</t>
  </si>
  <si>
    <t>مجموع واریزی ماه به تومان</t>
  </si>
  <si>
    <t>مریم حسن نژاد سنجدک</t>
  </si>
  <si>
    <t>شبا بانک صادرات 50001</t>
  </si>
  <si>
    <t>6104-3378-3112-7756</t>
  </si>
  <si>
    <t>محمد ابراهیم کریمی</t>
  </si>
  <si>
    <t>405907</t>
  </si>
  <si>
    <t>6037-7016-7952-6076</t>
  </si>
  <si>
    <t>سید محمدرضا اخلاقی هاشمی پور</t>
  </si>
  <si>
    <t>121108878947</t>
  </si>
  <si>
    <t>واریز به کارت بانک شهر 3160</t>
  </si>
  <si>
    <t>6104-3373-5952-7551</t>
  </si>
  <si>
    <t>1401/03/10</t>
  </si>
  <si>
    <t>121079419435</t>
  </si>
  <si>
    <t>کسر و اضافات واریزی</t>
  </si>
  <si>
    <t>396205</t>
  </si>
  <si>
    <t>6037-7011-3290-8176</t>
  </si>
  <si>
    <t>719243</t>
  </si>
  <si>
    <t>307817</t>
  </si>
  <si>
    <t>6277-6012-6366-5000</t>
  </si>
  <si>
    <t>653523393672</t>
  </si>
  <si>
    <t>5057-8510-2145-9984</t>
  </si>
  <si>
    <t>121113395726</t>
  </si>
  <si>
    <t>کارت 5235 بانک سپه</t>
  </si>
  <si>
    <t>6104-3375-3142-1046</t>
  </si>
  <si>
    <t>113553</t>
  </si>
  <si>
    <t>6104-3378-5706-9676</t>
  </si>
  <si>
    <t>114424</t>
  </si>
  <si>
    <t>6104-3374-0640-1966</t>
  </si>
  <si>
    <t>653521984758</t>
  </si>
  <si>
    <t>6104-3374-3135-1384</t>
  </si>
  <si>
    <t>653522012948</t>
  </si>
  <si>
    <t>6104-3375-1284-4299</t>
  </si>
  <si>
    <t>محمد احمدی پساوه ئی</t>
  </si>
  <si>
    <t>003256</t>
  </si>
  <si>
    <t>شبا بانک ملت 6250</t>
  </si>
  <si>
    <t>کارت بانک پاسارگاد 3124</t>
  </si>
  <si>
    <t>121050286572</t>
  </si>
  <si>
    <t>سودا حسنی ( دختر زهره حسنی )</t>
  </si>
  <si>
    <t>121050686865</t>
  </si>
  <si>
    <t>کارت بانک ملت 8947</t>
  </si>
  <si>
    <t>سعید جهانگیری</t>
  </si>
  <si>
    <t>121050767293</t>
  </si>
  <si>
    <t>واریز به کارت بانک سپه 2983</t>
  </si>
  <si>
    <t>طرح ویژه</t>
  </si>
  <si>
    <t>348270</t>
  </si>
  <si>
    <t>6104-3389-2064-5518</t>
  </si>
  <si>
    <t>1401/03/12</t>
  </si>
  <si>
    <t>11935</t>
  </si>
  <si>
    <t>6104-3372-1462-2266</t>
  </si>
  <si>
    <t>شیبانی ( اعظم کاظمی پور )</t>
  </si>
  <si>
    <t>152279</t>
  </si>
  <si>
    <t>653528525731</t>
  </si>
  <si>
    <t>6104-3373-3371-9670</t>
  </si>
  <si>
    <t>653528551672</t>
  </si>
  <si>
    <t>6104-3379-8296-4296</t>
  </si>
  <si>
    <t>شماره تماس</t>
  </si>
  <si>
    <t>653528553869</t>
  </si>
  <si>
    <t>6037-6974-4434-9846</t>
  </si>
  <si>
    <t>14010312054200002396</t>
  </si>
  <si>
    <t>شبا 10001</t>
  </si>
  <si>
    <t>14010312054200002412</t>
  </si>
  <si>
    <t>شبا 5885</t>
  </si>
  <si>
    <t>خانم نصرت عفیفه ( حاج علی چرخ )</t>
  </si>
  <si>
    <t>1402/03/12</t>
  </si>
  <si>
    <t>طرح ویژه 10/10</t>
  </si>
  <si>
    <t>121120426860</t>
  </si>
  <si>
    <t>6104-3373-9454-6756</t>
  </si>
  <si>
    <t>121120486284</t>
  </si>
  <si>
    <t>واریز به کارت سپه 0454</t>
  </si>
  <si>
    <t>504271</t>
  </si>
  <si>
    <t>6104-3376-7030-2247</t>
  </si>
  <si>
    <t>507374</t>
  </si>
  <si>
    <t>5041-7210-2681-1779</t>
  </si>
  <si>
    <t>مسعود جازاری معمویی</t>
  </si>
  <si>
    <t>141031201524203431</t>
  </si>
  <si>
    <t>شبا بانک آینده 3006</t>
  </si>
  <si>
    <t>128314</t>
  </si>
  <si>
    <t>6104-3373-4874-0539</t>
  </si>
  <si>
    <t>767833</t>
  </si>
  <si>
    <t>6104-3374-7414-5941</t>
  </si>
  <si>
    <t>1401/09/25</t>
  </si>
  <si>
    <t>شش ماه تمدید شد.</t>
  </si>
  <si>
    <t>واریزی هر ماه</t>
  </si>
  <si>
    <t>پانزدهم هر ماه</t>
  </si>
  <si>
    <t xml:space="preserve">یازدهم </t>
  </si>
  <si>
    <t>801632</t>
  </si>
  <si>
    <t>6037-7015-1471-7666</t>
  </si>
  <si>
    <t>048034</t>
  </si>
  <si>
    <t>شبا بانک ملی 80003</t>
  </si>
  <si>
    <t>14010312054200012272</t>
  </si>
  <si>
    <t>شبا بانک ملت 9880</t>
  </si>
  <si>
    <t>818240</t>
  </si>
  <si>
    <t>6104-3377-4994-9523</t>
  </si>
  <si>
    <t>121139981440</t>
  </si>
  <si>
    <t>واریز به بانک ملت 6809</t>
  </si>
  <si>
    <t>امین سیستان نژاد</t>
  </si>
  <si>
    <t>دوازدهم</t>
  </si>
  <si>
    <t>نهم</t>
  </si>
  <si>
    <t>121144077286</t>
  </si>
  <si>
    <t>واریز به بانک ملت 5768</t>
  </si>
  <si>
    <t>1400/10/05</t>
  </si>
  <si>
    <t>121145280454</t>
  </si>
  <si>
    <t>کارت پست بانک 5000</t>
  </si>
  <si>
    <t>653530808947</t>
  </si>
  <si>
    <t>جعفر رضائیان یزدی (خواهر جعفر رضائیان)</t>
  </si>
  <si>
    <t>1401/03/13</t>
  </si>
  <si>
    <t>950458</t>
  </si>
  <si>
    <t>6037-6974-7365-4504</t>
  </si>
  <si>
    <t>6037-6975-4449-2009</t>
  </si>
  <si>
    <t>950990</t>
  </si>
  <si>
    <t>واتساپ نوشته شده 2600 هرماه اما واریزی 2750 بوده است</t>
  </si>
  <si>
    <t>133847</t>
  </si>
  <si>
    <t>6037-9971-2950-9528</t>
  </si>
  <si>
    <t>106508</t>
  </si>
  <si>
    <t>6037-6975-4702-5152</t>
  </si>
  <si>
    <t>121158146446</t>
  </si>
  <si>
    <t>6104-3374-4563-2514</t>
  </si>
  <si>
    <t>مرضیه نصیریان مجومردی</t>
  </si>
  <si>
    <t>سوم</t>
  </si>
  <si>
    <t>مهد آیه های بهشت شفایی</t>
  </si>
  <si>
    <t>5894-6311-2441-1141</t>
  </si>
  <si>
    <t>مبلغ 250 تومان 4 خرداد هم واریز شده است</t>
  </si>
  <si>
    <t>121158205515</t>
  </si>
  <si>
    <t>85344</t>
  </si>
  <si>
    <t>6037-7011-3185-0130</t>
  </si>
  <si>
    <t>روح الله دلیر ارژنگی</t>
  </si>
  <si>
    <t>95744</t>
  </si>
  <si>
    <t>6104-3378-7898-0117</t>
  </si>
  <si>
    <t>چهارم</t>
  </si>
  <si>
    <t>121159384565</t>
  </si>
  <si>
    <t>6277-6012-9611-3655</t>
  </si>
  <si>
    <t>876288990</t>
  </si>
  <si>
    <t>6104-3373-8329-9565</t>
  </si>
  <si>
    <t>حسن نادی</t>
  </si>
  <si>
    <t>121159595645</t>
  </si>
  <si>
    <t>6037-6975-4548-4492</t>
  </si>
  <si>
    <t>121159747223</t>
  </si>
  <si>
    <t>واریز به کارت6255 بانک ملی</t>
  </si>
  <si>
    <t>ماهیانه 1300 و راسی 150 میلیون چک 1400</t>
  </si>
  <si>
    <t>121160065127</t>
  </si>
  <si>
    <t>6037-9974-5931-4705</t>
  </si>
  <si>
    <t>140103130162237619</t>
  </si>
  <si>
    <t>653531815870</t>
  </si>
  <si>
    <t>6280-2313-7755-4265</t>
  </si>
  <si>
    <t>1401031301524259436</t>
  </si>
  <si>
    <t>شبا بانک صادرات 10007</t>
  </si>
  <si>
    <t>حامد کریمی</t>
  </si>
  <si>
    <t>شبا بانک ملی 1000</t>
  </si>
  <si>
    <t>140103130162237871</t>
  </si>
  <si>
    <t>1401/03/14</t>
  </si>
  <si>
    <t>124732</t>
  </si>
  <si>
    <t>6037-6917-3385-0655</t>
  </si>
  <si>
    <t>653533292202</t>
  </si>
  <si>
    <t>واریز به کارت صادرات 8170</t>
  </si>
  <si>
    <t>علی عروضی</t>
  </si>
  <si>
    <t>149948</t>
  </si>
  <si>
    <t>6104-3389-1808-1049</t>
  </si>
  <si>
    <t>14010314054200001166</t>
  </si>
  <si>
    <t>شبا بانک 62001</t>
  </si>
  <si>
    <t>14010314054200001255</t>
  </si>
  <si>
    <t>شبا بانک ملت 3029</t>
  </si>
  <si>
    <t>مبلغ 9000000 تومان واریز شده است - 3600000 تومان بابت زعفران نمایشگاه</t>
  </si>
  <si>
    <t>مهین ظفری</t>
  </si>
  <si>
    <t>سفته شماره 364927 مبلغ 13 تومان</t>
  </si>
  <si>
    <t>14010314054200001281</t>
  </si>
  <si>
    <t>شبا بانک ملت 0402</t>
  </si>
  <si>
    <t>140103140162246961</t>
  </si>
  <si>
    <t>شبا بانک ملت 9784</t>
  </si>
  <si>
    <t>45830</t>
  </si>
  <si>
    <t>6104-3378-6884-6625</t>
  </si>
  <si>
    <t>1401/03/15</t>
  </si>
  <si>
    <t>278578</t>
  </si>
  <si>
    <t>شبا بانک ملت 8561</t>
  </si>
  <si>
    <t>674277</t>
  </si>
  <si>
    <t>6037-9917-9894-3936</t>
  </si>
  <si>
    <t>281664</t>
  </si>
  <si>
    <t>6037-7011-9202-3973</t>
  </si>
  <si>
    <t>728256</t>
  </si>
  <si>
    <t>6037-9919-4350-5317</t>
  </si>
  <si>
    <t>مبلغ 43 میلیون در تاریخ 2/26 طرح ویژه اضافه شد-واریزی 14 خرداد 2806 هزار تومان و واریزی 14 تیر 4 میلیون تومان</t>
  </si>
  <si>
    <t>14010315054200002449</t>
  </si>
  <si>
    <t>شبا بانک 82001</t>
  </si>
  <si>
    <t>195420</t>
  </si>
  <si>
    <t>6104-3379-4433-1402</t>
  </si>
  <si>
    <t>واریزی 10 ماه با هم انجام شد - ماهیانه 250 هزار تومان بوده است. ( واریز به کارت افضل کامگار پور )</t>
  </si>
  <si>
    <t>هادی فخری ( ملیحه  فخری )</t>
  </si>
  <si>
    <t>653536292978</t>
  </si>
  <si>
    <t>واریز به کارت کشاورزی 3392</t>
  </si>
  <si>
    <t>653536303412</t>
  </si>
  <si>
    <t>6037-6975-8125-0302</t>
  </si>
  <si>
    <t>1401/02/29</t>
  </si>
  <si>
    <t>527976</t>
  </si>
  <si>
    <t>14010315054200002497</t>
  </si>
  <si>
    <t>شبا بانک ملت 9057</t>
  </si>
  <si>
    <t>121218862090</t>
  </si>
  <si>
    <t>واریز به کارت شهر 0964</t>
  </si>
  <si>
    <t>واریز به کارت کشاورزی 1241</t>
  </si>
  <si>
    <t>653536335732</t>
  </si>
  <si>
    <t>653536342140</t>
  </si>
  <si>
    <t>واریز به کارت ملت 3264</t>
  </si>
  <si>
    <t>121219325666</t>
  </si>
  <si>
    <t>6037-9973-9420-0696</t>
  </si>
  <si>
    <t>6037-6916-3599-5632</t>
  </si>
  <si>
    <t>653536372373</t>
  </si>
  <si>
    <t>395823</t>
  </si>
  <si>
    <t>5041-7210-6216-8860</t>
  </si>
  <si>
    <t>468322</t>
  </si>
  <si>
    <t>6063-7311-1510-2825</t>
  </si>
  <si>
    <t>700477</t>
  </si>
  <si>
    <t>6037-7011-7657-3456</t>
  </si>
  <si>
    <t>دوازدهم هر ماه</t>
  </si>
  <si>
    <t>721342</t>
  </si>
  <si>
    <t>6063-7311-2208-9270</t>
  </si>
  <si>
    <t>420370</t>
  </si>
  <si>
    <t>6104-3371-1157-1764</t>
  </si>
  <si>
    <t>خدیجه حسن زاده</t>
  </si>
  <si>
    <t>885129</t>
  </si>
  <si>
    <t>واریز به کارت ملت 0127</t>
  </si>
  <si>
    <t>1401/03/16</t>
  </si>
  <si>
    <t>893442</t>
  </si>
  <si>
    <t>6037-7011-5597-8353</t>
  </si>
  <si>
    <t>14010316054200002108</t>
  </si>
  <si>
    <t>شبا بانک ملت 7225</t>
  </si>
  <si>
    <t>1401031601524289883</t>
  </si>
  <si>
    <t>شبا بانک ملت 4529</t>
  </si>
  <si>
    <t>زهره غلامی ( خانم قاسم کامکار از تیگاب )</t>
  </si>
  <si>
    <t>121229487083</t>
  </si>
  <si>
    <t>6104-3374-8909-2849</t>
  </si>
  <si>
    <t>140103160191001282</t>
  </si>
  <si>
    <t>شبا بانک 0905</t>
  </si>
  <si>
    <t>117057</t>
  </si>
  <si>
    <t>6037-6916-7122-8013</t>
  </si>
  <si>
    <t>119169</t>
  </si>
  <si>
    <t>یازدهم هرماه</t>
  </si>
  <si>
    <t>140103160182515379</t>
  </si>
  <si>
    <t>شبا بانک 5422</t>
  </si>
  <si>
    <t>صدیقه جیم آبادی</t>
  </si>
  <si>
    <t>1401/03/09</t>
  </si>
  <si>
    <t>531663</t>
  </si>
  <si>
    <t>5859-8310-4003-8274</t>
  </si>
  <si>
    <t>یکم هر ماه</t>
  </si>
  <si>
    <t>653519110807</t>
  </si>
  <si>
    <t>6104-3379-1404-3706</t>
  </si>
  <si>
    <t>مبلغ بیست میلیون تومان در تاریخ 30 بهمن 1400 اضافه شد-جمع اصل مبلغ سی میلیون تومان میباشد.</t>
  </si>
  <si>
    <t>فاطمه غلامی ( همسر مسعودغلامی )</t>
  </si>
  <si>
    <t>252902</t>
  </si>
  <si>
    <t>6037-9917-9444-7080</t>
  </si>
  <si>
    <t>653518886326</t>
  </si>
  <si>
    <t>6037-9975-1447-0484</t>
  </si>
  <si>
    <t>بابت سه ماه واریز شد.</t>
  </si>
  <si>
    <t>502741</t>
  </si>
  <si>
    <t>6104-3389-0782-7345</t>
  </si>
  <si>
    <t>874421949</t>
  </si>
  <si>
    <t>6104-3389-0152-9921</t>
  </si>
  <si>
    <t>121010897827</t>
  </si>
  <si>
    <t>واریز به کارت پست بانک 8522</t>
  </si>
  <si>
    <t>874433322</t>
  </si>
  <si>
    <t>6104-3379-9965-8733</t>
  </si>
  <si>
    <t>0103090742338799</t>
  </si>
  <si>
    <t>شبا بانک 5590</t>
  </si>
  <si>
    <t>874436416</t>
  </si>
  <si>
    <t>874436866</t>
  </si>
  <si>
    <t>6104-3373-2171-8908</t>
  </si>
  <si>
    <t>فاطمه غدیری ( مجید حسن زاده  )</t>
  </si>
  <si>
    <t>678639</t>
  </si>
  <si>
    <t>6280-2313-3954-7431</t>
  </si>
  <si>
    <t>0103090806141207</t>
  </si>
  <si>
    <t>شبا بانک 2420</t>
  </si>
  <si>
    <t>121014721835</t>
  </si>
  <si>
    <t>5894-6315-4730-5961</t>
  </si>
  <si>
    <t>874485196</t>
  </si>
  <si>
    <t>واریز به کارت 8058</t>
  </si>
  <si>
    <t>877792</t>
  </si>
  <si>
    <t>واریز به کارت صادرات 2210</t>
  </si>
  <si>
    <t>1401/03/17</t>
  </si>
  <si>
    <t>839343</t>
  </si>
  <si>
    <t>6104-3376-4170-8795</t>
  </si>
  <si>
    <t>1401031701524362842</t>
  </si>
  <si>
    <t>شبا بانک ملت 5325</t>
  </si>
  <si>
    <t>852346</t>
  </si>
  <si>
    <t>6104-3373-5019-2751</t>
  </si>
  <si>
    <t>دهم هر ماه</t>
  </si>
  <si>
    <t>653540256208</t>
  </si>
  <si>
    <t>6104-3376-1172-9961</t>
  </si>
  <si>
    <t>مهدی جاقوری</t>
  </si>
  <si>
    <t>چهاردهم هر ماه</t>
  </si>
  <si>
    <t>653540259414</t>
  </si>
  <si>
    <t>واریز به کارت ملت 2348</t>
  </si>
  <si>
    <t>6104-3374-7002-8406</t>
  </si>
  <si>
    <t>653540262660</t>
  </si>
  <si>
    <t>غلامحسین پورخواجه حسن آبادی</t>
  </si>
  <si>
    <t>مرضیه نادری</t>
  </si>
  <si>
    <t>864621</t>
  </si>
  <si>
    <t>6104-3373-6774-5856</t>
  </si>
  <si>
    <t>874721</t>
  </si>
  <si>
    <t>شبا بانک پاسارگاد 9001</t>
  </si>
  <si>
    <t>484574</t>
  </si>
  <si>
    <t>140103170191003001</t>
  </si>
  <si>
    <t>شبا بانک کشاورزی 8266</t>
  </si>
  <si>
    <t>909280</t>
  </si>
  <si>
    <t>5047-0610-4952-7613</t>
  </si>
  <si>
    <t>121269911662</t>
  </si>
  <si>
    <t>6104-3376-1757-8099</t>
  </si>
  <si>
    <t>محمود مختاری ابروان</t>
  </si>
  <si>
    <t>1401/03/08</t>
  </si>
  <si>
    <t>واریز به کارت 4004</t>
  </si>
  <si>
    <t>873982724</t>
  </si>
  <si>
    <t>6104-3373-9056-4944</t>
  </si>
  <si>
    <t>664851</t>
  </si>
  <si>
    <t xml:space="preserve">واریز به صادرات 6925 ربابه علیزاده </t>
  </si>
  <si>
    <t>به کارت ربابه علیزاده واریز شد.</t>
  </si>
  <si>
    <t>1401/03/07</t>
  </si>
  <si>
    <t>715744</t>
  </si>
  <si>
    <t>6104-3374-5449-6256</t>
  </si>
  <si>
    <t>873986448</t>
  </si>
  <si>
    <t>واریز به کارت 7786</t>
  </si>
  <si>
    <t>014393</t>
  </si>
  <si>
    <t>شبا بانک ملت 8043</t>
  </si>
  <si>
    <t>727080</t>
  </si>
  <si>
    <t>6273-8110-7342-9430</t>
  </si>
  <si>
    <t>325763</t>
  </si>
  <si>
    <t>6104-3376-5589-4887</t>
  </si>
  <si>
    <t>120981151213</t>
  </si>
  <si>
    <t>واریز به کارت صادرات 1787</t>
  </si>
  <si>
    <t>874130375</t>
  </si>
  <si>
    <t>6104-3374-3389-0645</t>
  </si>
  <si>
    <t>049896</t>
  </si>
  <si>
    <t>شبا بانک ملت 3043</t>
  </si>
  <si>
    <t>120938525564</t>
  </si>
  <si>
    <t>6104-3376-1114-6034</t>
  </si>
  <si>
    <t>873510831</t>
  </si>
  <si>
    <t>6104-3379-3464-0184</t>
  </si>
  <si>
    <t>120938915739</t>
  </si>
  <si>
    <t>واریز به کارت ملت 2356</t>
  </si>
  <si>
    <t>248421</t>
  </si>
  <si>
    <t>شبا بانک سامان 3201</t>
  </si>
  <si>
    <t>120939419924</t>
  </si>
  <si>
    <t>6104-3376-4125-2612</t>
  </si>
  <si>
    <t>کاظم کامکاری</t>
  </si>
  <si>
    <t>120939463003</t>
  </si>
  <si>
    <t>واریز به کارت شهر 2948</t>
  </si>
  <si>
    <t>120939680575</t>
  </si>
  <si>
    <t>6037-9975-7977-0133</t>
  </si>
  <si>
    <t>015456</t>
  </si>
  <si>
    <t>120969506720</t>
  </si>
  <si>
    <t>6037-9975-8736-9001</t>
  </si>
  <si>
    <t>873906734</t>
  </si>
  <si>
    <t>6104-3379-0452-5308</t>
  </si>
  <si>
    <t>873986897</t>
  </si>
  <si>
    <t>واریز به کارت 6048</t>
  </si>
  <si>
    <t>مانده 21500</t>
  </si>
  <si>
    <t>زهرا جلالی ( مادر ناصر جلالی )</t>
  </si>
  <si>
    <t>121281686574</t>
  </si>
  <si>
    <t>واریز به شماره کارت6348</t>
  </si>
  <si>
    <t>هجدهم هر ماه</t>
  </si>
  <si>
    <t>09151261584</t>
  </si>
  <si>
    <t>به اصل پول اضافه شد - تا الان مبلغ 550 میلیون بوده است و از الان به بعد 800 میلیون شده است. ( 550+222500+27500)</t>
  </si>
  <si>
    <t>121283485347</t>
  </si>
  <si>
    <t>واریز به کارت ملت 8655</t>
  </si>
  <si>
    <t>مبلغ 45 هزار تومان کم واریز شده است.</t>
  </si>
  <si>
    <t>877058</t>
  </si>
  <si>
    <t>شبا بانک ملت 10845</t>
  </si>
  <si>
    <t>495830</t>
  </si>
  <si>
    <t>6104-3374-6648-8655</t>
  </si>
  <si>
    <t>900032</t>
  </si>
  <si>
    <t>6037-6916-6162-6820</t>
  </si>
  <si>
    <t>1401/03/18</t>
  </si>
  <si>
    <t>877564</t>
  </si>
  <si>
    <t>6104-3374-4780-5936</t>
  </si>
  <si>
    <t>حسین رشیدی ( دیانا رشیدی )</t>
  </si>
  <si>
    <t>محمد رضا ریالی ( غلامحسین عبداللهی )</t>
  </si>
  <si>
    <t>6104-3375-3854-7488</t>
  </si>
  <si>
    <t>497312</t>
  </si>
  <si>
    <t>078539</t>
  </si>
  <si>
    <t>شبا بانک ملت 7003</t>
  </si>
  <si>
    <t>819556</t>
  </si>
  <si>
    <t>6104-3374-5675-7051</t>
  </si>
  <si>
    <t>819558</t>
  </si>
  <si>
    <t>6104-3373-2011-8225</t>
  </si>
  <si>
    <t>شبا بانک ملت 2001</t>
  </si>
  <si>
    <t>078542</t>
  </si>
  <si>
    <t>195210</t>
  </si>
  <si>
    <t>1401031801524449097</t>
  </si>
  <si>
    <t>شبا بانک ملت 5422</t>
  </si>
  <si>
    <t>برای دو ماه اردیبهشت و خرداد واریز شد.</t>
  </si>
  <si>
    <t>تسویه میشود.</t>
  </si>
  <si>
    <t>121322023026</t>
  </si>
  <si>
    <t>6104-3377-3068-4147</t>
  </si>
  <si>
    <t>121322108439</t>
  </si>
  <si>
    <t>واریز به کارت ملت 8406</t>
  </si>
  <si>
    <t>مبلغ 50 تومان بشتر واریز شده است.</t>
  </si>
  <si>
    <t>محمدرضا بیدل پل بندی</t>
  </si>
  <si>
    <t>بدهکار بودند که تسویه شد.</t>
  </si>
  <si>
    <t>1401/03/19</t>
  </si>
  <si>
    <t>687471</t>
  </si>
  <si>
    <t>شبا بانک ملت 8596</t>
  </si>
  <si>
    <t>689068</t>
  </si>
  <si>
    <t>شبا بانک ملت 5466</t>
  </si>
  <si>
    <t>1401031901524469526</t>
  </si>
  <si>
    <t>شبا بانک ملت 2255</t>
  </si>
  <si>
    <t>744939</t>
  </si>
  <si>
    <t>شبا بانک تجارت 5511</t>
  </si>
  <si>
    <t>758593</t>
  </si>
  <si>
    <t>6037-7016-4698-1941</t>
  </si>
  <si>
    <t>مبلغ هشتصد تومان برای ماه خرداد و تیر واریز شد.</t>
  </si>
  <si>
    <t>دوم هر ماه</t>
  </si>
  <si>
    <t>392982</t>
  </si>
  <si>
    <t>6104-3389-1676-3366</t>
  </si>
  <si>
    <t>هفدهم هر ماه</t>
  </si>
  <si>
    <t>1401.03/19</t>
  </si>
  <si>
    <t>14010319054200003564</t>
  </si>
  <si>
    <t>شبا بانک ملت 6874</t>
  </si>
  <si>
    <t>14010319054200003717</t>
  </si>
  <si>
    <t>شبا بانک 8001</t>
  </si>
  <si>
    <t>450301</t>
  </si>
  <si>
    <t>واریز به کارت صادرات 9668</t>
  </si>
  <si>
    <t>1400/11/20</t>
  </si>
  <si>
    <t>بیستم هر ماه</t>
  </si>
  <si>
    <t>1401/02/01</t>
  </si>
  <si>
    <t>1401/03/03</t>
  </si>
  <si>
    <t>1401/03/01</t>
  </si>
  <si>
    <t>873981436</t>
  </si>
  <si>
    <t>003261</t>
  </si>
  <si>
    <t>871181152</t>
  </si>
  <si>
    <t>شبا بانک رسالت 8001</t>
  </si>
  <si>
    <t>249582</t>
  </si>
  <si>
    <t>6104-3389-3022-3439</t>
  </si>
  <si>
    <t>شانزدهم هر ماه</t>
  </si>
  <si>
    <t>14010319054200010480</t>
  </si>
  <si>
    <t>شبا بانک ملت 9430</t>
  </si>
  <si>
    <t>14010319054200010502</t>
  </si>
  <si>
    <t>شبا بانک 00001</t>
  </si>
  <si>
    <t>14010319054200010913</t>
  </si>
  <si>
    <t>شبا بانک 8437</t>
  </si>
  <si>
    <t>784580</t>
  </si>
  <si>
    <t>سید احسان نعمتی هاشمی</t>
  </si>
  <si>
    <t>واریز به کارت ملت 8657</t>
  </si>
  <si>
    <t>653548796118</t>
  </si>
  <si>
    <t>6104-3375-4990-7309</t>
  </si>
  <si>
    <t>مهسا برائی</t>
  </si>
  <si>
    <t>6037-9975-3374-4844</t>
  </si>
  <si>
    <t>این ماه یک تومن واریز شده است از ماه آینده دو میلیون واریز میشود.</t>
  </si>
  <si>
    <t>283148</t>
  </si>
  <si>
    <t>6104-3373-8696-8836</t>
  </si>
  <si>
    <t>خانم اسماعیل حسینی</t>
  </si>
  <si>
    <t>1401/03/20</t>
  </si>
  <si>
    <t>121371670087</t>
  </si>
  <si>
    <t>واریز به کارت ملت 1914</t>
  </si>
  <si>
    <t>6104-3375-6542-1748</t>
  </si>
  <si>
    <t>121371737387</t>
  </si>
  <si>
    <t>اصل مبلغ و سود تسویه کامل شد و چک 47 میلیون اصل مبلغ برداشت شد.</t>
  </si>
  <si>
    <t>653549844181</t>
  </si>
  <si>
    <t>واریز به کارت ملت 4686</t>
  </si>
  <si>
    <t>121373661200</t>
  </si>
  <si>
    <t>واریز به کارت پست بانک 0406</t>
  </si>
  <si>
    <t>سکینه برومند</t>
  </si>
  <si>
    <t>نوزدهم هر ماه</t>
  </si>
  <si>
    <t>واریز به کارت کشاورزی 7160</t>
  </si>
  <si>
    <t>653549911563</t>
  </si>
  <si>
    <t>6037-9981-7241-2446</t>
  </si>
  <si>
    <t>419897</t>
  </si>
  <si>
    <t>6037-9974-7541-6393</t>
  </si>
  <si>
    <t>091579</t>
  </si>
  <si>
    <t>6037-6974-0542-3200</t>
  </si>
  <si>
    <t>878693487</t>
  </si>
  <si>
    <t>واریز به کارت</t>
  </si>
  <si>
    <t>تا دوم تیر مشارکت پرداخت</t>
  </si>
  <si>
    <t>968834</t>
  </si>
  <si>
    <t>6104-3373-3449-7003</t>
  </si>
  <si>
    <t>140103200182506938</t>
  </si>
  <si>
    <t>شبا بانک 41001</t>
  </si>
  <si>
    <t>252722</t>
  </si>
  <si>
    <t>1401/03/21</t>
  </si>
  <si>
    <t>829160</t>
  </si>
  <si>
    <t>6104-3378-8160-7533</t>
  </si>
  <si>
    <t xml:space="preserve">احسان عبداللهی </t>
  </si>
  <si>
    <t>833497</t>
  </si>
  <si>
    <t>6037-7017-2668-5438</t>
  </si>
  <si>
    <t>834187</t>
  </si>
  <si>
    <t>6104-3373-3162-9129</t>
  </si>
  <si>
    <t>121394664551</t>
  </si>
  <si>
    <t>واریز به کارت 2528</t>
  </si>
  <si>
    <t>توضیحات از آقای عبداللهی بگیرم</t>
  </si>
  <si>
    <t>121398854463</t>
  </si>
  <si>
    <t>6104-3373-6619-9949</t>
  </si>
  <si>
    <t>مهدی حسینی (پسر خاله ابوالفضل بهلولی )</t>
  </si>
  <si>
    <t>1401/03/04</t>
  </si>
  <si>
    <t>زهرا جلالی (خانم محمود جلالی )</t>
  </si>
  <si>
    <t>9153628544</t>
  </si>
  <si>
    <t>9196802477</t>
  </si>
  <si>
    <t>مبلغ 3000000 میلیون تومان بابت هزینه نمایشکاه</t>
  </si>
  <si>
    <t>1401/03/06</t>
  </si>
  <si>
    <t>14010306054200000771</t>
  </si>
  <si>
    <t>شبا بانک شهر 5084</t>
  </si>
  <si>
    <t>1401/03/05</t>
  </si>
  <si>
    <t>872869099</t>
  </si>
  <si>
    <t>6104-3374-7976-0538</t>
  </si>
  <si>
    <t>1401030501523839504</t>
  </si>
  <si>
    <t>شبا بانک ملت 1777</t>
  </si>
  <si>
    <t>872869776</t>
  </si>
  <si>
    <t>شماره کارت 1230</t>
  </si>
  <si>
    <t>14010305054200002144</t>
  </si>
  <si>
    <t>شبا بانک ملت 5894</t>
  </si>
  <si>
    <t>653506892269</t>
  </si>
  <si>
    <t>6277-6012-7893-6156</t>
  </si>
  <si>
    <t>8955</t>
  </si>
  <si>
    <t>872872611</t>
  </si>
  <si>
    <t>872875548</t>
  </si>
  <si>
    <t>واریز به کارت 4804</t>
  </si>
  <si>
    <t>653506942149</t>
  </si>
  <si>
    <t>6037-6974-8290-7224</t>
  </si>
  <si>
    <t>872890810</t>
  </si>
  <si>
    <t>واریز به کارت 5029</t>
  </si>
  <si>
    <t>120879010788</t>
  </si>
  <si>
    <t>6037-7016-1542-5656</t>
  </si>
  <si>
    <t>872935267</t>
  </si>
  <si>
    <t>واریز به کارت 9125</t>
  </si>
  <si>
    <t>018325</t>
  </si>
  <si>
    <t>شبا بانک ملت 2688</t>
  </si>
  <si>
    <t>120901473554</t>
  </si>
  <si>
    <t>120904301089</t>
  </si>
  <si>
    <t>6104-3376-1354-1091</t>
  </si>
  <si>
    <t>9184</t>
  </si>
  <si>
    <t>واریز به کارت 5971</t>
  </si>
  <si>
    <t>872873331</t>
  </si>
  <si>
    <t>6104-3376-1408-4034</t>
  </si>
  <si>
    <t>872873798</t>
  </si>
  <si>
    <t>شماره کارت 6121</t>
  </si>
  <si>
    <t>653506925131</t>
  </si>
  <si>
    <t>6037-9975-9231-0578</t>
  </si>
  <si>
    <t>653506927195</t>
  </si>
  <si>
    <t>6104-3374-7645-6767</t>
  </si>
  <si>
    <t>872876225</t>
  </si>
  <si>
    <t>6104-3375-8740-7873</t>
  </si>
  <si>
    <t>653506938896</t>
  </si>
  <si>
    <t>120878081608</t>
  </si>
  <si>
    <t>شماره کارت 6620</t>
  </si>
  <si>
    <t>120879146158</t>
  </si>
  <si>
    <t>6277-6012-8677-3211</t>
  </si>
  <si>
    <t>1400/11/01</t>
  </si>
  <si>
    <t>9156939737</t>
  </si>
  <si>
    <t>1400/03/05</t>
  </si>
  <si>
    <t>872870461</t>
  </si>
  <si>
    <t>واریز به کارت 3633</t>
  </si>
  <si>
    <t>شبا بانک 9695</t>
  </si>
  <si>
    <t>زهرا عربی ( خانم حمیدرضا محمدی )</t>
  </si>
  <si>
    <t>492639</t>
  </si>
  <si>
    <t>6037-9973-8516-3499</t>
  </si>
  <si>
    <t>298672</t>
  </si>
  <si>
    <t>تکتم رضایی ( محمد علی میرزایی )</t>
  </si>
  <si>
    <t>شبا بانک 8102</t>
  </si>
  <si>
    <t>هجدهم هرماه</t>
  </si>
  <si>
    <t>073209</t>
  </si>
  <si>
    <t>5892-1011-7897-9353</t>
  </si>
  <si>
    <t>1401/3/07</t>
  </si>
  <si>
    <t>باقیمانده ماه قبل</t>
  </si>
  <si>
    <t>1401/03/22</t>
  </si>
  <si>
    <t>1401032201524573397</t>
  </si>
  <si>
    <t>شبا بانک 2001</t>
  </si>
  <si>
    <t>844301</t>
  </si>
  <si>
    <t>6063-7310-4045-8698</t>
  </si>
  <si>
    <t>جواد پورخواجه  حسن آبادی</t>
  </si>
  <si>
    <t>محمدحسین قربانی</t>
  </si>
  <si>
    <t>شبا بانک 5341</t>
  </si>
  <si>
    <t>واریز به کارت 5147</t>
  </si>
  <si>
    <t>عصمت احسانی متین (عباس عطایی و پیرزن ها )</t>
  </si>
  <si>
    <t>468024</t>
  </si>
  <si>
    <t>شبا شماره 8398</t>
  </si>
  <si>
    <t>محمدرضا عبداللهی</t>
  </si>
  <si>
    <t>14010322054200000855</t>
  </si>
  <si>
    <t>شبا بانک کشاورزی 3826</t>
  </si>
  <si>
    <t>اسدالله عبدالهی(مصطفی عبداللهی)</t>
  </si>
  <si>
    <t>121430679307</t>
  </si>
  <si>
    <t>واریز به کارت 6353</t>
  </si>
  <si>
    <t>550252</t>
  </si>
  <si>
    <t>6104-3373-7220-8064</t>
  </si>
  <si>
    <t>69564</t>
  </si>
  <si>
    <t>6037-6916-2306-6974</t>
  </si>
  <si>
    <t>957322</t>
  </si>
  <si>
    <t>5859-8311-1078-0029</t>
  </si>
  <si>
    <t>972815</t>
  </si>
  <si>
    <t>6037-9981-9816-0623</t>
  </si>
  <si>
    <t>زهره سلطان پور</t>
  </si>
  <si>
    <t>واریز به شماره کارت 6746</t>
  </si>
  <si>
    <t>بیست و دوم هر ماه</t>
  </si>
  <si>
    <t>364164</t>
  </si>
  <si>
    <t>واریز به کارت ملت 3763</t>
  </si>
  <si>
    <t>مرتضی لاغری</t>
  </si>
  <si>
    <t>واریز به کارت 1064</t>
  </si>
  <si>
    <t>512342</t>
  </si>
  <si>
    <t>6104-3377-6125-2509</t>
  </si>
  <si>
    <t>121438497840</t>
  </si>
  <si>
    <t>6037-7011-0849-2916</t>
  </si>
  <si>
    <t>مهدیه خالقی (همسر اسماعیل مودی )</t>
  </si>
  <si>
    <t>1400/2/12</t>
  </si>
  <si>
    <t>1401/2/12</t>
  </si>
  <si>
    <t>یک ساله</t>
  </si>
  <si>
    <t>مدت سپرده</t>
  </si>
  <si>
    <t>شش ساله</t>
  </si>
  <si>
    <t>شبا بانک 8266</t>
  </si>
  <si>
    <t>584806</t>
  </si>
  <si>
    <t>تسویه شد.</t>
  </si>
  <si>
    <t>584808</t>
  </si>
  <si>
    <t>شبا بانک 7003</t>
  </si>
  <si>
    <t>584807</t>
  </si>
  <si>
    <t>شبا بانک 4840</t>
  </si>
  <si>
    <t>تاریخ</t>
  </si>
  <si>
    <t>به حساب / کارت</t>
  </si>
  <si>
    <t>6037-6915-1068-4996</t>
  </si>
  <si>
    <t>1400/07/15</t>
  </si>
  <si>
    <t>کارت کشاورزی 0661</t>
  </si>
  <si>
    <t>1400/09/15</t>
  </si>
  <si>
    <t>1400/12/16</t>
  </si>
  <si>
    <t>کارت صادرات 4996</t>
  </si>
  <si>
    <t>کارت ملی 1401</t>
  </si>
  <si>
    <t>1401/01/18</t>
  </si>
  <si>
    <t>01-03706612-00-5</t>
  </si>
  <si>
    <t>1401/02/15</t>
  </si>
  <si>
    <t>1401/02/19</t>
  </si>
  <si>
    <t>1401/02/20</t>
  </si>
  <si>
    <t>جمع کل :</t>
  </si>
  <si>
    <t>از قبل</t>
  </si>
  <si>
    <t>واریزی های آقای رضا احمدی</t>
  </si>
  <si>
    <t>مبلغ به تومان</t>
  </si>
  <si>
    <t>1401/01/23</t>
  </si>
  <si>
    <t>1401/02/23</t>
  </si>
  <si>
    <t>واریزی های آقای مهدی علیمحمدی</t>
  </si>
  <si>
    <t>1401/01/31</t>
  </si>
  <si>
    <t>شبا ملت 3430</t>
  </si>
  <si>
    <t>1401/02/05</t>
  </si>
  <si>
    <t>1401/02/31</t>
  </si>
  <si>
    <t>کسر سود</t>
  </si>
  <si>
    <t>مهدی علی محمدی</t>
  </si>
  <si>
    <t>یکم</t>
  </si>
  <si>
    <t xml:space="preserve">بیست و دوم </t>
  </si>
  <si>
    <t>شماره چک / سفته</t>
  </si>
  <si>
    <t>1406/02/10</t>
  </si>
  <si>
    <t>1400/02/10</t>
  </si>
  <si>
    <t>1403/12/25</t>
  </si>
  <si>
    <t>1397/12/25</t>
  </si>
  <si>
    <t>سفته به شماره 924093</t>
  </si>
  <si>
    <t>عکس سفته یا چک نداشتند</t>
  </si>
  <si>
    <t>رمضان دلیر ارژنگی</t>
  </si>
  <si>
    <t>1401/04/01</t>
  </si>
  <si>
    <t>1404/04/01</t>
  </si>
  <si>
    <t>سه ساله</t>
  </si>
  <si>
    <t>چک بانک سپه 857084</t>
  </si>
  <si>
    <t xml:space="preserve">698882 سفته </t>
  </si>
  <si>
    <t xml:space="preserve">سفته 063477 </t>
  </si>
  <si>
    <t>چک بانک کشاورزی 067564</t>
  </si>
  <si>
    <t>1401/03/23</t>
  </si>
  <si>
    <t>121470481552</t>
  </si>
  <si>
    <t>واریز به کارت صادرات 2289</t>
  </si>
  <si>
    <t>14010323054200000841</t>
  </si>
  <si>
    <t>شبا بانک کشاورزی 5670</t>
  </si>
  <si>
    <t>140103230162617599</t>
  </si>
  <si>
    <t>شبا بانک ملت 6846</t>
  </si>
  <si>
    <t>14010323054200000856</t>
  </si>
  <si>
    <t>نقدی</t>
  </si>
  <si>
    <t>کارت</t>
  </si>
  <si>
    <t>سود خرداد</t>
  </si>
  <si>
    <t>محمدغوث محمدزائی</t>
  </si>
  <si>
    <t>واریز به کارت 7353</t>
  </si>
  <si>
    <t>14010303054200055405</t>
  </si>
  <si>
    <t>شبا بانک کشاورزی 8867</t>
  </si>
  <si>
    <t>14010303054200056004</t>
  </si>
  <si>
    <t>شبا بانک ملت 3771</t>
  </si>
  <si>
    <t>شبا بانک صادرات 4003</t>
  </si>
  <si>
    <t>14010303054200056019</t>
  </si>
  <si>
    <t>000801</t>
  </si>
  <si>
    <t>شبا بانک ملت 9022</t>
  </si>
  <si>
    <t>000858</t>
  </si>
  <si>
    <t>شبا بانک ملت 7381</t>
  </si>
  <si>
    <t>000914</t>
  </si>
  <si>
    <t>شبا بانک ملت 1280</t>
  </si>
  <si>
    <t>815221</t>
  </si>
  <si>
    <t>6104-3374-7175-7649</t>
  </si>
  <si>
    <t>871944768</t>
  </si>
  <si>
    <t>واریز به کارت1753</t>
  </si>
  <si>
    <t>1401030301523725745</t>
  </si>
  <si>
    <t>شبا بانک 3944</t>
  </si>
  <si>
    <t>652585749088</t>
  </si>
  <si>
    <t>6104-3376-1897-5864</t>
  </si>
  <si>
    <t xml:space="preserve">محمودرضا خالقی </t>
  </si>
  <si>
    <t>120839490548</t>
  </si>
  <si>
    <t>واریز به کارت 9568</t>
  </si>
  <si>
    <t>14010304054200000856</t>
  </si>
  <si>
    <t>شبا بانک صادرات 5001</t>
  </si>
  <si>
    <t>بیست و هشتم</t>
  </si>
  <si>
    <t>652587110997</t>
  </si>
  <si>
    <t>واریز به کارت 6987</t>
  </si>
  <si>
    <t>120839583554</t>
  </si>
  <si>
    <t>واریز به کارت 4574</t>
  </si>
  <si>
    <t>652587120012</t>
  </si>
  <si>
    <t>واریز به کارت 8769</t>
  </si>
  <si>
    <t>872401554</t>
  </si>
  <si>
    <t>6104-3373-4185-6902</t>
  </si>
  <si>
    <t>652587123314</t>
  </si>
  <si>
    <t>5894-6311-4667-0906</t>
  </si>
  <si>
    <t>از تیر این مبلغ اضافه میشود</t>
  </si>
  <si>
    <t>652587124911</t>
  </si>
  <si>
    <t>6037-6915-3869-6857</t>
  </si>
  <si>
    <t>652587126122</t>
  </si>
  <si>
    <t>واریز به کارت 3467</t>
  </si>
  <si>
    <t>872402170</t>
  </si>
  <si>
    <t>872402342</t>
  </si>
  <si>
    <t>6104-3373-4315-2938</t>
  </si>
  <si>
    <t>652587130575</t>
  </si>
  <si>
    <t>واریز به کارت 1795</t>
  </si>
  <si>
    <t>652587134698</t>
  </si>
  <si>
    <t>6104-3377-9972-8306</t>
  </si>
  <si>
    <t>872403580</t>
  </si>
  <si>
    <t>6104-3374-4827-2367</t>
  </si>
  <si>
    <t>872406525</t>
  </si>
  <si>
    <t>6104-3379-7888-1611</t>
  </si>
  <si>
    <t>872410164</t>
  </si>
  <si>
    <t>6104-3389-0111-4278</t>
  </si>
  <si>
    <t>872415811</t>
  </si>
  <si>
    <t>6104-3374-7450-4709</t>
  </si>
  <si>
    <t>1401030401523779835</t>
  </si>
  <si>
    <t>شبا بانک ملت 7273</t>
  </si>
  <si>
    <t>صدیقه صفایی ( محمد عزیز عربی )</t>
  </si>
  <si>
    <t>653559340198</t>
  </si>
  <si>
    <t>6104-3376-6388-1215</t>
  </si>
  <si>
    <t>044109</t>
  </si>
  <si>
    <t>6104-3389-0736-4794</t>
  </si>
  <si>
    <t>295092</t>
  </si>
  <si>
    <t>6037-9917-9307-8035</t>
  </si>
  <si>
    <t>مژگان پورخواجه حسن آبادی</t>
  </si>
  <si>
    <t>5041-7210-9003-9570</t>
  </si>
  <si>
    <t>1401/03/24</t>
  </si>
  <si>
    <t>653561657534</t>
  </si>
  <si>
    <t>واریز به کارت 4762</t>
  </si>
  <si>
    <t>653561661492</t>
  </si>
  <si>
    <t>واریز به کارت 4607</t>
  </si>
  <si>
    <t>بیست و سوم</t>
  </si>
  <si>
    <t>بیست و چهارم</t>
  </si>
  <si>
    <t>میلغ 255000 بابت شیرینی سود</t>
  </si>
  <si>
    <t>858695</t>
  </si>
  <si>
    <t>ریحانه سادات محمدزاده (دوست مژگان پورخواجه )</t>
  </si>
  <si>
    <t>653562174631</t>
  </si>
  <si>
    <t>0103241324123508</t>
  </si>
  <si>
    <t>121525066466</t>
  </si>
  <si>
    <t>6104-3377-9375-9232</t>
  </si>
  <si>
    <t>1400/07/20</t>
  </si>
  <si>
    <t>859119</t>
  </si>
  <si>
    <t xml:space="preserve">جعفر رضائیان یزدی </t>
  </si>
  <si>
    <t>766959</t>
  </si>
  <si>
    <t>6037-7016-2105-4342</t>
  </si>
  <si>
    <t>1401/03/25</t>
  </si>
  <si>
    <t>289360</t>
  </si>
  <si>
    <t>6104-3376-1469-4501</t>
  </si>
  <si>
    <t>359983</t>
  </si>
  <si>
    <t>6104-3378-3403-5311</t>
  </si>
  <si>
    <t>14010325054200003068</t>
  </si>
  <si>
    <t>شبا بانک ملت 0616</t>
  </si>
  <si>
    <t>عطیه شیر قاز خانی ( چک به نام سجاد وحیدی خواه )</t>
  </si>
  <si>
    <t>چک بانک تجارت 939970</t>
  </si>
  <si>
    <t>اصل مبلغ چک / سفته به تومان</t>
  </si>
  <si>
    <t>1401/10/20</t>
  </si>
  <si>
    <t>1401/10/15</t>
  </si>
  <si>
    <t>چک بانک تجارت 804625</t>
  </si>
  <si>
    <t>1401/07/12</t>
  </si>
  <si>
    <t>چک بانک ملت 1769/779080/37</t>
  </si>
  <si>
    <t>1401/08/18</t>
  </si>
  <si>
    <t>چک بانک تجارت 804633</t>
  </si>
  <si>
    <t>سید حمید ابراهیم تقی آباد</t>
  </si>
  <si>
    <t>1404/04/02</t>
  </si>
  <si>
    <t>چک بانک سپه 857085</t>
  </si>
  <si>
    <t>1401/04/02</t>
  </si>
  <si>
    <t>علی غلامی تیگا ( پسر محمد )</t>
  </si>
  <si>
    <t>علی غلامی (پل بند)</t>
  </si>
  <si>
    <t>عل</t>
  </si>
  <si>
    <t>سود</t>
  </si>
  <si>
    <t>مبلغ سود ماهانه به تومان</t>
  </si>
  <si>
    <t>از مبلغ سود 36/600/000 تومان واریز شد و الباقی سود مبلغ 60/000000 تومان به اصل مبلغ اضافه شد.</t>
  </si>
  <si>
    <t>مبلغ فعلی 1/410/000/000 میلیون تومان</t>
  </si>
  <si>
    <t>قرار شد ماهی 60/000/000 میلیون تومان از سود هرماه به ازای شش ماه کم شد و چک به مبلغ 360/000/000 میلیون تومان به تاریخ 15 مرداد بانک صادرات تحویل خانم حمیده بیرجندی شد. ( شش ماهه سود 1380 )</t>
  </si>
  <si>
    <t>قرار شد مبلغ 200/000/000 میلیون تومان پانزدهم تیرماه برداشت شود که اگر برداشت شود اصل پول مبلغ 1/300/000/000 تومان میشود که هشتاد کسری سود سه ماه کسر بشود از 360 میلیون پانزدهم مرداد</t>
  </si>
  <si>
    <t>احمد لک</t>
  </si>
  <si>
    <t>معصومه لک</t>
  </si>
  <si>
    <t>علی اصغر فرهنگ</t>
  </si>
  <si>
    <t>محمود جلالی</t>
  </si>
  <si>
    <t>جمع کل به تومان</t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</si>
  <si>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اول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</si>
  <si>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r>
      <t xml:space="preserve">خانم زهرا جلالی </t>
    </r>
    <r>
      <rPr>
        <sz val="14"/>
        <color theme="1"/>
        <rFont val="Arial"/>
        <family val="2"/>
        <scheme val="minor"/>
      </rPr>
      <t>(موجودی پانزدهم هر ماه )</t>
    </r>
    <r>
      <rPr>
        <b/>
        <sz val="18"/>
        <color theme="1"/>
        <rFont val="Arial"/>
        <family val="2"/>
        <scheme val="minor"/>
      </rPr>
      <t xml:space="preserve"> / </t>
    </r>
    <r>
      <rPr>
        <sz val="16"/>
        <color theme="1"/>
        <rFont val="Arial"/>
        <family val="2"/>
        <scheme val="minor"/>
      </rPr>
      <t>به شماره کارت 3633-5912-3373-6104</t>
    </r>
  </si>
  <si>
    <t>سمیه لک ( مریم )</t>
  </si>
  <si>
    <t>فاطمه کاردانی</t>
  </si>
  <si>
    <t>327959</t>
  </si>
  <si>
    <t>870858968</t>
  </si>
  <si>
    <t>6104-3373-3739-2235</t>
  </si>
  <si>
    <t>14010301054200002009</t>
  </si>
  <si>
    <t>870891811</t>
  </si>
  <si>
    <t>6104-3373-0065-0775</t>
  </si>
  <si>
    <t>120725811114</t>
  </si>
  <si>
    <t>واریز به کارت 6005</t>
  </si>
  <si>
    <t>870993274</t>
  </si>
  <si>
    <t>واریز به کارت 5998</t>
  </si>
  <si>
    <t>1401030101523597476</t>
  </si>
  <si>
    <t>شبا بانک 9710</t>
  </si>
  <si>
    <t>0103011222223602</t>
  </si>
  <si>
    <t>شبا بانک 8180</t>
  </si>
  <si>
    <t>871158813</t>
  </si>
  <si>
    <t>واریز به کارت 8238</t>
  </si>
  <si>
    <t>464444</t>
  </si>
  <si>
    <t>6395-9911-7636-2648</t>
  </si>
  <si>
    <t>871165802</t>
  </si>
  <si>
    <t>زهره پور خواجه حسن آبادی</t>
  </si>
  <si>
    <t>120739188207</t>
  </si>
  <si>
    <t>055485</t>
  </si>
  <si>
    <t>شبا بانک 3001</t>
  </si>
  <si>
    <t>مهناز پور خواجه حسن آبادی</t>
  </si>
  <si>
    <t>120739978682</t>
  </si>
  <si>
    <t>6104-3379-3484-5361</t>
  </si>
  <si>
    <t>871195896</t>
  </si>
  <si>
    <t>6104-3379-0309-4546</t>
  </si>
  <si>
    <t>1401/03/02</t>
  </si>
  <si>
    <t>871641983</t>
  </si>
  <si>
    <t>واریز به کارت 6596</t>
  </si>
  <si>
    <t>14010302054200457707</t>
  </si>
  <si>
    <t>شبا بانک کشاورزی 2621</t>
  </si>
  <si>
    <t>871716097</t>
  </si>
  <si>
    <t>819773</t>
  </si>
  <si>
    <t>شبا بانک 9007</t>
  </si>
  <si>
    <t>احمد عبداللهی ( مرضیه عبداللهی )</t>
  </si>
  <si>
    <t>160018</t>
  </si>
  <si>
    <t>عاطفه ناروئی ( همسر محسن دیوسار )</t>
  </si>
  <si>
    <t xml:space="preserve">سی ام </t>
  </si>
  <si>
    <t>1401/01/30</t>
  </si>
  <si>
    <t>بیست و هفتم</t>
  </si>
  <si>
    <t>یکم خرداد 12600 - یکم تیر 16500</t>
  </si>
  <si>
    <t>0103251215555461</t>
  </si>
  <si>
    <t>شبا بانک 8556</t>
  </si>
  <si>
    <t>759106</t>
  </si>
  <si>
    <t>6104-3378-5807-4238</t>
  </si>
  <si>
    <t>310127</t>
  </si>
  <si>
    <t>6104-3378-4363-8238</t>
  </si>
  <si>
    <t>140103250162790327</t>
  </si>
  <si>
    <t>شبا بانک 9759</t>
  </si>
  <si>
    <t>140103250162790407</t>
  </si>
  <si>
    <t>5041-7210-2932-9498</t>
  </si>
  <si>
    <t>179325</t>
  </si>
  <si>
    <t>6037-6911-1460-2162</t>
  </si>
  <si>
    <t>واریزی اردیبهشت ماه</t>
  </si>
  <si>
    <t>549203</t>
  </si>
  <si>
    <t>6037-7017-2421-5188</t>
  </si>
  <si>
    <t>116278</t>
  </si>
  <si>
    <t>5892-1012-7885-8705</t>
  </si>
  <si>
    <t xml:space="preserve">بیست و پنجم </t>
  </si>
  <si>
    <t>1401/03/26</t>
  </si>
  <si>
    <t>140103260162791978</t>
  </si>
  <si>
    <t>247332</t>
  </si>
  <si>
    <t>6104-3374-8714-5037</t>
  </si>
  <si>
    <t>247472</t>
  </si>
  <si>
    <t>6037-6974-5515-9951</t>
  </si>
  <si>
    <t>بیست و دوم</t>
  </si>
  <si>
    <t>616236</t>
  </si>
  <si>
    <t>6104-3374-2971-9931</t>
  </si>
  <si>
    <t>فاطمه سادات هاشمی</t>
  </si>
  <si>
    <t>616778</t>
  </si>
  <si>
    <t>6104-3389-1806-9481</t>
  </si>
  <si>
    <t>653567675900</t>
  </si>
  <si>
    <t>6104-3377-1405-1975</t>
  </si>
  <si>
    <t>سیده زهرا اکبری کلاته رضا</t>
  </si>
  <si>
    <t>252876</t>
  </si>
  <si>
    <t>6104-3372-3581-4470</t>
  </si>
  <si>
    <t>253545</t>
  </si>
  <si>
    <t>5029-0810-3522-1346</t>
  </si>
  <si>
    <t>622499</t>
  </si>
  <si>
    <t>6037-7015-3725-1404</t>
  </si>
  <si>
    <t>1401032601524781577</t>
  </si>
  <si>
    <t>شبا بانک ملت 6679</t>
  </si>
  <si>
    <t>101526</t>
  </si>
  <si>
    <t>شبا بانک ملت 2843</t>
  </si>
  <si>
    <t>121583172195</t>
  </si>
  <si>
    <t>واریز به کارت 3713</t>
  </si>
  <si>
    <t>121583394162</t>
  </si>
  <si>
    <t>6104-3377-6559-2843</t>
  </si>
  <si>
    <t>194251</t>
  </si>
  <si>
    <t>واریز به کارت 6970</t>
  </si>
  <si>
    <t>121584645526</t>
  </si>
  <si>
    <t>واریز به کارت 9697</t>
  </si>
  <si>
    <t xml:space="preserve">بیست و یکم </t>
  </si>
  <si>
    <t>09117941875</t>
  </si>
  <si>
    <t>09370446469</t>
  </si>
  <si>
    <t>09157126880</t>
  </si>
  <si>
    <t>09159058293</t>
  </si>
  <si>
    <t>واریزی های آقای مجتبی کامکاری</t>
  </si>
  <si>
    <t>09156653550</t>
  </si>
  <si>
    <t>121599837528</t>
  </si>
  <si>
    <t>6037-6975-2131-4523</t>
  </si>
  <si>
    <t>1400/08/25</t>
  </si>
  <si>
    <t>بیست و ششم</t>
  </si>
  <si>
    <t>1402/03/26</t>
  </si>
  <si>
    <t>1401/03/27</t>
  </si>
  <si>
    <t>140103270162840182</t>
  </si>
  <si>
    <t>شبا بانک ملت 8556</t>
  </si>
  <si>
    <t>988053</t>
  </si>
  <si>
    <t>5859-8310-8809-3041</t>
  </si>
  <si>
    <t>فاطمه کامگارپور</t>
  </si>
  <si>
    <t>122659</t>
  </si>
  <si>
    <t>6063-7310-6348-8861</t>
  </si>
  <si>
    <t>122976</t>
  </si>
  <si>
    <t>6037-9972-9985-6733</t>
  </si>
  <si>
    <t>1401032701524835994</t>
  </si>
  <si>
    <t>سمیه غضنفری</t>
  </si>
  <si>
    <t>662163</t>
  </si>
  <si>
    <t>واریز به کارت تجارت 5418</t>
  </si>
  <si>
    <t>992386</t>
  </si>
  <si>
    <t>6037-7014-4267-1787</t>
  </si>
  <si>
    <t>09158077206</t>
  </si>
  <si>
    <t>فائزه نیازجو</t>
  </si>
  <si>
    <t>121615219349</t>
  </si>
  <si>
    <t>واریز به کارت کشاورزی 1322</t>
  </si>
  <si>
    <t xml:space="preserve">محمد امیرشی بهلولی </t>
  </si>
  <si>
    <t>121616033663</t>
  </si>
  <si>
    <t>6104-3378-7086-6371</t>
  </si>
  <si>
    <t>از مبلغ 3 میلیون تومان 15 روز آن محاسبه شد.</t>
  </si>
  <si>
    <t>09362232582</t>
  </si>
  <si>
    <t>121616078699</t>
  </si>
  <si>
    <t>09153193463</t>
  </si>
  <si>
    <t>121628612276</t>
  </si>
  <si>
    <t>6104-3377-6645-8754</t>
  </si>
  <si>
    <t>566891</t>
  </si>
  <si>
    <t>861671</t>
  </si>
  <si>
    <t>1401/03/28</t>
  </si>
  <si>
    <t>121638741202</t>
  </si>
  <si>
    <t>واریز به کارت 5869</t>
  </si>
  <si>
    <t>محمود بالازاده</t>
  </si>
  <si>
    <t>09358699966</t>
  </si>
  <si>
    <t>ابوالفضل برات نیا ( علی اصغر برات نیا )</t>
  </si>
  <si>
    <t>1400/09/07</t>
  </si>
  <si>
    <t>پنجم</t>
  </si>
  <si>
    <t>از اصل مبلغ 5 میلیون تومان تسویه شد.</t>
  </si>
  <si>
    <t>از تیر ماه مبلغ 800 هزار تومان باید واریز شود.</t>
  </si>
  <si>
    <t>1402/02/20</t>
  </si>
  <si>
    <t xml:space="preserve">هشتم </t>
  </si>
  <si>
    <t>محسن عبدالهی</t>
  </si>
  <si>
    <t xml:space="preserve">تاریخ واریز </t>
  </si>
  <si>
    <t xml:space="preserve">واریز به </t>
  </si>
  <si>
    <t>صادرات</t>
  </si>
  <si>
    <t>قرار شد 21/000/000 تومان سود به علاوه 100 میلیون تومان از مبلغ سپرده رو بیستم خرداد دریافت کنند.</t>
  </si>
  <si>
    <t>مجددا قرار شد مبلغ 125 میلیون تاریخ دوم تیر دریافت کنند.</t>
  </si>
  <si>
    <t xml:space="preserve">مبلغ نهایی سپرده 200 میلیون تومان  ماهیانه 14 تومن میشود.(سر رسید بیستم تیر ماه ) </t>
  </si>
  <si>
    <t>چهل ماهه</t>
  </si>
  <si>
    <t>1403/05/01</t>
  </si>
  <si>
    <t>1397/05/01</t>
  </si>
  <si>
    <t>چک بانک ملت 1698/578631/41</t>
  </si>
  <si>
    <t>چک بانک ملت 1730/852737/42</t>
  </si>
  <si>
    <t>1401/06/23</t>
  </si>
  <si>
    <t>تیر ماه سال 98</t>
  </si>
  <si>
    <t>1400/10/01</t>
  </si>
  <si>
    <t>به نام پدر</t>
  </si>
  <si>
    <t>1401/08/06</t>
  </si>
  <si>
    <t>چک کشاورزی 50018067573</t>
  </si>
  <si>
    <t>1400/08/06</t>
  </si>
  <si>
    <t>1399/10/03</t>
  </si>
  <si>
    <t>1400/10/03</t>
  </si>
  <si>
    <t>سفته و چک موجود نیست - تمدید شد</t>
  </si>
  <si>
    <t>1403/10/12</t>
  </si>
  <si>
    <t>1397/10/12</t>
  </si>
  <si>
    <t>چک بانک سرمایه 242340</t>
  </si>
  <si>
    <t>واریزی اردیبهشت</t>
  </si>
  <si>
    <t>مبلغ صد میلیون از اصل پول کم شد و از تیرماه اصل مبلغ 1/200/000/000 تومان و سود هرماه 96/000/000 میلیون تومان میباشد.</t>
  </si>
  <si>
    <t>الباقی واریزی اردیبهشت ماه</t>
  </si>
  <si>
    <t>653572999730</t>
  </si>
  <si>
    <t>903358</t>
  </si>
  <si>
    <t>14010328054200008248</t>
  </si>
  <si>
    <t>واریز به شبا بانک ملی 2003</t>
  </si>
  <si>
    <t>مبلغ سی میلیون تسویه میشود.</t>
  </si>
  <si>
    <t>09154126614</t>
  </si>
  <si>
    <t>09156849525</t>
  </si>
  <si>
    <t>شماره واتساپ : 09054116865</t>
  </si>
  <si>
    <t>09023112470</t>
  </si>
  <si>
    <t>عباس علی میرزایی</t>
  </si>
  <si>
    <t>214511</t>
  </si>
  <si>
    <t>6037-7014-3471-9198</t>
  </si>
  <si>
    <t>سه ماهه</t>
  </si>
  <si>
    <t>محسن رمضانی</t>
  </si>
  <si>
    <t>چک بانک ملت 1803/152090/27</t>
  </si>
  <si>
    <t>1401/07/02</t>
  </si>
  <si>
    <t>1401/03/29</t>
  </si>
  <si>
    <t>14010329054200000768</t>
  </si>
  <si>
    <t>سحر حسن زاده ( یاسر حسینی بیرم آباد )</t>
  </si>
  <si>
    <t>14010329054200000776</t>
  </si>
  <si>
    <t>شبا بانک 1001</t>
  </si>
  <si>
    <t>فاطمه حسینی ( هادی حسینی )</t>
  </si>
  <si>
    <t>653575640235</t>
  </si>
  <si>
    <t>واریز به کارت ملت 3847</t>
  </si>
  <si>
    <t>653575676331</t>
  </si>
  <si>
    <t>واریز به کارت ملت 0125</t>
  </si>
  <si>
    <t>1401032901524895338</t>
  </si>
  <si>
    <t>شبا بانک ملت 2050</t>
  </si>
  <si>
    <t>653575782533</t>
  </si>
  <si>
    <t>6037-7015-2220-9102</t>
  </si>
  <si>
    <t>14010329054200003977</t>
  </si>
  <si>
    <t>شبا بانک 3648</t>
  </si>
  <si>
    <t>میرزایی همسایه ( فاطمه مشمول مقدم )</t>
  </si>
  <si>
    <t>واریزی دو ماه اردیبهشت و خرداد</t>
  </si>
  <si>
    <t>140103290162925317</t>
  </si>
  <si>
    <t>1401/03/028</t>
  </si>
  <si>
    <t>از اصل پول تسویه شد.</t>
  </si>
  <si>
    <t>از تیر ماه مبلغ 30 میلیون تومان واریز شود.</t>
  </si>
  <si>
    <t>لیلا غلامی ( مادر محمد امیرشی بهلولی )</t>
  </si>
  <si>
    <t>سفته 883969</t>
  </si>
  <si>
    <t>علیرضا امیرشی بهلولی ( برادر محمد امیرشی بهلولی )</t>
  </si>
  <si>
    <t>1406/10/16</t>
  </si>
  <si>
    <t>1400/10/16</t>
  </si>
  <si>
    <t xml:space="preserve">سفته و چک موجود نیست </t>
  </si>
  <si>
    <t>فاطمه شکوهی فر (همسر مهدی بلیبه )</t>
  </si>
  <si>
    <t>مبلغ صد هزار تومان از ماه قبل بوده است.</t>
  </si>
  <si>
    <t>واریزی ماه قبل</t>
  </si>
  <si>
    <t>شهربانو قدم دخت شادیشه (علی رمضانی )</t>
  </si>
  <si>
    <t>چهاردهم تیر 1/600/000 تومان و از چهاردهم مرداد 2 میلیون تومان</t>
  </si>
  <si>
    <t>1401/03/30</t>
  </si>
  <si>
    <t>121711363623</t>
  </si>
  <si>
    <t>6104-3374-0976-3123</t>
  </si>
  <si>
    <t>14010330054200016551</t>
  </si>
  <si>
    <t>شبا بانک صلدرات 9008</t>
  </si>
  <si>
    <t>محمد جهانگیری</t>
  </si>
  <si>
    <t>381761</t>
  </si>
  <si>
    <t>6104-3376-0552-0681</t>
  </si>
  <si>
    <t>1401033001524971697</t>
  </si>
  <si>
    <t>497014</t>
  </si>
  <si>
    <t>شبا بانک 3007</t>
  </si>
  <si>
    <t>581930</t>
  </si>
  <si>
    <t>6104-3371-3192-1460</t>
  </si>
  <si>
    <t>121736958452</t>
  </si>
  <si>
    <t>6037-7016-4605-9151</t>
  </si>
  <si>
    <t>حمید رازی</t>
  </si>
  <si>
    <t>1402/04/01</t>
  </si>
  <si>
    <t>ابراهیم نادی</t>
  </si>
  <si>
    <t>1401/03/31</t>
  </si>
  <si>
    <t>121748071956</t>
  </si>
  <si>
    <t>6063-7310-5951-4720</t>
  </si>
  <si>
    <t>اول هر ماه</t>
  </si>
  <si>
    <t>1400/12/25</t>
  </si>
  <si>
    <t>1401/12/25</t>
  </si>
  <si>
    <t>1402/01/18</t>
  </si>
  <si>
    <t>14010331054200062141</t>
  </si>
  <si>
    <t>شبا بانک ملت 4477</t>
  </si>
  <si>
    <t>14010331054200062299</t>
  </si>
  <si>
    <t>1401/3/31</t>
  </si>
  <si>
    <t>10619</t>
  </si>
  <si>
    <t>6037-6975-0463-9789</t>
  </si>
  <si>
    <t>فاطمه عگیدی</t>
  </si>
  <si>
    <t>242602</t>
  </si>
  <si>
    <t>6037-7011-2415-5109</t>
  </si>
  <si>
    <t>14010331054200074039</t>
  </si>
  <si>
    <t>0103300541000239</t>
  </si>
  <si>
    <t>بابت راسی</t>
  </si>
  <si>
    <t>14010331054200074052</t>
  </si>
  <si>
    <t>1401033101525041613</t>
  </si>
  <si>
    <t>شبا بانک 40009</t>
  </si>
  <si>
    <t>محمد یوسفیان ( آقای حسن زاده )</t>
  </si>
  <si>
    <t>09158578897</t>
  </si>
  <si>
    <t>خدیجه بهلولی</t>
  </si>
  <si>
    <t>09155803794</t>
  </si>
  <si>
    <t>سبحان بهلوری ( پریسا خنک بان )</t>
  </si>
  <si>
    <t>پانزدهم</t>
  </si>
  <si>
    <t xml:space="preserve">هجدهم </t>
  </si>
  <si>
    <t xml:space="preserve">هفدهم </t>
  </si>
  <si>
    <t xml:space="preserve">چهاردهم </t>
  </si>
  <si>
    <t xml:space="preserve">پانزدهم </t>
  </si>
  <si>
    <t xml:space="preserve">دوازدهم </t>
  </si>
  <si>
    <t xml:space="preserve">دوم </t>
  </si>
  <si>
    <t xml:space="preserve">شانزدهم </t>
  </si>
  <si>
    <t xml:space="preserve">یکم </t>
  </si>
  <si>
    <t xml:space="preserve">نوزدهم </t>
  </si>
  <si>
    <t xml:space="preserve">اول </t>
  </si>
  <si>
    <t xml:space="preserve">بیستم </t>
  </si>
  <si>
    <t>هجدهم</t>
  </si>
  <si>
    <t>چهاردهم</t>
  </si>
  <si>
    <t>سحابی</t>
  </si>
  <si>
    <t>09153171834</t>
  </si>
  <si>
    <t>09158093742</t>
  </si>
  <si>
    <t>09159154405</t>
  </si>
  <si>
    <t>09014176313</t>
  </si>
  <si>
    <t>09364212203</t>
  </si>
  <si>
    <t>09155284303</t>
  </si>
  <si>
    <t>09370800966</t>
  </si>
  <si>
    <t>09359575417</t>
  </si>
  <si>
    <t>09309590803</t>
  </si>
  <si>
    <t>09159755905-09105790684</t>
  </si>
  <si>
    <t>09158229486</t>
  </si>
  <si>
    <t>09013432505</t>
  </si>
  <si>
    <t>09153587830-09372779155</t>
  </si>
  <si>
    <t>09339182673</t>
  </si>
  <si>
    <t>09159635302</t>
  </si>
  <si>
    <t>09159010926</t>
  </si>
  <si>
    <t>از تیر ماه واریز میشود</t>
  </si>
  <si>
    <t>چند روز دیرتر واریز شد-در اصل باید مبلغ 4/500/000 تومان واریز میشد.</t>
  </si>
  <si>
    <t>الباقی هفت میلیون تومان یکم تیر ماه واریز شد - یکم خرداد 12600 - یکم تیر 16500</t>
  </si>
  <si>
    <t>ابوالفضل عبداللهی</t>
  </si>
  <si>
    <t>غلامرضا یگانه</t>
  </si>
  <si>
    <t>بیستم</t>
  </si>
  <si>
    <t>واریزی تیر ماه</t>
  </si>
  <si>
    <t>قرار شد 21 میلیون تومان سود + 100 میلیون تومان از اصل پول 20 خرداد تسویه شود که مجدد تا 2 تیر تمدید شد و مبلغ 125 میلیون واریزی</t>
  </si>
  <si>
    <t>بابت 300 میلیون تومان سفته یا چک دریافت نکردند.</t>
  </si>
  <si>
    <t>از اصل مبلغ 5 میلیون تومان تسویه شد-از تیر ماه مبلغ 800 هزار تومان باید واریز شود.</t>
  </si>
  <si>
    <t>529847</t>
  </si>
  <si>
    <t>14010401054200012004</t>
  </si>
  <si>
    <t>تسویه خرداد ماه</t>
  </si>
  <si>
    <t>14010401054200012165</t>
  </si>
  <si>
    <t>شبا بانک ملت 8180</t>
  </si>
  <si>
    <t>14010401054200012534</t>
  </si>
  <si>
    <t>شبا بانک ملی 5760</t>
  </si>
  <si>
    <t>1401040101525072199</t>
  </si>
  <si>
    <t>شبا بانک رسالت 3001</t>
  </si>
  <si>
    <t>6104-3377-3677-4124</t>
  </si>
  <si>
    <t>653586315885</t>
  </si>
  <si>
    <t>140104010162085340</t>
  </si>
  <si>
    <t>شبا بانک 3998</t>
  </si>
  <si>
    <t>واریزی دهم تیر ماه 34 میلیون تومان و دهم مرداد 54 میلیون تومان</t>
  </si>
  <si>
    <t>121796663947</t>
  </si>
  <si>
    <t>تسویه کامل شد.</t>
  </si>
  <si>
    <t>140104010182522318</t>
  </si>
  <si>
    <t>886541</t>
  </si>
  <si>
    <t>140104010182530486</t>
  </si>
  <si>
    <t>955732</t>
  </si>
  <si>
    <t>573198</t>
  </si>
  <si>
    <t>121829813232</t>
  </si>
  <si>
    <t>هزینه سفر</t>
  </si>
  <si>
    <t>140104020162136478</t>
  </si>
  <si>
    <t>شبا بانک 9022</t>
  </si>
  <si>
    <t>فاطمه غلامی جدید ( همسر مرتضی غلامی )</t>
  </si>
  <si>
    <t>عباس وحیدی معرفی کرده</t>
  </si>
  <si>
    <t>140104020162137294</t>
  </si>
  <si>
    <t>شبا بانک 2661</t>
  </si>
  <si>
    <t>مبلغ 27/070/000 تومان خرداد ماه تسویه شد</t>
  </si>
  <si>
    <t>002172</t>
  </si>
  <si>
    <t>شبا بانک سپه 5594</t>
  </si>
  <si>
    <t>195475</t>
  </si>
  <si>
    <t>294856</t>
  </si>
  <si>
    <t>شبا بانک صادرات 7008</t>
  </si>
  <si>
    <t>واریز به کارت 4996</t>
  </si>
  <si>
    <t>دوم تیر واریز شد.</t>
  </si>
  <si>
    <t>سود 15 تیرماه تسویه شد-واریزی 35/000/000 تومان آن در ماه خرداد انجام شده است.</t>
  </si>
  <si>
    <t>658044</t>
  </si>
  <si>
    <t>1401040201525150725</t>
  </si>
  <si>
    <t>شبا بانک ملت 8028</t>
  </si>
  <si>
    <t>884021497</t>
  </si>
  <si>
    <t>14010402054200005886</t>
  </si>
  <si>
    <t>شبا بانک صادرات 88500</t>
  </si>
  <si>
    <t>14010402054200008009</t>
  </si>
  <si>
    <t>اصل مبلغ 70/000/000 میلیون تومان بود که 40 میلیون تومان آن در خرداد ماه واریز شد-تسویه کامل شدند.</t>
  </si>
  <si>
    <t>ملیحه صادقی</t>
  </si>
  <si>
    <t>کارت بانک شهر 1078</t>
  </si>
  <si>
    <t>1401/04/03</t>
  </si>
  <si>
    <t>000106</t>
  </si>
  <si>
    <t>6104-3378-2422-4610</t>
  </si>
  <si>
    <t>160814</t>
  </si>
  <si>
    <t>6280-2314-5712-1795</t>
  </si>
  <si>
    <t>14010403012254618407</t>
  </si>
  <si>
    <t>منیره ملکی</t>
  </si>
  <si>
    <t>6104-3376-4013-9570</t>
  </si>
  <si>
    <t>162176</t>
  </si>
  <si>
    <t>6037-9982-0753-6987</t>
  </si>
  <si>
    <t>544998</t>
  </si>
  <si>
    <t>شبا بانک کشاورزی</t>
  </si>
  <si>
    <t>162798</t>
  </si>
  <si>
    <t>6104-3378-7233-2356</t>
  </si>
  <si>
    <t>میثم قاسم زاده</t>
  </si>
  <si>
    <t>واریز به کارت 5539</t>
  </si>
  <si>
    <t>166797</t>
  </si>
  <si>
    <t>6037-7014-4110-2974</t>
  </si>
  <si>
    <t>140104030162191150</t>
  </si>
  <si>
    <t>ملیحه علی میرزائی تپه سلام ( حسین علی میرزایی)</t>
  </si>
  <si>
    <t>ملیحه علی میرزائی ( زردادخانی )</t>
  </si>
  <si>
    <t>صغری هژبر</t>
  </si>
  <si>
    <t>6037-7011-6519-3902</t>
  </si>
  <si>
    <t>121868839925</t>
  </si>
  <si>
    <t>واریز به کارت 8306</t>
  </si>
  <si>
    <t>121868913732</t>
  </si>
  <si>
    <t>واریز به کارت 5864</t>
  </si>
  <si>
    <t>6104-3376-0204-8041</t>
  </si>
  <si>
    <t>279640</t>
  </si>
  <si>
    <t>121869165392</t>
  </si>
  <si>
    <t>واریز به کارت 6625</t>
  </si>
  <si>
    <t>447095</t>
  </si>
  <si>
    <t>اصل پول تسویه کامل شد-سفته ها باید مرجوع شود</t>
  </si>
  <si>
    <t>14010403012254626139</t>
  </si>
  <si>
    <t>شبا بانک صادرات 8009</t>
  </si>
  <si>
    <t>121877582587</t>
  </si>
  <si>
    <t>14010403054200006192</t>
  </si>
  <si>
    <t>14010403054200006215</t>
  </si>
  <si>
    <t>شبا بانک ملت 2727</t>
  </si>
  <si>
    <t>14010403054200006228</t>
  </si>
  <si>
    <t>656037071236</t>
  </si>
  <si>
    <t>14010403054200006259</t>
  </si>
  <si>
    <t>شبا بانک 3008</t>
  </si>
  <si>
    <t>656037095936</t>
  </si>
  <si>
    <t>واریز به بانک ملت 7934</t>
  </si>
  <si>
    <t>14010403054200006283</t>
  </si>
  <si>
    <t>1401/04/04</t>
  </si>
  <si>
    <t>349400</t>
  </si>
  <si>
    <t>5894-6315-8706-9568</t>
  </si>
  <si>
    <t>فاطمه صالحان</t>
  </si>
  <si>
    <t>6104-3378-9903-8275</t>
  </si>
  <si>
    <t>357737</t>
  </si>
  <si>
    <t>6037-6916-6701-8170</t>
  </si>
  <si>
    <t>121894351242</t>
  </si>
  <si>
    <t>واریزی ها آقای عبداللهی مبلغ به تومان</t>
  </si>
  <si>
    <t xml:space="preserve">آقای علی غلامی </t>
  </si>
  <si>
    <t>1400/09/14</t>
  </si>
  <si>
    <t>1400/09/17</t>
  </si>
  <si>
    <t>1400/09/23</t>
  </si>
  <si>
    <t>1400/09/25</t>
  </si>
  <si>
    <t>1400/09/27</t>
  </si>
  <si>
    <t>1400/10/02</t>
  </si>
  <si>
    <t>1400/10/07</t>
  </si>
  <si>
    <t>1400/12/24</t>
  </si>
  <si>
    <t>1400/12/09</t>
  </si>
  <si>
    <t>1400/12/19</t>
  </si>
  <si>
    <t>1401/02/18</t>
  </si>
  <si>
    <t>1400/10/13</t>
  </si>
  <si>
    <t>شبا بانک ملی 5594</t>
  </si>
  <si>
    <t>تسویه شد - قرار شد 21 میلیون تومان سود + 100 میلیون تومان از اصل پول 20 خرداد تسویه شود که مجدد تا 2 تیر تمدید شد و مبلغ 125 میلیون واریزی</t>
  </si>
  <si>
    <t>14010404054200003197</t>
  </si>
  <si>
    <t>شبا بانک ملت 3552</t>
  </si>
  <si>
    <t>1400/11/17</t>
  </si>
  <si>
    <t>1400/11/02</t>
  </si>
  <si>
    <t>007712</t>
  </si>
  <si>
    <t>شبا بانک 6626</t>
  </si>
  <si>
    <t>440250</t>
  </si>
  <si>
    <t>6137-7015-1471-7666</t>
  </si>
  <si>
    <t>14010404054200004090</t>
  </si>
  <si>
    <t>1400/10/28</t>
  </si>
  <si>
    <t>884664549</t>
  </si>
  <si>
    <t>واریز به کارت 4034</t>
  </si>
  <si>
    <t>5 درصد</t>
  </si>
  <si>
    <t>مبلغ 400 هزار تومان از ماه اردیبهشت کم واریز شده است.</t>
  </si>
  <si>
    <t>آذر</t>
  </si>
  <si>
    <t>دی</t>
  </si>
  <si>
    <t>بهمن</t>
  </si>
  <si>
    <t>اسفند</t>
  </si>
  <si>
    <t>فروردین</t>
  </si>
  <si>
    <t>اردیبهشت</t>
  </si>
  <si>
    <t>خرداد</t>
  </si>
  <si>
    <t>09159652925</t>
  </si>
  <si>
    <t>علی غلامی ( معلم )</t>
  </si>
  <si>
    <t>09372880672</t>
  </si>
  <si>
    <t>09157073425</t>
  </si>
  <si>
    <t>ملیحه علی میرزائی ( محمد حسین علی میرزایی )</t>
  </si>
  <si>
    <t>09941338529</t>
  </si>
  <si>
    <t>09155239573</t>
  </si>
  <si>
    <t>09157009407</t>
  </si>
  <si>
    <t>اصل پول تا 1400/07/07</t>
  </si>
  <si>
    <t>از اصل مبلغ کم شده است.</t>
  </si>
  <si>
    <t>اصل پول همراه با سود تا  1401/04/04</t>
  </si>
  <si>
    <t>از این تاریخ نرخ سود مشارکت 6/5 درصد واگر به 2 رسید 7 درصد و به 1 رسید 6 درصد</t>
  </si>
  <si>
    <t>چهل تومن از اصل پول برداشت شده است.</t>
  </si>
  <si>
    <t>09905225190</t>
  </si>
  <si>
    <t>09034346237-09159060538</t>
  </si>
  <si>
    <t>09159293499</t>
  </si>
  <si>
    <t>09333729985</t>
  </si>
  <si>
    <t>09105630802</t>
  </si>
  <si>
    <t>09378789838</t>
  </si>
  <si>
    <t>09390330162</t>
  </si>
  <si>
    <t>0915468293</t>
  </si>
  <si>
    <t>منصوره غلامی</t>
  </si>
  <si>
    <t>09915783247</t>
  </si>
  <si>
    <t>09155014841</t>
  </si>
  <si>
    <t>09153594311</t>
  </si>
  <si>
    <t>امیر مهدی رضائی ( حسن رضایی )</t>
  </si>
  <si>
    <t>مبلغ صد میلیون به اصل پول اضافه شد و مبلغ جدید 750 میلیون تومان است.</t>
  </si>
  <si>
    <t>واریزی ها آقای افضلی مبلغ به تومان</t>
  </si>
  <si>
    <t xml:space="preserve">آقای احمد رضا افضلی پل بندی </t>
  </si>
  <si>
    <t>ماهانه 5 میلیون تومان-شروع 1400/10/05</t>
  </si>
  <si>
    <t>1400/12/02</t>
  </si>
  <si>
    <t>1400/12/05</t>
  </si>
  <si>
    <t>واریزی های جدید</t>
  </si>
  <si>
    <t>مبلغ 5 میلیون تومان سود به مبلغ فوق اضافه میشود - جمع 163 میلیون تومان</t>
  </si>
  <si>
    <t>از مبلغ 163 میلیون تومان مبلغ 69 میلیون از اصل پول پرداخت میشود - جمع 94 میلیون تومان (1400/12/05)</t>
  </si>
  <si>
    <t>سود این چند ماه محاسبه شد : 4 ماه 94 میلیون شد 18/800/000 تومان و سود یکماه 150 میلیون شد 7/500/000 تومان</t>
  </si>
  <si>
    <t>جمع مبالغ واریزی سود پنج تیرماه : 18/800/000+7/500/000+5/000/000 =31/300/000 تومان</t>
  </si>
  <si>
    <t>از مبلغ سود این ماه مبلغ شش میلیون تومان کم شد و به اصل مبلغ اضافه شد.</t>
  </si>
  <si>
    <t>سود پنجم تیرماه : 25/300/000 تومان</t>
  </si>
  <si>
    <t>سود مشارکت 5 درصد مبلغ 17/500/000 تومان</t>
  </si>
  <si>
    <t>مبلغ 150 میلیون تومان به مبلغ قبلی اضافه شد در تاریخ 1401/03/03- جمع 344 میلیون تومان (100+94+150)</t>
  </si>
  <si>
    <t>احمد رضا افضلی پل بندی</t>
  </si>
  <si>
    <t>چک .....</t>
  </si>
  <si>
    <t>عیسی غضنفری</t>
  </si>
  <si>
    <t>1401/04/05</t>
  </si>
  <si>
    <t>09926580496 - 09913479421</t>
  </si>
  <si>
    <t>از اول مرداد اضافه میشود.</t>
  </si>
  <si>
    <t>رضا مقدم ( غلامرضا یگانه )</t>
  </si>
  <si>
    <t>مهدی یگانه ( غلامرضا یگانه )</t>
  </si>
  <si>
    <t>محمد دوستی ( غلامرضا یگانه )</t>
  </si>
  <si>
    <t>معظم یگانه ( غلامرضا یگانه )</t>
  </si>
  <si>
    <t>1400/06/11</t>
  </si>
  <si>
    <t>1400/08/01</t>
  </si>
  <si>
    <t>1400/05/20</t>
  </si>
  <si>
    <t>1400/12/01</t>
  </si>
  <si>
    <t>1401/01/17</t>
  </si>
  <si>
    <t>از مرداد ماه اضافه میشود .</t>
  </si>
  <si>
    <t>کمباین یگانه ( غلامرضا یگانه )</t>
  </si>
  <si>
    <t>از مرداد ماه اضافه میشود - مبلغ 20/000/000 میلیون تومان در تاریخ سی ام خرداد به حساب آقای یگانه واریز شده است.</t>
  </si>
  <si>
    <t>راضیه مقدم</t>
  </si>
  <si>
    <t>مبلغ 20 میلیون تومان مشارکت آخر سی ام خرداد رو آقای یگانه به عنوان سودشون نگه داشتند الباقی واریز شود.</t>
  </si>
  <si>
    <t>معصومه لک در تاریخ 1401/04/05مبلغ پنج میلیون تومان به اصل مبلغ اضافه کردند و شد 120/000/000 میلیون تومان</t>
  </si>
  <si>
    <t>1401/09/24</t>
  </si>
  <si>
    <t>1400/09/24</t>
  </si>
  <si>
    <t>چک بانک کشاورزی 419310</t>
  </si>
  <si>
    <t>مبلغ 18/750/000 تومان ماه قبل بشتر واریز شده است.</t>
  </si>
  <si>
    <t>مبلغ 200 هزار تومان مانده ماه قبل باید به این مبلغ اضافه شود.</t>
  </si>
  <si>
    <t>مریم حسن نژاد سنجدک ( مرجان )</t>
  </si>
  <si>
    <t>دواردهم</t>
  </si>
  <si>
    <t>فاطمه رفیعی (سحابی )</t>
  </si>
  <si>
    <t>مانئه مبلغ سپرده گذاری اول هر ماه</t>
  </si>
  <si>
    <t>مبلغ سود</t>
  </si>
  <si>
    <t>کل مبلغ + سود</t>
  </si>
  <si>
    <t>برداشتی در اول ماه</t>
  </si>
  <si>
    <t>ماه</t>
  </si>
  <si>
    <t>جهت رهن خانه در تاریخ 1400/11/08 گرفته شد.</t>
  </si>
  <si>
    <t>اطلاعات آقای سحابی طبق گفته خودشون</t>
  </si>
  <si>
    <t>اطلاعات آقای سحابی  که من ثبت کردم</t>
  </si>
  <si>
    <t>آبان 1400</t>
  </si>
  <si>
    <t>فروردین 1401</t>
  </si>
  <si>
    <t>اردیبهشت 1401</t>
  </si>
  <si>
    <t>خرداد 1401</t>
  </si>
  <si>
    <t>تیر 1401</t>
  </si>
  <si>
    <t>مرداد 1401</t>
  </si>
  <si>
    <t>شهریور 1401</t>
  </si>
  <si>
    <t>آذر 1400</t>
  </si>
  <si>
    <t>دی 1400</t>
  </si>
  <si>
    <t>بهمن 1400</t>
  </si>
  <si>
    <t>اسفند 1400</t>
  </si>
  <si>
    <t>واریزی تیرماه که این ماه واریز شد.</t>
  </si>
  <si>
    <t>واریزی تیرماه که این ماه پرداخت شد.</t>
  </si>
  <si>
    <t>مبلغ 10 میلیون تومان در خرداد ماه پرداخت شده است.</t>
  </si>
  <si>
    <t>353312</t>
  </si>
  <si>
    <t>مبلغ 200 میلیون تومان اضافه شد جمع کلی مبلغ 500 میلیون تومان میباشد.</t>
  </si>
  <si>
    <t>121922941750</t>
  </si>
  <si>
    <t>واریز به کارت 7718</t>
  </si>
  <si>
    <t>شش ماهه</t>
  </si>
  <si>
    <t>احمد حسینی پور</t>
  </si>
  <si>
    <t>1401/10/04</t>
  </si>
  <si>
    <t>سفته 745987</t>
  </si>
  <si>
    <t>سفته 728590</t>
  </si>
  <si>
    <t>سفته 383083</t>
  </si>
  <si>
    <t>فاطمه فیضی</t>
  </si>
  <si>
    <t>1402/05/04</t>
  </si>
  <si>
    <t>سیزده ماه</t>
  </si>
  <si>
    <t>سفته 732232</t>
  </si>
  <si>
    <t>345827</t>
  </si>
  <si>
    <t>6104-3372-7505-2858</t>
  </si>
  <si>
    <t>6037-7015-4576-6005</t>
  </si>
  <si>
    <t>347665</t>
  </si>
  <si>
    <t>349420</t>
  </si>
  <si>
    <t>121932245278</t>
  </si>
  <si>
    <t>واریز به کارت 6902</t>
  </si>
  <si>
    <t>414543</t>
  </si>
  <si>
    <t>14010405054200001050</t>
  </si>
  <si>
    <t>شبا بانک 4353</t>
  </si>
  <si>
    <t>14010405054200001081</t>
  </si>
  <si>
    <t>شبا بانک 6250</t>
  </si>
  <si>
    <t>121934451782</t>
  </si>
  <si>
    <t>واریز به کارت 6620</t>
  </si>
  <si>
    <t>کاطم کامکاری ( معصومه ستونی )</t>
  </si>
  <si>
    <t>تسویه کامل شدند.</t>
  </si>
  <si>
    <t>14010405054200001250</t>
  </si>
  <si>
    <t>شبا بانک 5681</t>
  </si>
  <si>
    <t>121934624366</t>
  </si>
  <si>
    <t>واریز به کارت 7224</t>
  </si>
  <si>
    <t>140104050162262367</t>
  </si>
  <si>
    <t>شبا بانک 7356</t>
  </si>
  <si>
    <t>محسن غلامی</t>
  </si>
  <si>
    <t>6037-9972-9616-4347</t>
  </si>
  <si>
    <t>دو ماهه</t>
  </si>
  <si>
    <t>005994</t>
  </si>
  <si>
    <t>جواد عرب تیموری</t>
  </si>
  <si>
    <t>شبا بانک 3048</t>
  </si>
  <si>
    <t>14010405054200003198</t>
  </si>
  <si>
    <t>محسن بارنج</t>
  </si>
  <si>
    <t>واریز به کارت 1933</t>
  </si>
  <si>
    <t>656217232510</t>
  </si>
  <si>
    <t>واریز به کارت 9001</t>
  </si>
  <si>
    <t>عبدالله عیدی</t>
  </si>
  <si>
    <t>شروع</t>
  </si>
  <si>
    <t>885347795</t>
  </si>
  <si>
    <t>واریز به کارت 5308</t>
  </si>
  <si>
    <t>656217394858</t>
  </si>
  <si>
    <t>واریز به کارت 0906</t>
  </si>
  <si>
    <t>656217514895</t>
  </si>
  <si>
    <t>واریز به کارت 6156</t>
  </si>
  <si>
    <t>140104050162303943</t>
  </si>
  <si>
    <t>شبا بانک 2003</t>
  </si>
  <si>
    <t>062115</t>
  </si>
  <si>
    <t>شبا بانک 2695</t>
  </si>
  <si>
    <t>885368186</t>
  </si>
  <si>
    <t>علی خوردوی گلخطمی</t>
  </si>
  <si>
    <t>واریز به کارت 7317</t>
  </si>
  <si>
    <t>توضیحات در شیت خصوصی</t>
  </si>
  <si>
    <t>885372473</t>
  </si>
  <si>
    <t>واریز به کارت 9364</t>
  </si>
  <si>
    <t>مهدی رازی</t>
  </si>
  <si>
    <t>واریز به کارت 5374</t>
  </si>
  <si>
    <t>494460</t>
  </si>
  <si>
    <t>885404574</t>
  </si>
  <si>
    <t>669500</t>
  </si>
  <si>
    <t>669502</t>
  </si>
  <si>
    <t>به کارت 3360</t>
  </si>
  <si>
    <t>نقدی پرداخت شد.</t>
  </si>
  <si>
    <t>هدی شورئی</t>
  </si>
  <si>
    <t>واریز به کارت 9109</t>
  </si>
  <si>
    <t>مهران گنابادی</t>
  </si>
  <si>
    <t>در تاریخ 1401/03/30 یکساله تمدید شد.</t>
  </si>
  <si>
    <t>1401/04/06</t>
  </si>
  <si>
    <t>14010406054200142280</t>
  </si>
  <si>
    <t>شبا بانک 1559</t>
  </si>
  <si>
    <t>هادی حسن زاده</t>
  </si>
  <si>
    <t>واریز به کارت 8693</t>
  </si>
  <si>
    <t>علی حشمتی</t>
  </si>
  <si>
    <t>6104-3374-5497-0664</t>
  </si>
  <si>
    <t>490688</t>
  </si>
  <si>
    <t>محمدرضا آراسته</t>
  </si>
  <si>
    <t>869308</t>
  </si>
  <si>
    <t>6104-3372-7887-5768</t>
  </si>
  <si>
    <t>885582963</t>
  </si>
  <si>
    <t>14010406054200145673</t>
  </si>
  <si>
    <t>شبا بانک 5662</t>
  </si>
  <si>
    <t>505910</t>
  </si>
  <si>
    <t>14010406054200146436</t>
  </si>
  <si>
    <t>شبا بانک 9549</t>
  </si>
  <si>
    <t>شبا بانک 0128</t>
  </si>
  <si>
    <t>قاسم جوینی</t>
  </si>
  <si>
    <t>شبا بانک 5002</t>
  </si>
  <si>
    <t>زهرا حسینی قاین</t>
  </si>
  <si>
    <t>زهرا حسینی ( مشهدی )</t>
  </si>
  <si>
    <t>1401/04/07</t>
  </si>
  <si>
    <t>828752</t>
  </si>
  <si>
    <t>829207</t>
  </si>
  <si>
    <t>ایمان رستم زاده</t>
  </si>
  <si>
    <t>شبا بانک 9419</t>
  </si>
  <si>
    <t>5892-1013-4455-8206</t>
  </si>
  <si>
    <t>محسن غلامی( آمنه محمدی )</t>
  </si>
  <si>
    <t>833244</t>
  </si>
  <si>
    <t>656276127668</t>
  </si>
  <si>
    <t>واریز به کارت 0184</t>
  </si>
  <si>
    <t>14010407054200000831</t>
  </si>
  <si>
    <t>656276142107</t>
  </si>
  <si>
    <t>واریز به کارت 1384</t>
  </si>
  <si>
    <t>140104070162349976</t>
  </si>
  <si>
    <t>شبا بانک 6623</t>
  </si>
  <si>
    <t>سید محسن رضا نیا زاده</t>
  </si>
  <si>
    <t>مبلغ 25/500/000 تومان سود یکسال را در تاریخ 1401/04/07 دریافت کردند.</t>
  </si>
  <si>
    <t>656276166499</t>
  </si>
  <si>
    <t>واریز به کارت 6256</t>
  </si>
  <si>
    <t>122012308172</t>
  </si>
  <si>
    <t>واریز به کارت 0117</t>
  </si>
  <si>
    <t>محمدتقی شهابی</t>
  </si>
  <si>
    <t>شبا بانک 9100</t>
  </si>
  <si>
    <t>جواد رجب زاده</t>
  </si>
  <si>
    <t>شبا بانک ملت 0169</t>
  </si>
  <si>
    <t>زهره جاوید ( رضا احمدی سرمایه گذار کوچک )</t>
  </si>
  <si>
    <t>25500000 سود</t>
  </si>
  <si>
    <t>سفته اصل پول 418084</t>
  </si>
  <si>
    <t>سفته سود 369630</t>
  </si>
  <si>
    <t>1400/04/06</t>
  </si>
  <si>
    <t>28000000 سود</t>
  </si>
  <si>
    <t>سفته سود 922819</t>
  </si>
  <si>
    <t>سفته 50 میلیون اصل پول 609222</t>
  </si>
  <si>
    <t>سفته 35 میلیون اصل پول 609220</t>
  </si>
  <si>
    <t>1401/10/06</t>
  </si>
  <si>
    <t>جواد محمدنیا ( هشتم هر ماه واریز شود)</t>
  </si>
  <si>
    <t>دوماهه واریز شد.</t>
  </si>
  <si>
    <t>ششم</t>
  </si>
  <si>
    <t>140104070162398676</t>
  </si>
  <si>
    <t>شبا بانک 0260</t>
  </si>
  <si>
    <t>058562</t>
  </si>
  <si>
    <t>شبا ابنک 5084</t>
  </si>
  <si>
    <t>محمود حسین پور</t>
  </si>
  <si>
    <t>1401/04/08</t>
  </si>
  <si>
    <t>696135</t>
  </si>
  <si>
    <t>14010408054200085696</t>
  </si>
  <si>
    <t>شبا بانک 3032</t>
  </si>
  <si>
    <t>14010408054200085718</t>
  </si>
  <si>
    <t>384952</t>
  </si>
  <si>
    <t>122048247125</t>
  </si>
  <si>
    <t>واریز به کارت 0539</t>
  </si>
  <si>
    <t>زهرا کامگارپور</t>
  </si>
  <si>
    <t>واریز به کارت 0728</t>
  </si>
  <si>
    <t>078528</t>
  </si>
  <si>
    <t>شبا بانک 1904</t>
  </si>
  <si>
    <t>078522</t>
  </si>
  <si>
    <t>شبا بانک 4478</t>
  </si>
  <si>
    <t>اصل پول تسویه کامل شد.</t>
  </si>
  <si>
    <t>078524</t>
  </si>
  <si>
    <t>تیرماه تسویه شد.</t>
  </si>
  <si>
    <t>الباقی سود 32 میلیون + 18 میلیون خودشان واریز کردند جمعا 50 میلیون تومان به اصل مبلغ پول اضاف شد و از مرداد ماه یک میلیارد و سیصد صحیح است.</t>
  </si>
  <si>
    <t>09156484837-09058575048</t>
  </si>
  <si>
    <t>مهران فروزان پور</t>
  </si>
  <si>
    <t>09916412538-09020088791</t>
  </si>
  <si>
    <t>09159060538-09368659988</t>
  </si>
  <si>
    <t>09155824986</t>
  </si>
  <si>
    <t>09114221553</t>
  </si>
  <si>
    <t>غلامرضا یگانه ( راضیه مقدم )</t>
  </si>
  <si>
    <t>احمد یا علم فخری</t>
  </si>
  <si>
    <t>ملیحه فخری</t>
  </si>
  <si>
    <t>1401/02/07</t>
  </si>
  <si>
    <t>سفته بدیم</t>
  </si>
  <si>
    <t>مبلغ 280 میلیون تومان 0.045 درصد و مبلغ 30 میلیون تومان 0.070 درصد میباشد.</t>
  </si>
  <si>
    <t>122051886178</t>
  </si>
  <si>
    <t>واریز به کارت 3211</t>
  </si>
  <si>
    <t>656279683227</t>
  </si>
  <si>
    <t>واریز به کارت 6925</t>
  </si>
  <si>
    <t>از این ماه درصد مشارکت افزایش و مبلغ سود از 8 میلیون تومان به 10 میلیون تومان رسیده است.</t>
  </si>
  <si>
    <t>886500265</t>
  </si>
  <si>
    <t>واریز به کارت 2367</t>
  </si>
  <si>
    <t>886505856</t>
  </si>
  <si>
    <t>4918</t>
  </si>
  <si>
    <t>122060564880</t>
  </si>
  <si>
    <t>واریز به کارت 1787</t>
  </si>
  <si>
    <t>122060642318</t>
  </si>
  <si>
    <t>واریز به کارت 9676</t>
  </si>
  <si>
    <t>فاطمه رمضانی</t>
  </si>
  <si>
    <t>شبا بانک 2326</t>
  </si>
  <si>
    <t>سید ناصر داودی ناوخ</t>
  </si>
  <si>
    <t>واریز به کارت 6606</t>
  </si>
  <si>
    <t>269781</t>
  </si>
  <si>
    <t>1401/04/09</t>
  </si>
  <si>
    <t>برای دوماه اردیبهشت و خرداد واریز شد.</t>
  </si>
  <si>
    <t>6104-3374-4801-1815</t>
  </si>
  <si>
    <t>886870025</t>
  </si>
  <si>
    <t>واریز به کارت 8908</t>
  </si>
  <si>
    <t>زهرا دل آرام</t>
  </si>
  <si>
    <t>673415</t>
  </si>
  <si>
    <t>674036</t>
  </si>
  <si>
    <t>ار اصل پول تسویه میشود.</t>
  </si>
  <si>
    <t>14010409054200001068</t>
  </si>
  <si>
    <t>شبا بانک 4925</t>
  </si>
  <si>
    <t>تسویه تیر ماه</t>
  </si>
  <si>
    <t>0397</t>
  </si>
  <si>
    <t>شبا انک 9007</t>
  </si>
  <si>
    <t>140104090162503928</t>
  </si>
  <si>
    <t>از پول 400 تومن که قرار بود مبلغ 136 میلیون تومان با احتساب سود تیرماه واریز شود.</t>
  </si>
  <si>
    <t>دوم یا سوم</t>
  </si>
  <si>
    <t>هفتم</t>
  </si>
  <si>
    <t>بتول قربانیان ( اکرم قربانیان )</t>
  </si>
  <si>
    <t>شبا بانک 6001</t>
  </si>
  <si>
    <t>887064126</t>
  </si>
  <si>
    <t>واریز به کارت 5141</t>
  </si>
  <si>
    <t>122100842662</t>
  </si>
  <si>
    <t>واریز به کارت 7551</t>
  </si>
  <si>
    <t>فاطمه گلبهاری خیرآبادی</t>
  </si>
  <si>
    <t>واریز به کارت 1125</t>
  </si>
  <si>
    <t>علی اکبر قربانیان</t>
  </si>
  <si>
    <t>واریز به کارت 4403</t>
  </si>
  <si>
    <t>1401040901525557133</t>
  </si>
  <si>
    <t>656284632416</t>
  </si>
  <si>
    <t>واریز به کارت 5961</t>
  </si>
  <si>
    <t>1401/04/10</t>
  </si>
  <si>
    <t>122121622798</t>
  </si>
  <si>
    <t>واریز به کارت 1402</t>
  </si>
  <si>
    <t>مصیب عبداللهی</t>
  </si>
  <si>
    <t>6104-3374-9755-5001</t>
  </si>
  <si>
    <t>14010410054200000861</t>
  </si>
  <si>
    <t>656285729439</t>
  </si>
  <si>
    <t>واریز به کارت 5361</t>
  </si>
  <si>
    <t>واریز به کارت 1510</t>
  </si>
  <si>
    <t>بهناز ذبحی</t>
  </si>
  <si>
    <t>1401/04/140</t>
  </si>
  <si>
    <t>واریز به کارت 9554</t>
  </si>
  <si>
    <t>887313995</t>
  </si>
  <si>
    <t>وااریز به کارت 5518</t>
  </si>
  <si>
    <t>656286220165</t>
  </si>
  <si>
    <t>واریز به کارت 9984</t>
  </si>
  <si>
    <t>واریز به کارت علی عزیز عربی</t>
  </si>
  <si>
    <t>1401/04/11</t>
  </si>
  <si>
    <t>14010411054200000844</t>
  </si>
  <si>
    <t>مبلغ 42 میلیون تومان به اصل سرمایه اضافه شده است-از مرداد ماه محاسبه میشود.</t>
  </si>
  <si>
    <t>فرذاد مالداری</t>
  </si>
  <si>
    <t>09156875717</t>
  </si>
  <si>
    <t>09388003812</t>
  </si>
  <si>
    <t>09039731033</t>
  </si>
  <si>
    <t>فرزاد مالداری</t>
  </si>
  <si>
    <t>09355317517</t>
  </si>
  <si>
    <t>09154884676</t>
  </si>
  <si>
    <t>09059474556</t>
  </si>
  <si>
    <t>09153629286</t>
  </si>
  <si>
    <t>زهرا حسینی ( قائن )</t>
  </si>
  <si>
    <t>جعفر دهقان زاده</t>
  </si>
  <si>
    <t>09330835616</t>
  </si>
  <si>
    <t>واریزی های آقای عبداللهی</t>
  </si>
  <si>
    <t>زهره جاوید</t>
  </si>
  <si>
    <t>1401/02/12</t>
  </si>
  <si>
    <t>رسید سینما پیتزا</t>
  </si>
  <si>
    <t>محبوبه صادقیان قندشتنی</t>
  </si>
  <si>
    <t>چک صادرات 678705 تاریخ 1401/03/30</t>
  </si>
  <si>
    <t>مبلغ قبل</t>
  </si>
  <si>
    <t>امیر پروتئین پویا</t>
  </si>
  <si>
    <t>افزایش سرمایه داشته است.</t>
  </si>
  <si>
    <t>887501558</t>
  </si>
  <si>
    <t>واریز به کارت 6809</t>
  </si>
  <si>
    <t>464559</t>
  </si>
  <si>
    <t>6280-2313-3349-3467</t>
  </si>
  <si>
    <t>برگشتی</t>
  </si>
  <si>
    <t>887523691</t>
  </si>
  <si>
    <t>واریز به کارت 2636</t>
  </si>
  <si>
    <t>واریز به کارت زهره جاوبد</t>
  </si>
  <si>
    <t xml:space="preserve"> به کارت زهره جاوید</t>
  </si>
  <si>
    <t>14010411054200005730</t>
  </si>
  <si>
    <t>شبا بانک 5885</t>
  </si>
  <si>
    <t>87510</t>
  </si>
  <si>
    <t>09158199302-09353321275</t>
  </si>
  <si>
    <t>09157003084-09159212931</t>
  </si>
  <si>
    <t>1401041101525604145</t>
  </si>
  <si>
    <t>شبا بانک 8003</t>
  </si>
  <si>
    <t>127278</t>
  </si>
  <si>
    <t>5047-0610-5401-3160</t>
  </si>
  <si>
    <t>14010411054200008399</t>
  </si>
  <si>
    <t>شبا بانک ملت 8384</t>
  </si>
  <si>
    <t>09152503562</t>
  </si>
  <si>
    <t>سفته دریافت و اصل سرمایه تغییر کرد</t>
  </si>
  <si>
    <t>1401/04/12</t>
  </si>
  <si>
    <t>1402/04/12</t>
  </si>
  <si>
    <t>سفته 922818</t>
  </si>
  <si>
    <t>سفته 383082</t>
  </si>
  <si>
    <t>چک تحویل گرفته شد وسفته به نام خانم خالقی صادر شد.</t>
  </si>
  <si>
    <t>به مدت شش ماه از تیر ماه</t>
  </si>
  <si>
    <t>سهیلا وظیفه دار ( همسر سبحان بهلوری )</t>
  </si>
  <si>
    <t>فاطمه عبدالهی خواهر</t>
  </si>
  <si>
    <t>فاطمه عبداللهی همسر مجتبی عبداللهی</t>
  </si>
  <si>
    <t>فاطمه عبداللهی خواهر</t>
  </si>
  <si>
    <t>از تیرماه اضافه میشود.</t>
  </si>
  <si>
    <t>موسی افشار</t>
  </si>
  <si>
    <t>از اصل پولی که دست علی آقا بود تسویه شد و به حساب آقای امیر حاجی میری واریز گردید.</t>
  </si>
  <si>
    <t>علی غلامی ( پسر حمید غلامی )</t>
  </si>
  <si>
    <t>1399/11/25</t>
  </si>
  <si>
    <t>بیست و پنجم</t>
  </si>
  <si>
    <t>مهدی برزن</t>
  </si>
  <si>
    <t>6104-3376-9611-7397</t>
  </si>
  <si>
    <t>162105</t>
  </si>
  <si>
    <t>122156937754</t>
  </si>
  <si>
    <t>واریز به کارت 0454</t>
  </si>
  <si>
    <t>0104111258567688</t>
  </si>
  <si>
    <t>شبا بانک 50001</t>
  </si>
  <si>
    <t>218165</t>
  </si>
  <si>
    <t>0104111309023316</t>
  </si>
  <si>
    <t>شبا بانک 8561</t>
  </si>
  <si>
    <t>0104111320071452</t>
  </si>
  <si>
    <t>شبا بانک 5894</t>
  </si>
  <si>
    <t>0104111323557554</t>
  </si>
  <si>
    <t>شبا بانک 0001</t>
  </si>
  <si>
    <t>247296</t>
  </si>
  <si>
    <t>علیرضا مردانی</t>
  </si>
  <si>
    <t>887838576</t>
  </si>
  <si>
    <t>واریز به کارت 9523</t>
  </si>
  <si>
    <t>676115</t>
  </si>
  <si>
    <t>14010412054200001132</t>
  </si>
  <si>
    <t>واریز به کارت 7008</t>
  </si>
  <si>
    <t xml:space="preserve">حسن حسینی بیرم اباد </t>
  </si>
  <si>
    <t>اصل پول مجدد 700 میلیون تومان و برگرداندن 15 میلیون واریزی جدبد</t>
  </si>
  <si>
    <t>311340</t>
  </si>
  <si>
    <t>14010412054200001155</t>
  </si>
  <si>
    <t>312454</t>
  </si>
  <si>
    <t>هما علی میرزایی</t>
  </si>
  <si>
    <t>خواهرزاده حسین علی میرزایی</t>
  </si>
  <si>
    <t>656290750735</t>
  </si>
  <si>
    <t>واریز به کارت 4299</t>
  </si>
  <si>
    <t>656290764160</t>
  </si>
  <si>
    <t>واریز به کارت 5353</t>
  </si>
  <si>
    <t>122182836850</t>
  </si>
  <si>
    <t>واریز به کارت 4296</t>
  </si>
  <si>
    <t>سعیدرضا گلچین</t>
  </si>
  <si>
    <t>واریز به کارت 9747</t>
  </si>
  <si>
    <t>887902932</t>
  </si>
  <si>
    <t>291903</t>
  </si>
  <si>
    <t>شبا بانک 9663</t>
  </si>
  <si>
    <t>502471</t>
  </si>
  <si>
    <t>6221-0612-2908-9968</t>
  </si>
  <si>
    <t>122186245657</t>
  </si>
  <si>
    <t>واریز به کارت 9508</t>
  </si>
  <si>
    <t>140104120162634657</t>
  </si>
  <si>
    <t>شبا بانک 5006</t>
  </si>
  <si>
    <t>محمود درکی</t>
  </si>
  <si>
    <t>09159141676</t>
  </si>
  <si>
    <t>09300767805</t>
  </si>
  <si>
    <t>09151012231</t>
  </si>
  <si>
    <t>09157093864</t>
  </si>
  <si>
    <t>زینب حسنی</t>
  </si>
  <si>
    <t>خانم نادری</t>
  </si>
  <si>
    <t>1398/04/07</t>
  </si>
  <si>
    <t>چک ملت</t>
  </si>
  <si>
    <t>1401/07/06</t>
  </si>
  <si>
    <t>1400/04/15</t>
  </si>
  <si>
    <t>1400/05/16</t>
  </si>
  <si>
    <t>1403/09/15</t>
  </si>
  <si>
    <t>1400/04/18</t>
  </si>
  <si>
    <t>سفته ندادن</t>
  </si>
  <si>
    <t>1399/01/15</t>
  </si>
  <si>
    <t>1399/05/14</t>
  </si>
  <si>
    <t>6037-9973-5395-2139</t>
  </si>
  <si>
    <t>656292371976</t>
  </si>
  <si>
    <t>421163</t>
  </si>
  <si>
    <t>مبلغ 10 میلیون تومان در تاریخ 1401/03/22 واریز شد که سفته تحویل نگرفتند.</t>
  </si>
  <si>
    <t>888193064</t>
  </si>
  <si>
    <t>واریز به کارت 8947</t>
  </si>
  <si>
    <t>888194219</t>
  </si>
  <si>
    <t>واریز به کارت 9433</t>
  </si>
  <si>
    <t>واریز به کارت جعفررضاییان یزدی</t>
  </si>
  <si>
    <t>رضا علی میرزایی</t>
  </si>
  <si>
    <t>چک سپه 857063</t>
  </si>
  <si>
    <t>1406/02/08</t>
  </si>
  <si>
    <t>1400/02/08/</t>
  </si>
  <si>
    <t>417211</t>
  </si>
  <si>
    <t>888198064</t>
  </si>
  <si>
    <t>واریز به کارت 4781</t>
  </si>
  <si>
    <t>واریز به کارت 9511</t>
  </si>
  <si>
    <t xml:space="preserve">اصل پول 40 میلیون تومان ماهیانه 2 میلیون تومان </t>
  </si>
  <si>
    <t>واریز به کارت 8400</t>
  </si>
  <si>
    <t>برای چهار ماه اردیبهشت و خرداد و تیر و مرداد به حساب خانم فاطمه احمدی واریز شد.</t>
  </si>
  <si>
    <t>14010412054200302115</t>
  </si>
  <si>
    <t>شبا بانک 1976</t>
  </si>
  <si>
    <t>قاسم حسینی ( پسر معصومه پورخواجه )</t>
  </si>
  <si>
    <t>122206296090</t>
  </si>
  <si>
    <t>واریز به کارت 1779</t>
  </si>
  <si>
    <t>ابوالفضل صلاحی پور</t>
  </si>
  <si>
    <t>سفته به مبلغ 15 میلیون تومان داده شد.</t>
  </si>
  <si>
    <t>1401/10/12</t>
  </si>
  <si>
    <t>سفته 280961</t>
  </si>
  <si>
    <t>1401/04/13</t>
  </si>
  <si>
    <t>212765</t>
  </si>
  <si>
    <t>213984</t>
  </si>
  <si>
    <t>سود مشارکت تا ششم مرداد تسویه شده است.</t>
  </si>
  <si>
    <t>582398</t>
  </si>
  <si>
    <t>583063</t>
  </si>
  <si>
    <t>122218333501</t>
  </si>
  <si>
    <t>از مرداد ماه پرداخت شد.</t>
  </si>
  <si>
    <t>تیر ماه از ماه قبل تسویه شده است.</t>
  </si>
  <si>
    <t>122218680377</t>
  </si>
  <si>
    <t>14010413054200057720</t>
  </si>
  <si>
    <t>واریز به کارت 5000</t>
  </si>
  <si>
    <t xml:space="preserve">حمید دده خانی </t>
  </si>
  <si>
    <t>مشارکت 20 میلیون تا تاریخ 12 تیر محاسبه شده است. در اصل واریزی 29 خرداد بوده است.</t>
  </si>
  <si>
    <t>از تیر ماه این مبلغ محاسبه میشود.</t>
  </si>
  <si>
    <t>مبلغ 20 میلیون تومان در تاریخ 1401/03/29 افزایش سرمایه داشته اند.</t>
  </si>
  <si>
    <t>مبلغ 5 میلیون تومان از کسی بوده که به حساب ایشون واریز شده است.</t>
  </si>
  <si>
    <t>چک صادرات  تاریخ 1401/04/08</t>
  </si>
  <si>
    <t>واریزی تیر</t>
  </si>
  <si>
    <t>محاسبه واریزی ها</t>
  </si>
  <si>
    <t>واریزی خرداد</t>
  </si>
  <si>
    <t>بابت محاسبه 10 روز</t>
  </si>
  <si>
    <t>واریزی مرداد</t>
  </si>
  <si>
    <t>جمع کل واریز شده :</t>
  </si>
  <si>
    <t>مانده از سود مرداد :</t>
  </si>
  <si>
    <t>مبلغ سینما پیتزا کسر شود.</t>
  </si>
  <si>
    <t>جمع نهایی :</t>
  </si>
  <si>
    <t>جمع کل واریزی تا مرداد ماه :</t>
  </si>
  <si>
    <t xml:space="preserve"> واریزی های آقای جواد حاتم زاده فهندری</t>
  </si>
  <si>
    <t>به حساب</t>
  </si>
  <si>
    <t>تاریخ / به حساب</t>
  </si>
  <si>
    <t>دریافت شد.</t>
  </si>
  <si>
    <t>حمید عبداللهی</t>
  </si>
  <si>
    <t>یکماهه</t>
  </si>
  <si>
    <t>ساتنا ملی</t>
  </si>
  <si>
    <t>1401/05/13</t>
  </si>
  <si>
    <t>14010413054200065134</t>
  </si>
  <si>
    <t>موسی پری</t>
  </si>
  <si>
    <t>656294968611</t>
  </si>
  <si>
    <t>واریز به کارت 8099</t>
  </si>
  <si>
    <t>14010413054201248089</t>
  </si>
  <si>
    <t>واریز به کارت 2420</t>
  </si>
  <si>
    <t>محمد کریمی شریف</t>
  </si>
  <si>
    <t>واریز به کارت 5428</t>
  </si>
  <si>
    <t>665180</t>
  </si>
  <si>
    <t>5022-2910-8899-3124</t>
  </si>
  <si>
    <t>14010413054201250151</t>
  </si>
  <si>
    <t>656295925510</t>
  </si>
  <si>
    <t>واریز به کارت 2247</t>
  </si>
  <si>
    <t>واریزی 24 خرداد</t>
  </si>
  <si>
    <t>یکم مرداد 17400</t>
  </si>
  <si>
    <t>یکم شهرور 18250</t>
  </si>
  <si>
    <t>کارت رستوران جواد حاتم زاده فهندری</t>
  </si>
  <si>
    <t>161068020347491276</t>
  </si>
  <si>
    <t>165569020347495777</t>
  </si>
  <si>
    <t>150731020347485938</t>
  </si>
  <si>
    <t>سینما پیتزا</t>
  </si>
  <si>
    <t>چک بانک کشاورزی 082883</t>
  </si>
  <si>
    <t>1401/04/30</t>
  </si>
  <si>
    <t>چک بانک کشاورزی 595480</t>
  </si>
  <si>
    <t>چک بانک کشاورزی 595481</t>
  </si>
  <si>
    <t>1402/09/18</t>
  </si>
  <si>
    <t>شبا بانک 5538</t>
  </si>
  <si>
    <t>1401/04/14</t>
  </si>
  <si>
    <t>14010414054202057268</t>
  </si>
  <si>
    <t>شبا بانک 1000</t>
  </si>
  <si>
    <t>656296936363</t>
  </si>
  <si>
    <t>واریز به کارت 5317</t>
  </si>
  <si>
    <t>656296938381</t>
  </si>
  <si>
    <t>واریز به کارت 6255</t>
  </si>
  <si>
    <t>واریز به کارت 9968</t>
  </si>
  <si>
    <t>شبا بانک 4276</t>
  </si>
  <si>
    <t>اسماعیل جلالی</t>
  </si>
  <si>
    <t>6037-7015-2417-1433</t>
  </si>
  <si>
    <t>اولین ماه واریزی مشارکت از تیرماه</t>
  </si>
  <si>
    <t>مبلغ واریزی از مرداد ماه</t>
  </si>
  <si>
    <t>شبا بانک ملت 4762</t>
  </si>
  <si>
    <t>161282</t>
  </si>
  <si>
    <t>مبلغ 100 میلیون از اصل مبلغ و مشارکت تیرماه تسویه شد.</t>
  </si>
  <si>
    <t>شبا بانک 1022</t>
  </si>
  <si>
    <t>160009</t>
  </si>
  <si>
    <t>160010</t>
  </si>
  <si>
    <t>شبا بانک 7007</t>
  </si>
  <si>
    <t>160012</t>
  </si>
  <si>
    <t>از مرداد ماه محاسبه میشود. ( چون بجای سیزدهم مرداد قراره یکم مرداد دریافت کنند از مبلغ 1750 کسر میشود)</t>
  </si>
  <si>
    <t>09156532886</t>
  </si>
  <si>
    <t>09154151745</t>
  </si>
  <si>
    <t>09159354314</t>
  </si>
  <si>
    <t>یکسال</t>
  </si>
  <si>
    <t>چک هشت خرداد تحویل گرفته شد و قرار شد تا هشت مرداد سود محاسبه و به مبلغ 50 میلیون اضافه گردد.</t>
  </si>
  <si>
    <t>09924895307</t>
  </si>
  <si>
    <t>چک 1809/415648/17</t>
  </si>
  <si>
    <t>مبلغ 2 میلیون تومان شیرینی آقای مردانی به مبلغ سود مردادماه اضافه شود. مبلغ 3/200/000 تومان ما به تفاوت فاکتورها  + 30/000/000 علی الحساب فروش لحاظ شود.</t>
  </si>
  <si>
    <t>معصومه پور خواجه حسن آبادی</t>
  </si>
  <si>
    <t>چک ملت 1803/152095/59</t>
  </si>
  <si>
    <t>1401/10/18</t>
  </si>
  <si>
    <t>1400/10/18</t>
  </si>
  <si>
    <t>09358875007</t>
  </si>
  <si>
    <t>مژگان پور خواجه حسن آبادی</t>
  </si>
  <si>
    <t>1402/01/16</t>
  </si>
  <si>
    <t>1401/01/16</t>
  </si>
  <si>
    <t>سفته 669771</t>
  </si>
  <si>
    <t>مبلغ 500 میلیون چک ماشین تسویه شود.</t>
  </si>
  <si>
    <t>سود مشارکت تیرماه تسویه شد.</t>
  </si>
  <si>
    <t>مبلغ 100 میلیون تومان تاریخ 14 مرداد پرداخت شود.</t>
  </si>
  <si>
    <t>166057</t>
  </si>
  <si>
    <t>شبا 4000</t>
  </si>
  <si>
    <t>اصل مبلغ تسویه شد.</t>
  </si>
  <si>
    <t>166055</t>
  </si>
  <si>
    <t>09154407151</t>
  </si>
  <si>
    <t>تاریخ 25 تیرماه 127140 هزار تومان و 25 مرداد 129480</t>
  </si>
  <si>
    <t>584626</t>
  </si>
  <si>
    <t>چک ملت 1730/852716/22</t>
  </si>
  <si>
    <t>سفته 485743</t>
  </si>
  <si>
    <t>سفته 785551</t>
  </si>
  <si>
    <t>1404/04/18</t>
  </si>
  <si>
    <t>از مرداد ماه این مبلغ اصل پول میباشد.</t>
  </si>
  <si>
    <t>از ماه اردیبهشت تا آبان به مدت شش ماه مبلغ 60 میلیون از سود هر ماه یک چک به تاریخ 15 مرداد به مبلغ 360 میلیون تومان داده شد.</t>
  </si>
  <si>
    <t>022656020554213....</t>
  </si>
  <si>
    <t>1401/04/15</t>
  </si>
  <si>
    <t>با 12600 طلبکاری شد 50 میلیون شروع سرمایه گذاری ماهیانه جدید-فکر کنم از مرداد</t>
  </si>
  <si>
    <t>هانیه ستوده</t>
  </si>
  <si>
    <t>سفته 034449</t>
  </si>
  <si>
    <t>1407/04/02</t>
  </si>
  <si>
    <t>1407/04/29</t>
  </si>
  <si>
    <t>سفته 212831</t>
  </si>
  <si>
    <t>دوازده</t>
  </si>
  <si>
    <t>از مرداد ماه اضافه میشود.</t>
  </si>
  <si>
    <t>سید علی حسینی</t>
  </si>
  <si>
    <t>نوردهم</t>
  </si>
  <si>
    <t>1401/04/16</t>
  </si>
  <si>
    <t>0104160802071016</t>
  </si>
  <si>
    <t>0104152300321389</t>
  </si>
  <si>
    <t>347458</t>
  </si>
  <si>
    <t>14010415054201601993</t>
  </si>
  <si>
    <t>واریز به کارت 2001</t>
  </si>
  <si>
    <t>فاطمه بخشی گلستانی</t>
  </si>
  <si>
    <t>1403/06/17</t>
  </si>
  <si>
    <t>چک ملت 1712/562460/47</t>
  </si>
  <si>
    <t>سفته 677766</t>
  </si>
  <si>
    <t>1401/07/07</t>
  </si>
  <si>
    <t>ریحانه کامگارپور</t>
  </si>
  <si>
    <t>یکساله</t>
  </si>
  <si>
    <t>سفته 277854</t>
  </si>
  <si>
    <t>1401/10/09</t>
  </si>
  <si>
    <t>مبلغ 3/800/000 سود + مبلغ 6/200/000 تومان تاریخ 6 تیر واریز شد که با مجموع سود مبلغ 10 تومان به اصل سرمایه اضافه شد.</t>
  </si>
  <si>
    <t>از مرداد ماه محاسبه میشود. ( طبق گفته خودشون اصل سرمایه 80 میلیون تومان که مبلغ 5/600/000 تومان سود میشود. )</t>
  </si>
  <si>
    <t>مبلغ 5 میلیون تومان افزایش سرمایه داشته اند و اصل پول 450 میلیون تومان میباشد.</t>
  </si>
  <si>
    <t>296766</t>
  </si>
  <si>
    <t>299175</t>
  </si>
  <si>
    <t>140104160162887646</t>
  </si>
  <si>
    <t>شبا بانک 5003</t>
  </si>
  <si>
    <t>اصل مبلغ پول تسویه شد.</t>
  </si>
  <si>
    <t>مبلغ 500 هزار تومان از مرداد ماه پرداخت شد - مبلغ 500 هزار تومان از این ماه تو خرداد پرداخت شد.</t>
  </si>
  <si>
    <t>122340289907</t>
  </si>
  <si>
    <t>122344733385</t>
  </si>
  <si>
    <t>140104160162895594</t>
  </si>
  <si>
    <t>122347570423</t>
  </si>
  <si>
    <t>واریز به کارت 7210</t>
  </si>
  <si>
    <t>0104161939370479</t>
  </si>
  <si>
    <t>شبا بانک 3006</t>
  </si>
  <si>
    <t>از مرداد ماه اولین پرداختی</t>
  </si>
  <si>
    <t>889921336</t>
  </si>
  <si>
    <t>واریز به کارت 1215</t>
  </si>
  <si>
    <t>اصل پول و سود تسویه شد.</t>
  </si>
  <si>
    <t>هادی رسولی طرقی</t>
  </si>
  <si>
    <t>6104-3374-2455-6775</t>
  </si>
  <si>
    <t xml:space="preserve">هادی رسولی طرقی </t>
  </si>
  <si>
    <t>121165449515</t>
  </si>
  <si>
    <t>واریز به کارت 1325</t>
  </si>
  <si>
    <t>اصل پول تسویه شد.</t>
  </si>
  <si>
    <t>0104161946071930</t>
  </si>
  <si>
    <t>واریز به کارت 3006</t>
  </si>
  <si>
    <t>طاهره سادات آل محمد ( رقیه سادات آل محمد )</t>
  </si>
  <si>
    <t>عبدالباسط رامی</t>
  </si>
  <si>
    <t>عبدالغفور رامی</t>
  </si>
  <si>
    <t>عزت احمدی</t>
  </si>
  <si>
    <t>داوود عابدزاده</t>
  </si>
  <si>
    <t>تاج ور فقیری</t>
  </si>
  <si>
    <t>1401/04/17</t>
  </si>
  <si>
    <t>122365134251</t>
  </si>
  <si>
    <t>واریز به کارت 2514</t>
  </si>
  <si>
    <t>122365210859</t>
  </si>
  <si>
    <t>واریز به کارت 3936</t>
  </si>
  <si>
    <t>سود چند روزه تعلق گرفت.</t>
  </si>
  <si>
    <t>14010417054200001092</t>
  </si>
  <si>
    <t>شبا بانک ملت 0574</t>
  </si>
  <si>
    <t>14010417054200001281</t>
  </si>
  <si>
    <t>140104170162902013</t>
  </si>
  <si>
    <t>65420</t>
  </si>
  <si>
    <t>85615</t>
  </si>
  <si>
    <t>5041-7210-2773-6348</t>
  </si>
  <si>
    <t>657234303253</t>
  </si>
  <si>
    <t>واریز به کارت 8496</t>
  </si>
  <si>
    <t>ابراهیم حسینی</t>
  </si>
  <si>
    <t>6037-7015-0603-6489</t>
  </si>
  <si>
    <t>181612</t>
  </si>
  <si>
    <t>1401/04/18</t>
  </si>
  <si>
    <t>454876</t>
  </si>
  <si>
    <t>5022-2910-7905-3003</t>
  </si>
  <si>
    <t>14010418054200000763</t>
  </si>
  <si>
    <t>شبا بانک 5812</t>
  </si>
  <si>
    <t>14010418054200000833</t>
  </si>
  <si>
    <t>شبا بانک 5009</t>
  </si>
  <si>
    <t>بپرسم</t>
  </si>
  <si>
    <t>ملیحه علی میرزائی( علی زردادخانی )</t>
  </si>
  <si>
    <t>واریز به کارت 0406</t>
  </si>
  <si>
    <t>890179863</t>
  </si>
  <si>
    <t>واریز به کارت 3366</t>
  </si>
  <si>
    <t>466911</t>
  </si>
  <si>
    <t>122386144008</t>
  </si>
  <si>
    <t>واریز به کارت 8860</t>
  </si>
  <si>
    <t>140104180191000771</t>
  </si>
  <si>
    <t>به کارت احمد صحرایی واریز شد.</t>
  </si>
  <si>
    <t>ثریا غلامی</t>
  </si>
  <si>
    <t>واریز به کارت 8644</t>
  </si>
  <si>
    <t>8511566</t>
  </si>
  <si>
    <t>6037-7014-3370-7301</t>
  </si>
  <si>
    <t>فاطمه غلامی</t>
  </si>
  <si>
    <t>1404/09/07</t>
  </si>
  <si>
    <t>سفته  جدید 50 میلیون داده شد و دو سفته قدیمی باطل شد.</t>
  </si>
  <si>
    <t>سفته 212830</t>
  </si>
  <si>
    <t>صغری اعلمی</t>
  </si>
  <si>
    <t>سفته 214209</t>
  </si>
  <si>
    <t>1407/04/18</t>
  </si>
  <si>
    <t>1401/04/018</t>
  </si>
  <si>
    <t>غلامرضا غلامی</t>
  </si>
  <si>
    <t>سفته 344742</t>
  </si>
  <si>
    <t>1407/04/25</t>
  </si>
  <si>
    <t>به کارت کشاورزی در تاریخ 18 تیر واریز شده است</t>
  </si>
  <si>
    <t>محمد غلامی ( برادر مهدی غلامی )</t>
  </si>
  <si>
    <t>تاریخ واریز 1401/04/07 به کارت 0661 آقای عبداللهی</t>
  </si>
  <si>
    <t>سفته 482963</t>
  </si>
  <si>
    <t>شیخ جعفر قاینی</t>
  </si>
  <si>
    <t>1402/03/05</t>
  </si>
  <si>
    <t>سفته 875026</t>
  </si>
  <si>
    <t>عکس واریزی ها موجود است</t>
  </si>
  <si>
    <t>ابراهیم مردان دوست بهلولی</t>
  </si>
  <si>
    <t>1404/07/19</t>
  </si>
  <si>
    <t>سفته 872827</t>
  </si>
  <si>
    <t>تاریخ واریزی 1401/03/19 به کارت 0661 آقای عبداللهی</t>
  </si>
  <si>
    <t>حسن رازدار</t>
  </si>
  <si>
    <t>تاریخ واریزی 1401/03/25 به کارت 0661 آقای عبداللهی</t>
  </si>
  <si>
    <t>سفته 214211</t>
  </si>
  <si>
    <t>1407/03/21</t>
  </si>
  <si>
    <t>ماه بعد 150000000</t>
  </si>
  <si>
    <t>سید احسان نعمتی هاشمی ( همسر خانم حق پناه )</t>
  </si>
  <si>
    <t>سفته 623634</t>
  </si>
  <si>
    <t>1402/04/21</t>
  </si>
  <si>
    <t>یک سال + یک ماه</t>
  </si>
  <si>
    <t>1401/08/21</t>
  </si>
  <si>
    <t>پنج ماهه</t>
  </si>
  <si>
    <t>سفته 267308</t>
  </si>
  <si>
    <t>علی خواجه کلاته حسینی</t>
  </si>
  <si>
    <t>ابراهیم خورابه</t>
  </si>
  <si>
    <t>علی غلامی</t>
  </si>
  <si>
    <t>1407/04/05</t>
  </si>
  <si>
    <t>سفته 343856</t>
  </si>
  <si>
    <t>علیرضا قاینی کلاته حسینی</t>
  </si>
  <si>
    <t>سفته 343853</t>
  </si>
  <si>
    <t>1402/04/14</t>
  </si>
  <si>
    <t>صفیه سیستانی جوزقانی</t>
  </si>
  <si>
    <t>1404/08/13</t>
  </si>
  <si>
    <t>سفته 069673</t>
  </si>
  <si>
    <t>لیلی خواجی</t>
  </si>
  <si>
    <t>سفته 267318</t>
  </si>
  <si>
    <t>سفته 875027</t>
  </si>
  <si>
    <t>احمد جامی</t>
  </si>
  <si>
    <t>203650</t>
  </si>
  <si>
    <t>6037-6974-4773-9316</t>
  </si>
  <si>
    <t>890443182</t>
  </si>
  <si>
    <t>واریز به کارت 8655</t>
  </si>
  <si>
    <t>1401/04/19</t>
  </si>
  <si>
    <t>361708</t>
  </si>
  <si>
    <t>شبا بانک 6846</t>
  </si>
  <si>
    <t>719015</t>
  </si>
  <si>
    <t>722025</t>
  </si>
  <si>
    <t>واریز به کارت 1006</t>
  </si>
  <si>
    <t>366411</t>
  </si>
  <si>
    <t>5892-1013-5875-5235</t>
  </si>
  <si>
    <t>366919</t>
  </si>
  <si>
    <t>737956</t>
  </si>
  <si>
    <t>522150</t>
  </si>
  <si>
    <t>6037-6975-7641-2289</t>
  </si>
  <si>
    <t>657238835842</t>
  </si>
  <si>
    <t>واریز به کارت 9270</t>
  </si>
  <si>
    <t>122423125530</t>
  </si>
  <si>
    <t>واریز به کارت 5978</t>
  </si>
  <si>
    <t>890584122</t>
  </si>
  <si>
    <t>واریز به کارت 4686</t>
  </si>
  <si>
    <t>1401/04/20</t>
  </si>
  <si>
    <t>166052</t>
  </si>
  <si>
    <t>1401041901525975073</t>
  </si>
  <si>
    <t>شبا بانک 8536</t>
  </si>
  <si>
    <t>واریز به کارت 8564</t>
  </si>
  <si>
    <t>122428322844</t>
  </si>
  <si>
    <t>واریز به کارت 7613</t>
  </si>
  <si>
    <t>890662428</t>
  </si>
  <si>
    <t>واریز به کارت 3543</t>
  </si>
  <si>
    <t>890769329</t>
  </si>
  <si>
    <t>واریز به کارت 9949</t>
  </si>
  <si>
    <t>122445732164</t>
  </si>
  <si>
    <t>واریز به کارت 3392</t>
  </si>
  <si>
    <t>122445741413</t>
  </si>
  <si>
    <t>واریز به کارت 4844</t>
  </si>
  <si>
    <t>122445799715</t>
  </si>
  <si>
    <t>واریز به کارت 3200</t>
  </si>
  <si>
    <t>824625</t>
  </si>
  <si>
    <t>890770376</t>
  </si>
  <si>
    <t>واریز به کارت 4501</t>
  </si>
  <si>
    <t>468480</t>
  </si>
  <si>
    <t>890770624</t>
  </si>
  <si>
    <t>469078</t>
  </si>
  <si>
    <t>6037-7011-6632-7160</t>
  </si>
  <si>
    <t>890771245</t>
  </si>
  <si>
    <t>واریز به کارت 9498</t>
  </si>
  <si>
    <t>122446010105</t>
  </si>
  <si>
    <t>واریز به کارت 3264</t>
  </si>
  <si>
    <t>890772127</t>
  </si>
  <si>
    <t>واریز به کارت 8064</t>
  </si>
  <si>
    <t>890777372</t>
  </si>
  <si>
    <t>واریز به کارت 9921</t>
  </si>
  <si>
    <t>965781</t>
  </si>
  <si>
    <t>890893604</t>
  </si>
  <si>
    <t>واریز به کارت 9129</t>
  </si>
  <si>
    <t>122458290247</t>
  </si>
  <si>
    <t>مرداد ماه تسویه کامل شد.واریزی بعدی 15 ام شهریورماه</t>
  </si>
  <si>
    <t>166054</t>
  </si>
  <si>
    <t>واریزی از مرداد ماه</t>
  </si>
  <si>
    <t>مبلغ  چهل میلیون تومان در تاریخ 1401/04/20 افزایش سرمایه داشتند</t>
  </si>
  <si>
    <t>از مرداد ماه محاسبه میشود.</t>
  </si>
  <si>
    <t>منیره نخعی تیتوئی</t>
  </si>
  <si>
    <t>از مرداد ماه پرداخت میشود.</t>
  </si>
  <si>
    <t>محمدرضا علی میرزایی</t>
  </si>
  <si>
    <t>891025083</t>
  </si>
  <si>
    <t>واریز به کارت 9211</t>
  </si>
  <si>
    <t>1401/05/05</t>
  </si>
  <si>
    <t>چک بانک ملت 1769/779082/60</t>
  </si>
  <si>
    <t>قرار شد از مبلغ چهل میلیون تومان مبلغ سود این ماه به میزان 6/600/000 تومان کم شود و الباقی به حساب ملی آقای عبداللهی واریز گردد.</t>
  </si>
  <si>
    <t>1401/04/21</t>
  </si>
  <si>
    <t>0104210757114440</t>
  </si>
  <si>
    <t>واریز به حساب 5003</t>
  </si>
  <si>
    <t>891200108</t>
  </si>
  <si>
    <t>890277</t>
  </si>
  <si>
    <t>شبا بانک 3202</t>
  </si>
  <si>
    <t>963802</t>
  </si>
  <si>
    <t>6104-3379-6729-3323</t>
  </si>
  <si>
    <t>122487927075</t>
  </si>
  <si>
    <t>واریز به کارت 3041</t>
  </si>
  <si>
    <t>891269353</t>
  </si>
  <si>
    <t>واریز به کارت 8795</t>
  </si>
  <si>
    <t>891309878</t>
  </si>
  <si>
    <t>واریز به کارت 9961</t>
  </si>
  <si>
    <t>09365496752</t>
  </si>
  <si>
    <t>محمد قربانی جیم آباد</t>
  </si>
  <si>
    <t>09153015910</t>
  </si>
  <si>
    <t>09153221958</t>
  </si>
  <si>
    <t>واریزی ماه خرداد</t>
  </si>
  <si>
    <t>اطلاعات آقای جوینی طبق گفته خودشون</t>
  </si>
  <si>
    <t>نام افراد</t>
  </si>
  <si>
    <t>محمد شیبانی ( اعظم کاظمی پور)</t>
  </si>
  <si>
    <t>مسعود جازاری</t>
  </si>
  <si>
    <t>یاسرحسینی</t>
  </si>
  <si>
    <t>رضا خاکسار</t>
  </si>
  <si>
    <t>ناصر رئیس الساداتی</t>
  </si>
  <si>
    <t>مجید حسن زاده ( فاطمه غدیری )</t>
  </si>
  <si>
    <t xml:space="preserve"> مبلغ سپرده گذاری </t>
  </si>
  <si>
    <t>نوع مشارکت</t>
  </si>
  <si>
    <t>ماهیانه</t>
  </si>
  <si>
    <t>9153193463</t>
  </si>
  <si>
    <t>09053062451</t>
  </si>
  <si>
    <t>09156001317</t>
  </si>
  <si>
    <t>09054083417</t>
  </si>
  <si>
    <t>راسی</t>
  </si>
  <si>
    <t>سفته ندارد</t>
  </si>
  <si>
    <t xml:space="preserve">سود واریزی </t>
  </si>
  <si>
    <t>سود با احتساب درصد آقای جوینی</t>
  </si>
  <si>
    <t>سود خالص آقای جوینی</t>
  </si>
  <si>
    <t>سرمایه گذار جدید مادر</t>
  </si>
  <si>
    <t>مادر خانم</t>
  </si>
  <si>
    <t>مبلغ دریافتی :</t>
  </si>
  <si>
    <t xml:space="preserve">بابت راسی </t>
  </si>
  <si>
    <t>مبلغ نهایی دریافتی :</t>
  </si>
  <si>
    <t>اصل پول با اقای عبداللهی و سود با آقای جوینی</t>
  </si>
  <si>
    <t>از تاریخ 1401/04/21 به بعد هر سرمایه گذار جدیدی اضافه شود 0.065 درصد میباشد.</t>
  </si>
  <si>
    <t xml:space="preserve">راسی </t>
  </si>
  <si>
    <t>6104-3378-8030-5428</t>
  </si>
  <si>
    <t>واریزی خرداد ماه</t>
  </si>
  <si>
    <t>1401042101526056878</t>
  </si>
  <si>
    <t>شبا بانک 6679</t>
  </si>
  <si>
    <t>994163</t>
  </si>
  <si>
    <t>1401/04/22</t>
  </si>
  <si>
    <t>452201</t>
  </si>
  <si>
    <t>6037-9981-7869-2348</t>
  </si>
  <si>
    <t>122525392321</t>
  </si>
  <si>
    <t>واریز به کارت 8035</t>
  </si>
  <si>
    <t>ما به تفاوت فاکتورها</t>
  </si>
  <si>
    <t>علی الحساب فروش</t>
  </si>
  <si>
    <t>14010422012256517871</t>
  </si>
  <si>
    <t>ریحانه کامگار پور ( همسر افضل کامگارپور )</t>
  </si>
  <si>
    <t>ابتدا مبلغ 6/825/000 تومان از اصل سود پرداخت شد که آقای بهلولی مبلغ 1/825/000 تومان در تاریخ 1401/04/21 به حساب صادرات آقای عبداللهی برگشت زدند.</t>
  </si>
  <si>
    <t>مبلغ 45 هزار تومان کسری سود به اصل پول اضافه شد.</t>
  </si>
  <si>
    <t>اصل پول اضافه شد.</t>
  </si>
  <si>
    <t>طاهره شافعی اسفدن ( محمود علیزاده )</t>
  </si>
  <si>
    <t>محمد حسین قربانی جیم آباد</t>
  </si>
  <si>
    <t>به خانم فاطمه حسینی واریز شد.</t>
  </si>
  <si>
    <t>مادر سیما حسن زاده</t>
  </si>
  <si>
    <t>سود تیر</t>
  </si>
  <si>
    <t>شانزدهم</t>
  </si>
  <si>
    <t>شبا بانک 6561</t>
  </si>
  <si>
    <t>166051</t>
  </si>
  <si>
    <t>مبلغ 120 میلیون از اصل پول تسویه شود.</t>
  </si>
  <si>
    <t>از تاریخ 1401/04/22 به بعد هر سرمایه گذار جدیدی اضافه شود 0.050 درصد میباشد.</t>
  </si>
  <si>
    <t>قرار شد  بجای 200/000/000 میلیون تومان مبلغ 100/000/000 میلیون تومان از اصل پول برداشت شود.</t>
  </si>
  <si>
    <t>اصل مبلغ مانده میشود: 1/400/000/000 تومان - تاریخ به روزرسانی 1401/04/22</t>
  </si>
  <si>
    <t>در تاریخ 1401/03/24 قرار شد مبلغ 90/000/000 میلیون تومان به اصل پول اضافه شود که مبلغ 45/000/000 میلیون تومان کارت کشیده شد. ( با تایید آقای عبداللهی واریز شده است.)</t>
  </si>
  <si>
    <t>یک تومن کسری واریزی 90 میلیون با یک هفته دیرتر واریزی 45 میلیون تیرماه  از اصل سود سر به سر شد.</t>
  </si>
  <si>
    <t>مانده هرماه با احتساب 1/500 تا تیر 45/000/000 میلیون تومان و مانده از مرداد ماه با احتساب 1/400 38/000/000 تومان است.</t>
  </si>
  <si>
    <t>چک 5/15 را خانم بیرجندی خرج کردند-چک 850 میلیون برج شش هست-این چکها از اصل پول نیست.</t>
  </si>
  <si>
    <t>که بر مبنای 1/380/000/000 محاسبه شده بود .</t>
  </si>
  <si>
    <t>شبا بانک 7513</t>
  </si>
  <si>
    <t>واریز به کارت 3432</t>
  </si>
  <si>
    <t>جلیل یزدانی</t>
  </si>
  <si>
    <t>واریز به کارت 8305</t>
  </si>
  <si>
    <t>891940553</t>
  </si>
  <si>
    <t>واریز به کارت 2277</t>
  </si>
  <si>
    <t>1401/04/23</t>
  </si>
  <si>
    <t>0104230718169937</t>
  </si>
  <si>
    <t>واریز به کارت 6702</t>
  </si>
  <si>
    <t>189793</t>
  </si>
  <si>
    <t>واریز به کارت 0029</t>
  </si>
  <si>
    <t>892038425</t>
  </si>
  <si>
    <t>واریز به کارت 9481</t>
  </si>
  <si>
    <t>حسن کامکار</t>
  </si>
  <si>
    <t>واریز به کارت 7379</t>
  </si>
  <si>
    <t>محمدرضا غلامی</t>
  </si>
  <si>
    <t>سفته 214213</t>
  </si>
  <si>
    <t>1402/06/20</t>
  </si>
  <si>
    <t>چهارده ماهه</t>
  </si>
  <si>
    <t>نیروی شرکت</t>
  </si>
  <si>
    <t>995468/824986982012</t>
  </si>
  <si>
    <t>حجی خانم حیدری خیرآباد</t>
  </si>
  <si>
    <t>سفته 252287</t>
  </si>
  <si>
    <t>1402/04/29</t>
  </si>
  <si>
    <t>غلام علی اسدی</t>
  </si>
  <si>
    <t>1404/09/24</t>
  </si>
  <si>
    <t>چک بانک سپه 0063/857094</t>
  </si>
  <si>
    <t>چهل و یک ماهه</t>
  </si>
  <si>
    <t>واریز به کارت 3763</t>
  </si>
  <si>
    <t>1401/04/24</t>
  </si>
  <si>
    <t>892463573</t>
  </si>
  <si>
    <t>واریز به کارت 1975</t>
  </si>
  <si>
    <t>از مرداد ماه این مبلغ محاسبه میشود که برای 15 مرداد ماه چک داده شد</t>
  </si>
  <si>
    <t>مبلغ 525/000/000 تومان افزایش سرمایه داشتند که از مرداد ماه لحاظ میشود.</t>
  </si>
  <si>
    <t>چک ملت به مبلغ 192/500/000 تومان به تاریخ 1401/07/15 اصل آن تحویل آقای عبداللهی شد که در تاریخ چک به اصل اضافه شود. اولین سود آن به تاریخ 1401/08/15 میباشد.</t>
  </si>
  <si>
    <t>1401/04/2</t>
  </si>
  <si>
    <t>12263879297</t>
  </si>
  <si>
    <t>واریز به کارت 2162</t>
  </si>
  <si>
    <t>122603946805</t>
  </si>
  <si>
    <t>122603989666</t>
  </si>
  <si>
    <t>واریز به کارت 5188</t>
  </si>
  <si>
    <t>122604035399</t>
  </si>
  <si>
    <t>122604094043</t>
  </si>
  <si>
    <t>واریز به کارت 9951</t>
  </si>
  <si>
    <t>واریز به کارت 6746</t>
  </si>
  <si>
    <t>حسن کاشانی</t>
  </si>
  <si>
    <t>826922</t>
  </si>
  <si>
    <t>822972</t>
  </si>
  <si>
    <t>احتمال برداشت مبلغ در هر لحظه وجود دارد.</t>
  </si>
  <si>
    <t>سفته 283211</t>
  </si>
  <si>
    <t>سفته 283208</t>
  </si>
  <si>
    <t>1401/10/23</t>
  </si>
  <si>
    <t>محبوبه عرب خزاعی ( خانم مجتبی غلامی )</t>
  </si>
  <si>
    <t>0104242136558387</t>
  </si>
  <si>
    <t>زهرا نسائی</t>
  </si>
  <si>
    <t>1401/04/25</t>
  </si>
  <si>
    <t>6104-3389-2887-1595</t>
  </si>
  <si>
    <t>احمد احمدی پساوئی</t>
  </si>
  <si>
    <t>واریز به کارت 6393</t>
  </si>
  <si>
    <t>122622445976</t>
  </si>
  <si>
    <t>122622489288</t>
  </si>
  <si>
    <t>واریز به کارت 2843</t>
  </si>
  <si>
    <t>122622630953</t>
  </si>
  <si>
    <t>724549</t>
  </si>
  <si>
    <t>798883</t>
  </si>
  <si>
    <t>این ماه اصل شده 100 میلیون تومان</t>
  </si>
  <si>
    <t>مبلغ 161 میلیون تومان با احتساب سود مرداد ماه به اصل پول اضافه شد-واریزی بعدی دهم شهریور ماه 67270</t>
  </si>
  <si>
    <t>واریزی بعدی دهم شهریور ماه</t>
  </si>
  <si>
    <t>در تاربخ پنجم تیرماه مبلغ 203 میلیون تومان به اصل مبلغ اضافه شد و جمع مبلغ به 703 میلیون تومان رسید.</t>
  </si>
  <si>
    <t>در تاربخ 25 تیرماه مبلغ 20 میلیون تومان به اصل مبلغ اضافه شد و جمع مبلغ به 723 میلیون تومان رسید.</t>
  </si>
  <si>
    <t>یکم مرداد ماه 43 میلیون و یکم شهریور ماه 47400 میلیون تومان است.</t>
  </si>
  <si>
    <t>سفته 480420</t>
  </si>
  <si>
    <t>1402/05/02</t>
  </si>
  <si>
    <t>یکم - دوازدهم</t>
  </si>
  <si>
    <t>مبلغ 158 میلیون تومان از اصل پول پرداخت شود.</t>
  </si>
  <si>
    <t>6273-8110-3884-7353</t>
  </si>
  <si>
    <t>مبلغ 200 میلیون برای 19 مرداد چک داده شد + 16 تومان 19 مرداد پرداخت شود- 158+58=216</t>
  </si>
  <si>
    <t>مانده مرداد ماه 16 میلیون تومان</t>
  </si>
  <si>
    <t>1401/04/26</t>
  </si>
  <si>
    <t>6104-3376-3412-3432</t>
  </si>
  <si>
    <t>واریز به کارت ساناز حسن زاده</t>
  </si>
  <si>
    <t>140104260162283919</t>
  </si>
  <si>
    <t>شبا بانک 1518</t>
  </si>
  <si>
    <t>942701</t>
  </si>
  <si>
    <t>122658581768</t>
  </si>
  <si>
    <t>واریز به کارت 4238</t>
  </si>
  <si>
    <t>92914</t>
  </si>
  <si>
    <t>شبا بانک 7172</t>
  </si>
  <si>
    <t>944422</t>
  </si>
  <si>
    <t>944804</t>
  </si>
  <si>
    <t>122658671716</t>
  </si>
  <si>
    <t>واریز به کارت 9931</t>
  </si>
  <si>
    <t>122658775681</t>
  </si>
  <si>
    <t>واریز به کارت 5037</t>
  </si>
  <si>
    <t>0104261005075074</t>
  </si>
  <si>
    <t>هادی نامدار آبقد</t>
  </si>
  <si>
    <t>6037-6975-9728-3651</t>
  </si>
  <si>
    <t>واریزی مرداد ماه به کارت ساناز حسن زاده</t>
  </si>
  <si>
    <t>جلال ملکی</t>
  </si>
  <si>
    <t>شبا بانک 4915</t>
  </si>
  <si>
    <t>078510</t>
  </si>
  <si>
    <t>شبا بانک 7474</t>
  </si>
  <si>
    <t>078511</t>
  </si>
  <si>
    <t>078506</t>
  </si>
  <si>
    <t>شبا بانک 0402</t>
  </si>
  <si>
    <t>078517</t>
  </si>
  <si>
    <t>وحید کامگاری</t>
  </si>
  <si>
    <t>تا نیمه آذر</t>
  </si>
  <si>
    <t>ماهیانه 3/500/000 تومان</t>
  </si>
  <si>
    <t>دو ماه از تاریخش گذشته - حساب 2 تسویه اصل پول تمدید</t>
  </si>
  <si>
    <t>657935407519</t>
  </si>
  <si>
    <t>آرزو کامگاری ( احمد کامگاری )</t>
  </si>
  <si>
    <t>خودشون میگن اصل پول 600 میلیون هست</t>
  </si>
  <si>
    <t>پانزدهم الی بیستم</t>
  </si>
  <si>
    <t>به اصل مبلغ اضافه شد.</t>
  </si>
  <si>
    <t>اسد عباسی پور</t>
  </si>
  <si>
    <t>واریز به کارت پریسا معینیان</t>
  </si>
  <si>
    <t>فریبا دانائی زاده</t>
  </si>
  <si>
    <t>0104261652133467</t>
  </si>
  <si>
    <t>شبا بانک 9003</t>
  </si>
  <si>
    <t>122682795835</t>
  </si>
  <si>
    <t>واریز به کارت 4523</t>
  </si>
  <si>
    <t>1401/04/27</t>
  </si>
  <si>
    <t>783162</t>
  </si>
  <si>
    <t>1401/04/28</t>
  </si>
  <si>
    <t>122724878283</t>
  </si>
  <si>
    <t>122726798614</t>
  </si>
  <si>
    <t>از اصل پول مبلغ 90 میلیون تسویه شود.</t>
  </si>
  <si>
    <t>14010428054200508661</t>
  </si>
  <si>
    <t>0104281018456904</t>
  </si>
  <si>
    <t>140104280162381611</t>
  </si>
  <si>
    <t>واریزی خرداد ماه-مبلغ 15 میلیون اضافه شده است.</t>
  </si>
  <si>
    <t>سبحان بهلولی</t>
  </si>
  <si>
    <t xml:space="preserve">مبلغ 40 میلیون ازز اصل پول واریز شده و از مرداد ماه این مبلغ چهل میلیون دیگه محاسبه نمیشود. </t>
  </si>
  <si>
    <t>از شهریور ماه اضافه میشود.</t>
  </si>
  <si>
    <t>به روز شده پریسا خنک بان</t>
  </si>
  <si>
    <t>مبلغ مانده 3/400/000 تومان از اصل 100 میلیون که قرار بود واریز کنند کم شد و مانده تیرماه صفر شد-مبلغ 4/600/000 جریمه دیرکرد پرداخت از اصل 100 میلیون کم شد.</t>
  </si>
  <si>
    <t>جمع واریزی مرداد ماه 38/900/000 میباشد.</t>
  </si>
  <si>
    <t>جمع واریزی شهریور ماه 44/900/000 میباشد.</t>
  </si>
  <si>
    <t>عکس واریزی ها موجود است-جمع واریزی ها 85 میلیون میباشد به علاوه 8 میلیون باقیمانده سود تیرماه و جریمه دیرکرد پرداخت-7 میلیون مانده</t>
  </si>
  <si>
    <t>واریزی های آقای علیرضا خالقی (0.055 درصد)</t>
  </si>
  <si>
    <t>09153092310</t>
  </si>
  <si>
    <t>از مرداد ماه این مبلغ محاسبه میشود-افزایش سرمایه داشتند</t>
  </si>
  <si>
    <t>مبلغ 393/500/000 تومان باید واریز کنند که مبلغ 200 میلیون در تاریخ 29 تیر واریز شد و مبلغ 193/500 میلیون سی تیرماه واریز میشود.</t>
  </si>
  <si>
    <t>چک تحویل گرفته شد وسفته به مبلغ 1/500/000/000 داده شد.</t>
  </si>
  <si>
    <t>سفته ها در فایل شخصی</t>
  </si>
  <si>
    <t>1404/08/29</t>
  </si>
  <si>
    <t>ازمرداد ماه این مبلغ پرداخت میشود.</t>
  </si>
  <si>
    <t>تیر ماه تسویه شد.</t>
  </si>
  <si>
    <t>مبلغ 60 میلیون تومان از اصل پول پرداخت شد طی سفته ها</t>
  </si>
  <si>
    <t>سود به اصل پول اضافه شد + 18 میلون فیش واریزی</t>
  </si>
  <si>
    <t>اصل پول از این ماه بصورت راسی شد.</t>
  </si>
  <si>
    <t>1401/04/29</t>
  </si>
  <si>
    <t>287567</t>
  </si>
  <si>
    <t>واریزی تیرماه</t>
  </si>
  <si>
    <t>140104290162423767</t>
  </si>
  <si>
    <t>636971</t>
  </si>
  <si>
    <t>288840</t>
  </si>
  <si>
    <t>6104-3377-9754-0125</t>
  </si>
  <si>
    <t>289041</t>
  </si>
  <si>
    <t>6037-9981-7991-4337</t>
  </si>
  <si>
    <t>122758182343</t>
  </si>
  <si>
    <t>واریز به کارت 3123</t>
  </si>
  <si>
    <t>292348</t>
  </si>
  <si>
    <t>6037-9975-0573-1241</t>
  </si>
  <si>
    <t>122758309371</t>
  </si>
  <si>
    <t>واریز به کارت 7592</t>
  </si>
  <si>
    <t>شبا بانک 9090</t>
  </si>
  <si>
    <t>14010429054201783059</t>
  </si>
  <si>
    <t>از مرداد ماه این مبلغ پرداخت میگردد.</t>
  </si>
  <si>
    <t>140104290162485071</t>
  </si>
  <si>
    <t>شبا بانک 8006</t>
  </si>
  <si>
    <t>این ماه یک تومن واریز شده است از ماه آینده دو میلیون واریز میشود-آخرین اطلاعات ثبت شده : مبلغ 40 میلیون قبلی + 20 میلیون تومان جدید راسی یکساله شد.</t>
  </si>
  <si>
    <t>1402/05/01</t>
  </si>
  <si>
    <t>سفته 212545</t>
  </si>
  <si>
    <t>مبلغ 40 میلیون ماهیانه + 20 میلیون جدید راسی یکساله شد.</t>
  </si>
  <si>
    <t>107734825098654278</t>
  </si>
  <si>
    <t>415015</t>
  </si>
  <si>
    <t>واریز به کارت 5367</t>
  </si>
  <si>
    <t>واریزی مرداد ماه</t>
  </si>
  <si>
    <t>واریزی بعدی یکم شهریور-مبلغ 111 میلیون راسی شد 250 میلیون و 260 میلیون هم بصورت ماهیانه شد-جمع واریزی به ما : 393/500/000 تومان</t>
  </si>
  <si>
    <t xml:space="preserve">محمد گلزاری </t>
  </si>
  <si>
    <t>صادق جوینی</t>
  </si>
  <si>
    <t>واریز به کارت امید ملکی-از سود پول 1401/06/28 دریافت کردند.</t>
  </si>
  <si>
    <t>1401/06/27</t>
  </si>
  <si>
    <t>1401/08/17</t>
  </si>
  <si>
    <t>1401/12/28</t>
  </si>
  <si>
    <t>چک بانک صادرات 672609</t>
  </si>
  <si>
    <t>چک بانک صادرات 672610</t>
  </si>
  <si>
    <t>چک بانک سپه 857067</t>
  </si>
  <si>
    <t>به نام علیرضا دلشاد</t>
  </si>
  <si>
    <t>از سود پول 40 میلیون دریافت کردند.</t>
  </si>
  <si>
    <t>09157558239</t>
  </si>
  <si>
    <t>09151224202</t>
  </si>
  <si>
    <t>09159619959</t>
  </si>
  <si>
    <t>به اصل سرمایه اضافه شد + مبلغ واریزی 3 میلیون تومان که جمعا میشود 10 میلیون تومان</t>
  </si>
  <si>
    <t>657946237361</t>
  </si>
  <si>
    <t>واریز به کارت 4887</t>
  </si>
  <si>
    <t>مبلغ 20 میلیون تومان ماه پیش به حساب آقای حسینی واریز شده که مبلغ سود تیر ماه کسر و الباقی رو به حساب آقای عبداللهی برگشت زدند.</t>
  </si>
  <si>
    <t>تیرماه پرداخت شد.</t>
  </si>
  <si>
    <t>6104-3375-1236-9347</t>
  </si>
  <si>
    <t>1401/04/31</t>
  </si>
  <si>
    <t>14010431054200000788</t>
  </si>
  <si>
    <t>1401043101526502213</t>
  </si>
  <si>
    <t>پرداخت مشارکت یکم مرداد ماه</t>
  </si>
  <si>
    <t>1401043101526503104</t>
  </si>
  <si>
    <t>0104311150570911</t>
  </si>
  <si>
    <t>واریزی برای اول مرداد ماه</t>
  </si>
  <si>
    <t>واریزی برای تیر ماه</t>
  </si>
  <si>
    <t>726881</t>
  </si>
  <si>
    <t>050158</t>
  </si>
  <si>
    <t>6037-9974-3691-2092</t>
  </si>
  <si>
    <t>واریز به علی کامگار</t>
  </si>
  <si>
    <t>طبق حسابهای شخصی الباقی واریزی آقای عبداللهی به آقای مصمور</t>
  </si>
  <si>
    <t>657949544878</t>
  </si>
  <si>
    <t>واریز به کارت 7664</t>
  </si>
  <si>
    <t>858876</t>
  </si>
  <si>
    <t>122855488684</t>
  </si>
  <si>
    <t>واریز به کارت 8589</t>
  </si>
  <si>
    <t>122855635207</t>
  </si>
  <si>
    <t>واریز به کارت 8754</t>
  </si>
  <si>
    <t>122855690911</t>
  </si>
  <si>
    <t>واریز به کارت 9789</t>
  </si>
  <si>
    <t>122855838950</t>
  </si>
  <si>
    <t>122855952181</t>
  </si>
  <si>
    <t>1401/05/01</t>
  </si>
  <si>
    <t>1401050101526518658</t>
  </si>
  <si>
    <t>شبا بانک ملت 3648</t>
  </si>
  <si>
    <t>تیرماه مبلغ 20 میلیون تومان رو به جساب آقای عبداللهی برگشت زدتد.</t>
  </si>
  <si>
    <t>از گرفتن اصل پول منصرف شدند.</t>
  </si>
  <si>
    <t>اول مرداد بابت طلب مانده سود مشارکت مبلغ 24/000/000 و از یکم شهریور مبلغ 104/000/000 میلیون تومان میباشد.</t>
  </si>
  <si>
    <t>سود مشارکت خرداد و تیرماه به اصل مبلغ اضافه شود.</t>
  </si>
  <si>
    <t>سود مشارکت مرداد ماه</t>
  </si>
  <si>
    <t>سود اول مرداد به اصل پول اضافه شد-مبلغ 50/000/000 میلیون هم واریز کردند که جمعا 60/000/000 اضافه شد.</t>
  </si>
  <si>
    <t>طیبه شاکری</t>
  </si>
  <si>
    <t>واریزی مرداد ماه پرداخت شده است - واریزی بعدی یکم شهریور</t>
  </si>
  <si>
    <t xml:space="preserve"> ( چون بجای سیزدهم مرداد قراره یکم مرداد دریافت کنند از مبلغ 1750 کسر میشود)</t>
  </si>
  <si>
    <t>مشارکت مرداد ماه پرداخت شد.</t>
  </si>
  <si>
    <t>تسویه تیرماه</t>
  </si>
  <si>
    <t>مبلغ 10 میلیون تومان از مرداد ماه پرداخت شد - مانده : 14/500/000</t>
  </si>
  <si>
    <t>واریزی دهم مرداد 54 میلیون تومان</t>
  </si>
  <si>
    <t>پریسا خنک بان</t>
  </si>
  <si>
    <t>فکر کنم واریزی تیرماه انجام نشده</t>
  </si>
  <si>
    <t>شهربانو قدم دخت شادیشه ( نیازعلی رمضانی )</t>
  </si>
  <si>
    <t>جمع تا اول مرداد ماه :</t>
  </si>
  <si>
    <t>شبا بانک 2363</t>
  </si>
  <si>
    <t>چک بانک تجارت 804626</t>
  </si>
  <si>
    <t>1405/11/18</t>
  </si>
  <si>
    <t>چک بانک ملت 852738</t>
  </si>
  <si>
    <t>1401/05/02</t>
  </si>
  <si>
    <t>6037-7011-5817-5429</t>
  </si>
  <si>
    <t>535819</t>
  </si>
  <si>
    <t>190487</t>
  </si>
  <si>
    <t>6037-6974-6735-4574</t>
  </si>
  <si>
    <t>895742951</t>
  </si>
  <si>
    <t>واریز به کارت 1753</t>
  </si>
  <si>
    <t>1401050201526599027</t>
  </si>
  <si>
    <t>شبا بانک 5007</t>
  </si>
  <si>
    <t>008821</t>
  </si>
  <si>
    <t>0011000</t>
  </si>
  <si>
    <t>895761834</t>
  </si>
  <si>
    <t>واریز به کارت 1460</t>
  </si>
  <si>
    <t>895765363</t>
  </si>
  <si>
    <t>895778678</t>
  </si>
  <si>
    <t>واریز به کارت 7051</t>
  </si>
  <si>
    <t>شبا بانک 9523</t>
  </si>
  <si>
    <t>166426</t>
  </si>
  <si>
    <t>6037-6976-4333-5869</t>
  </si>
  <si>
    <t>محمد فخری</t>
  </si>
  <si>
    <t>در تاریخ 1401/05/02 مبلغ 10 ملیون تومان به حساب کشاورزی آقای عبداللهی واریز شد.</t>
  </si>
  <si>
    <t>1401/05/03</t>
  </si>
  <si>
    <t>1401050301526664852</t>
  </si>
  <si>
    <t>590954</t>
  </si>
  <si>
    <t>591249</t>
  </si>
  <si>
    <t>243710</t>
  </si>
  <si>
    <t>896208246</t>
  </si>
  <si>
    <t>896208636</t>
  </si>
  <si>
    <t>واریز به کارت 0127</t>
  </si>
  <si>
    <t>527197</t>
  </si>
  <si>
    <t>6104-3374-</t>
  </si>
  <si>
    <t>طبق گفته خودشون از عابر بانک واریز شده براشون</t>
  </si>
  <si>
    <t>200939</t>
  </si>
  <si>
    <t>5041-7210-9228-0966</t>
  </si>
  <si>
    <t>896210983</t>
  </si>
  <si>
    <t>واریز به کارت 0227</t>
  </si>
  <si>
    <t>896213295</t>
  </si>
  <si>
    <t>واریز به کارت 2938</t>
  </si>
  <si>
    <t>896214991</t>
  </si>
  <si>
    <t>واریز به کارت 0538</t>
  </si>
  <si>
    <t>0105030821322705</t>
  </si>
  <si>
    <t>طاهره کامکاری ( خانم جهاندیده )</t>
  </si>
  <si>
    <t>واریز به کارت 2467</t>
  </si>
  <si>
    <t>یک درصد از این مبلغ برای خود خانم طاهره کامکاری میباشد.</t>
  </si>
  <si>
    <t>خدیجه بهلوری</t>
  </si>
  <si>
    <t>1401/05/04</t>
  </si>
  <si>
    <t>620858</t>
  </si>
  <si>
    <t>شبا بانک 2176</t>
  </si>
  <si>
    <t>شبا بانک 4003</t>
  </si>
  <si>
    <t>1401050401526727176</t>
  </si>
  <si>
    <t>6037-6916-2509-3141</t>
  </si>
  <si>
    <t>000792</t>
  </si>
  <si>
    <t>واریز به کارت 8461</t>
  </si>
  <si>
    <t>896672928</t>
  </si>
  <si>
    <t>559632</t>
  </si>
  <si>
    <t>واریز به کارت 7449</t>
  </si>
  <si>
    <t>مبلغ 10 میلیون از سود این ماه در تیرماه پرداخت شده است.</t>
  </si>
  <si>
    <t>896697572</t>
  </si>
  <si>
    <t>واریز به حساب 9501718028</t>
  </si>
  <si>
    <t>از شهریور ماه این مبلغ محاسبه میشود.</t>
  </si>
  <si>
    <t>896727161</t>
  </si>
  <si>
    <t>واریز به کارت 1158</t>
  </si>
  <si>
    <t>مبلغ 50 میلیون از اصل پول تسویه شد و به حساب آقای علیرضا زراعت واریز گردید.</t>
  </si>
  <si>
    <t>صفیه بیرجندی</t>
  </si>
  <si>
    <t>چهار ماهه</t>
  </si>
  <si>
    <t>مبلغ 90 دادن و 120 آوردن روی مبلغ چک</t>
  </si>
  <si>
    <t>چک بانک سپه 857070</t>
  </si>
  <si>
    <t>1401/06/21</t>
  </si>
  <si>
    <t>896862928</t>
  </si>
  <si>
    <t>واریز به کارت 4709</t>
  </si>
  <si>
    <t>122998113707</t>
  </si>
  <si>
    <t>واریزی های آقای عبداللهی برای سود شهریور ماه</t>
  </si>
  <si>
    <t>واریزی شهریور ماه</t>
  </si>
  <si>
    <t>جمع کل واریزی تا شهریورماه :</t>
  </si>
  <si>
    <t>مبلغ 10 میلیون تومان از سود شهریور ماه در تیر پرداخت شد.</t>
  </si>
  <si>
    <t>توضیحات در شیت خصوصسود شهریور ماه</t>
  </si>
  <si>
    <t>874097</t>
  </si>
  <si>
    <t>اله داد کامگارپور</t>
  </si>
  <si>
    <t>واریز به کارت 5386</t>
  </si>
  <si>
    <t>مرضیه احیائی</t>
  </si>
  <si>
    <t>واریز به کارت2493</t>
  </si>
  <si>
    <t>620099</t>
  </si>
  <si>
    <t>620979</t>
  </si>
  <si>
    <t>897125172</t>
  </si>
  <si>
    <t>واریز به کارت 0916</t>
  </si>
  <si>
    <t>275451</t>
  </si>
  <si>
    <t>275974</t>
  </si>
  <si>
    <t>624096</t>
  </si>
  <si>
    <t>123023139665</t>
  </si>
  <si>
    <t>770997</t>
  </si>
  <si>
    <t>علی اکبر باقریان</t>
  </si>
  <si>
    <t>زینب عبداللهی(خواهر )</t>
  </si>
  <si>
    <t>283567</t>
  </si>
  <si>
    <t>897136422</t>
  </si>
  <si>
    <t>به حساب خانم زهرا قاسمی تبار واریز شود.</t>
  </si>
  <si>
    <t>935189</t>
  </si>
  <si>
    <t>مبلغ 20 میلیون در تاریخ 5 و 6 مرداد افزایش سرمایه داشتند از شهریور ماه مبلغ 37 میلیون محاسبه خواهد شد.</t>
  </si>
  <si>
    <t>1401050501526877193</t>
  </si>
  <si>
    <t>658798652941</t>
  </si>
  <si>
    <t>واریز به کارت 9475</t>
  </si>
  <si>
    <t>658798704321</t>
  </si>
  <si>
    <t>امید حاجی میری</t>
  </si>
  <si>
    <t>1401/05/06</t>
  </si>
  <si>
    <t>14010506054200002313</t>
  </si>
  <si>
    <t>0105060541000254</t>
  </si>
  <si>
    <t>واریز به کارت 3771</t>
  </si>
  <si>
    <t>613289</t>
  </si>
  <si>
    <t>سمیه جان محمدی موسی آباد</t>
  </si>
  <si>
    <t>6280-2314-9835-6038</t>
  </si>
  <si>
    <t>897599685</t>
  </si>
  <si>
    <t>280331</t>
  </si>
  <si>
    <t>897612309</t>
  </si>
  <si>
    <t>دوم</t>
  </si>
  <si>
    <t>1401050601526894851</t>
  </si>
  <si>
    <t>شبا بانک 3201</t>
  </si>
  <si>
    <t>امیرحسین عباس پور نادری</t>
  </si>
  <si>
    <t>واریز به کارت 3157</t>
  </si>
  <si>
    <t>658800332029</t>
  </si>
  <si>
    <t>مبینا رفیعی</t>
  </si>
  <si>
    <t>واریز به کارت 4631</t>
  </si>
  <si>
    <t>123072335005</t>
  </si>
  <si>
    <t>واریز به کارت 9599</t>
  </si>
  <si>
    <t>897770534</t>
  </si>
  <si>
    <t>شبا بانک 6007</t>
  </si>
  <si>
    <t>1401/05/07</t>
  </si>
  <si>
    <t>897971600</t>
  </si>
  <si>
    <t>897971692</t>
  </si>
  <si>
    <t>897972037</t>
  </si>
  <si>
    <t>897972072</t>
  </si>
  <si>
    <t>532576</t>
  </si>
  <si>
    <t>186083</t>
  </si>
  <si>
    <t>897972509</t>
  </si>
  <si>
    <t>6104-3374-3790-9599</t>
  </si>
  <si>
    <t>1401050701526932193</t>
  </si>
  <si>
    <t>شبا بانک 1777</t>
  </si>
  <si>
    <t>897974481</t>
  </si>
  <si>
    <t>واریز به کارت 1230</t>
  </si>
  <si>
    <t>123097638728</t>
  </si>
  <si>
    <t>897977442</t>
  </si>
  <si>
    <t>897977623</t>
  </si>
  <si>
    <t>140105070162931267</t>
  </si>
  <si>
    <t>14010507054200004275</t>
  </si>
  <si>
    <t>1401/05/08</t>
  </si>
  <si>
    <t>غلامعباس علی میرزایی</t>
  </si>
  <si>
    <t xml:space="preserve">محمدرضا خاکسار </t>
  </si>
  <si>
    <t>واریزی تیرماه به اصل مبلغ اضافه شود-اصل مبلغ 726/100/000 میباشد.</t>
  </si>
  <si>
    <t>مبلغ 18/900/000 میلیون در تاریخ سوم مرداد به اصل سرمایه اضافه شد.</t>
  </si>
  <si>
    <t>مبلغ 107/400/000 تومان به اصل مبلغ در تاریخ ششم مرداد اضافه شد.</t>
  </si>
  <si>
    <t>مانده 32/600/000 از مانده سود تیر ماه به اصل مبلغ اضافه شد-سود تیرماه تسویه شد.</t>
  </si>
  <si>
    <t>464447</t>
  </si>
  <si>
    <t>شبا بانک 9008</t>
  </si>
  <si>
    <t>195070</t>
  </si>
  <si>
    <t>مبلغ 150 میلیون از اصل پول تسویه شد.</t>
  </si>
  <si>
    <t>مبلغ جدید</t>
  </si>
  <si>
    <t>شبا بانک 5030</t>
  </si>
  <si>
    <t>هزینه گوشی</t>
  </si>
  <si>
    <t>واریزی تیرماه تسویه شد.</t>
  </si>
  <si>
    <t>1401/05/10</t>
  </si>
  <si>
    <t>464428</t>
  </si>
  <si>
    <t>464440</t>
  </si>
  <si>
    <t>حسین ساعی</t>
  </si>
  <si>
    <t>شبا بانک 3901</t>
  </si>
  <si>
    <t>464432</t>
  </si>
  <si>
    <t>464438</t>
  </si>
  <si>
    <t>شبا بانک 3771</t>
  </si>
  <si>
    <t>464431</t>
  </si>
  <si>
    <t>مبلغ 750 هزار تومان از تیرماه تسویه شد-سود مرداد ماه تسویه شد.</t>
  </si>
  <si>
    <t>464439</t>
  </si>
  <si>
    <t>کارت ملت خانم عصمت حسینی 5311</t>
  </si>
  <si>
    <t xml:space="preserve">از شهریور ماه </t>
  </si>
  <si>
    <t>صغری فهیمی</t>
  </si>
  <si>
    <t>898380201</t>
  </si>
  <si>
    <t>واریز به کارت 5906</t>
  </si>
  <si>
    <t>1401/05/09</t>
  </si>
  <si>
    <t>140105/09</t>
  </si>
  <si>
    <t>حساب 712092176</t>
  </si>
  <si>
    <t>مادرشون حمیده خیامی</t>
  </si>
  <si>
    <t>ماهیانه 17 تومان پرداخت میشود-6/500/000 بابت شیرینی دریافت میکنند</t>
  </si>
  <si>
    <t>مبلغ 10/000/000 میلیون از سود مرداد ماه به اصل مبلغ اضافه شود.</t>
  </si>
  <si>
    <t>سفته های 301433-811007-734497-253969 قابل تایید است.</t>
  </si>
  <si>
    <t>مبلغ 43/000/000 تومان بابت پیتزاها تا تاریخ 1401/05/11 تسویه شد .</t>
  </si>
  <si>
    <t>1401/05/11</t>
  </si>
  <si>
    <t>طاهره کامکاری</t>
  </si>
  <si>
    <t>6037-7014-0591-2467</t>
  </si>
  <si>
    <t>898600179</t>
  </si>
  <si>
    <t>800781</t>
  </si>
  <si>
    <t>898686836</t>
  </si>
  <si>
    <t>واریز به کارت 7462</t>
  </si>
  <si>
    <t>898711663</t>
  </si>
  <si>
    <t>123173232171</t>
  </si>
  <si>
    <t>756921</t>
  </si>
  <si>
    <t>واریز به کارت 7873</t>
  </si>
  <si>
    <t>768230</t>
  </si>
  <si>
    <t>123176149970</t>
  </si>
  <si>
    <t>واریز به کارت 8274</t>
  </si>
  <si>
    <t>علی نجاتی تقی آباد</t>
  </si>
  <si>
    <t>اولین واریزی سوم شهریور ماه</t>
  </si>
  <si>
    <t>سفته 150 میلیون تومان داده شد.</t>
  </si>
  <si>
    <t>سرمایه گذاری جدید 93/000/000 تومان +4/800/000 مشارکت یازدهم مردادماه + سود 93 میلیون تا یازدهم مرداد و واریزی 1100 به کارت صادرات اقای عبداللهی جمعا 100 میلیون تومان جدید</t>
  </si>
  <si>
    <t>اولین واریزی 11 شهریور مبلغ 11/800/000 تومان</t>
  </si>
  <si>
    <t>مبلغ 120 میلیون تومان در تاریخ سوم مرداد به اصل سرمایه اضافه شد وجمع اصل مبلغ 680 میلیون تومان-واریزی بعدی پنجم شهریور</t>
  </si>
  <si>
    <t>فکر کنم به اصل سرمایه اضافه شد.</t>
  </si>
  <si>
    <t>واریزی بعدی یکم شهریور ماه</t>
  </si>
  <si>
    <t>طاهره رحمانی</t>
  </si>
  <si>
    <t>ام البنبن میرکی قرائی</t>
  </si>
  <si>
    <t>اولین واریزی نهم شهریور ماه</t>
  </si>
  <si>
    <t>مریم میرکی قرائی</t>
  </si>
  <si>
    <t>برای 2 ماه و خورده ای</t>
  </si>
  <si>
    <t>مبلغ 50 میلیون از اصل پول پرداخت شود.</t>
  </si>
  <si>
    <t>واریزی بعدی هفتم شهریور ماه</t>
  </si>
  <si>
    <t>898978649</t>
  </si>
  <si>
    <t>واریز به کارت 3360</t>
  </si>
  <si>
    <t>به کارت زهره جاوید</t>
  </si>
  <si>
    <t>1401051001527077540</t>
  </si>
  <si>
    <t>728458</t>
  </si>
  <si>
    <t>6104-3389-0429-9530</t>
  </si>
  <si>
    <t>14010510054200253125</t>
  </si>
  <si>
    <t>14010510054200256935</t>
  </si>
  <si>
    <t>449958</t>
  </si>
  <si>
    <t>450493</t>
  </si>
  <si>
    <t>607525</t>
  </si>
  <si>
    <t>123203928707</t>
  </si>
  <si>
    <t>ورودی مشارکت در تاریخ 1401/05/10</t>
  </si>
  <si>
    <t>123205162478</t>
  </si>
  <si>
    <t>14010510054200311577</t>
  </si>
  <si>
    <t>شبا بانک 3984</t>
  </si>
  <si>
    <t>659339957317</t>
  </si>
  <si>
    <t>900283</t>
  </si>
  <si>
    <t>659340032860</t>
  </si>
  <si>
    <t>واریز به کارت 8861</t>
  </si>
  <si>
    <t>042821</t>
  </si>
  <si>
    <t>شبا بانک کشاورزی 1942</t>
  </si>
  <si>
    <t>مبلغ 10 میلیون تومان در تاربخ 10 مرداد افزایش سرمایه داشتند-از شهریور ماه محاسبه میشود.</t>
  </si>
  <si>
    <t>افزایش سرمایه 80 میلیون تومان-جمعا با چک قبلی که 25 بود اقای عبداللهی گرفتن شد 105-از شهریور ماه محاسبه میشود</t>
  </si>
  <si>
    <t>اصل مبلغ تسویه شد</t>
  </si>
  <si>
    <t>ابراهیم تیموری (مرضیه خدادوست)</t>
  </si>
  <si>
    <t>مبلغ 200 میلیون به حساب اقای عبداللهی و مبلغ 100 میلیون به حساب آقای علی نیکوی واریز شد-از شهریور ماه</t>
  </si>
  <si>
    <t>افزایش سرمایه آقای محمد کریمی</t>
  </si>
  <si>
    <t>چک 3381/804623 مبلغ 210 میلیون از حساب علی عبداللهی کسر و به حساب آقای محمد کریمی لنگرک واریز شود.</t>
  </si>
  <si>
    <t>مبلغ 10 میلیون تومان هفتم مرداد افزایش سرمایه داشتند و اصل مبلغ 20 میلیون میباشد-از شهریور ماه محاسبه میشود</t>
  </si>
  <si>
    <t>از اصل مبلغ دو ملیون تومان + سود مرداد ماه 11/340/000 + سئد شهریور ماه 12/500/000 واریز شود- جمعا : 25/800/000 تومان</t>
  </si>
  <si>
    <t>واریزی بعدی چهارم مهر</t>
  </si>
  <si>
    <t>340271</t>
  </si>
  <si>
    <t>14010511054200087411</t>
  </si>
  <si>
    <t>شبا بانک 1007</t>
  </si>
  <si>
    <t>140105110162155572</t>
  </si>
  <si>
    <t>از چک 300 میلیون سالانه تسویه میشود.</t>
  </si>
  <si>
    <t>0105110541003354</t>
  </si>
  <si>
    <t>شبا بانک 87000</t>
  </si>
  <si>
    <t>1401051101527140110</t>
  </si>
  <si>
    <t>440489</t>
  </si>
  <si>
    <t>786613</t>
  </si>
  <si>
    <t>161191</t>
  </si>
  <si>
    <t>201777</t>
  </si>
  <si>
    <t>123243092696</t>
  </si>
  <si>
    <t>123243709582</t>
  </si>
  <si>
    <t>واریز به کارت 7721</t>
  </si>
  <si>
    <t>468601</t>
  </si>
  <si>
    <t>815248</t>
  </si>
  <si>
    <t>406980</t>
  </si>
  <si>
    <t>533914</t>
  </si>
  <si>
    <t>834060</t>
  </si>
  <si>
    <t>شبا بانک 9586</t>
  </si>
  <si>
    <t>048378</t>
  </si>
  <si>
    <t>048855</t>
  </si>
  <si>
    <t>056661</t>
  </si>
  <si>
    <t>903037</t>
  </si>
  <si>
    <t>علی کیاوری</t>
  </si>
  <si>
    <t>سرمایه گذار جدید-شماره از آقای علی عزیز عربی گرفته شود</t>
  </si>
  <si>
    <t>اولین واریزی شهریور ماه</t>
  </si>
  <si>
    <t>هادی بابایی استاد</t>
  </si>
  <si>
    <t>1401/05/12</t>
  </si>
  <si>
    <t>140105120162199033</t>
  </si>
  <si>
    <t>شبا بانک 4001</t>
  </si>
  <si>
    <t>از مرداد ماه این مبلغ محاسبه میشود که برای 15 مرداد ماه چک داده شد-واریزی ها از مبلغ چک کم میشود.</t>
  </si>
  <si>
    <t>269239</t>
  </si>
  <si>
    <t>شبا بانک 0169</t>
  </si>
  <si>
    <t>031218</t>
  </si>
  <si>
    <t>207037</t>
  </si>
  <si>
    <t>856543</t>
  </si>
  <si>
    <t>از شهریور ماه محاسبه میشود.</t>
  </si>
  <si>
    <t>0105121356252484</t>
  </si>
  <si>
    <t>شبا بانک 3597</t>
  </si>
  <si>
    <t>659346702060</t>
  </si>
  <si>
    <t>853832</t>
  </si>
  <si>
    <t>161247</t>
  </si>
  <si>
    <t>782589</t>
  </si>
  <si>
    <t>14010512054200114412</t>
  </si>
  <si>
    <t>شبا بانک 8990</t>
  </si>
  <si>
    <t>14010512054200114507</t>
  </si>
  <si>
    <t>048864</t>
  </si>
  <si>
    <t>مبلغ صد میلیون اصل پول را اقای ابراهیم تیموری به کارت آقای علی نیکوی واریز کردند.</t>
  </si>
  <si>
    <t>تاریخ 27 مرداد 800/000 تومان و از 27 شهریور 1/600/000</t>
  </si>
  <si>
    <t>محمد کامکاری</t>
  </si>
  <si>
    <t>مبلغ 118 میلیون چک 20 مرداد + 75 میلیون سود مشارکت سه ماه تیر، مرداد و شهریور+450 یورو به قیمت32000 میشود 14400</t>
  </si>
  <si>
    <t>جمعا 208/000/000 تومان به تاریخ بیستم مرداد به حساب آقای وحیدی خواه واریز شود- چک 200 میلیون 20 شهریور واریز شود.</t>
  </si>
  <si>
    <t>مبلغ 8 میلیون طلب آقای وحیدی تا 15 مرداد پرداخت شود و 200 میلیون به حساب آقای قدیری بیستم مرداد - واریزی بعدی 14 مهر</t>
  </si>
  <si>
    <t xml:space="preserve">باقر وحیدی خواه </t>
  </si>
  <si>
    <t>1402/01/20</t>
  </si>
  <si>
    <t>هفت ماهه</t>
  </si>
  <si>
    <t>چک 50018/067585</t>
  </si>
  <si>
    <t>چک 20 شهریور 1401 به شماره 857082 راسی هفت ماهه شد.</t>
  </si>
  <si>
    <t>عطیه درخشانی فر</t>
  </si>
  <si>
    <t>سفته 20 میلیونی داده شد.</t>
  </si>
  <si>
    <t>بقیه حسابها همگی با واریزی 46/500/000 و پاس شدن دو چک 3028/905030 و 595480 تسویه کامل شد.</t>
  </si>
  <si>
    <t>198124</t>
  </si>
  <si>
    <t>6104-3372-3546-9747</t>
  </si>
  <si>
    <t>123304485006</t>
  </si>
  <si>
    <t>واریز به کارت 4347</t>
  </si>
  <si>
    <t>531972</t>
  </si>
  <si>
    <t>6104-3389-1527-6048</t>
  </si>
  <si>
    <t>831578</t>
  </si>
  <si>
    <t>6104-3376-1462-8947</t>
  </si>
  <si>
    <t>140105130182505501</t>
  </si>
  <si>
    <t>شبا بانک 5084</t>
  </si>
  <si>
    <t>واریز به کارت 8672</t>
  </si>
  <si>
    <t>واریز به کارت 5606</t>
  </si>
  <si>
    <t>سیزدهم</t>
  </si>
  <si>
    <t>0105130945126568</t>
  </si>
  <si>
    <t>شبا بانک 7405</t>
  </si>
  <si>
    <t>0105130948072839</t>
  </si>
  <si>
    <t>شبا بانک9008</t>
  </si>
  <si>
    <t>0105130954207642</t>
  </si>
  <si>
    <t>6037-7015-4552-3547</t>
  </si>
  <si>
    <t>061692</t>
  </si>
  <si>
    <t>واریز به حساب 0000</t>
  </si>
  <si>
    <t>123308494480</t>
  </si>
  <si>
    <t>0105131014134762</t>
  </si>
  <si>
    <t>شبا بانک 7425</t>
  </si>
  <si>
    <t>0105131018445876</t>
  </si>
  <si>
    <t>0105131027289567</t>
  </si>
  <si>
    <t>0105131031281166</t>
  </si>
  <si>
    <t>شبا بانک 1003</t>
  </si>
  <si>
    <t>0105131042381989</t>
  </si>
  <si>
    <t>شبا بانک 3580</t>
  </si>
  <si>
    <t>رضا بادرنگین نور آبادی</t>
  </si>
  <si>
    <t>شبا بانک 0440</t>
  </si>
  <si>
    <t>پیگیری 1401051301527273515</t>
  </si>
  <si>
    <t>واریز به کارت 7649</t>
  </si>
  <si>
    <t>در تاریخ 1401/05/13 واریز به حساب آقای عبداللهی</t>
  </si>
  <si>
    <t>چک اسماعیل حسینی پاس شد - سریال چک 3028905033</t>
  </si>
  <si>
    <t>مصطفی آشنایی</t>
  </si>
  <si>
    <t>شبا بانک صادرات 2005</t>
  </si>
  <si>
    <t>25 جولای</t>
  </si>
  <si>
    <t>1401/05/15</t>
  </si>
  <si>
    <t>سود مرداد</t>
  </si>
  <si>
    <t>1401/05/16</t>
  </si>
  <si>
    <t>محمد قاینی</t>
  </si>
  <si>
    <t>مبلغ 100 میلیون از پول اقای هادی جوینی اقای عبداللهی طلبکار هستند.</t>
  </si>
  <si>
    <t>ورودی مشارکت در تاریخ 1401/05/13</t>
  </si>
  <si>
    <t>ورودی مشارکت در تاریخ 1401/05/11</t>
  </si>
  <si>
    <t>ورودی مشارکت در تاریخ 1401/05/14</t>
  </si>
  <si>
    <t>سفته تحویل نگرفتند.</t>
  </si>
  <si>
    <t>مبلغ 10 میلیون تومان ورودی مشارکت در تاریخ 1401/05/14 به کارت ملت آقای عبداللهی-برای شهریور ماه 16 روز از این مبلغ محاسبه شود.</t>
  </si>
  <si>
    <t>مبلغ 192/500/000 تومان به اصل مبلغ اضافه میشود بابت چکی که دستشون داشتیم و مبلغ 26/950/000 تومان بابت دوماه کسر شود</t>
  </si>
  <si>
    <t>تاریخ چک مهرماه بوده است اما در تاریخ مرداد به اصل مبلغ اضافه شد.</t>
  </si>
  <si>
    <t>واریزی 15 شهریور</t>
  </si>
  <si>
    <t>مبلغ 288/000/000 تومان از سود مرداد ماه کبه اصل مبلغ اضافه شود - مرداد ماه تسویه شد</t>
  </si>
  <si>
    <t>چک 318/000/000 به تاربخ 1401/05/15 به آقای عبداللهی مرجوع شود.</t>
  </si>
  <si>
    <t>سود به اصل مبلغ اضافه شد.</t>
  </si>
  <si>
    <t>سود به اصل مبلغ اضافه شد - مبلغ 30 میلیون له اصل مبلغ اضافه شده است.</t>
  </si>
  <si>
    <t>برای 50 میلیون مدرک بیارن چون ما مدرک نداریم</t>
  </si>
  <si>
    <t>از 12 شهریور محاسبه میشود.</t>
  </si>
  <si>
    <t>مبلغ 30 میلیون به اصل مبلغ در تاریخ 1401/05/12 اضافه شد - از شهریور ماه محاسبه میشود</t>
  </si>
  <si>
    <t>در تاریخ 13 مرداد از طرف آقای محمد کامکار واریز شد - هشت روز کسر شود و پنجم با بقیه واریز شود.</t>
  </si>
  <si>
    <t>در تاریخ 13 مرداد واریز شد. هشت روز کسر شود و پنجم با بقیه واریز شود.</t>
  </si>
  <si>
    <t>واریزی پنجم شهریور</t>
  </si>
  <si>
    <t>1401/05/18</t>
  </si>
  <si>
    <t>بیست ونهم</t>
  </si>
  <si>
    <t>حسین بادرنگین نور آبادی</t>
  </si>
  <si>
    <t>مبلغ 3 میلیون تومان بابت سود خانم نخعی تیتوئی</t>
  </si>
  <si>
    <t>مبلغ 1/800/000 تومان بابت سود پدرشون آقای حسین بادرنگین نور آبادی</t>
  </si>
  <si>
    <t>جمعا مبلغ 29/800/000 تومان میباشد.</t>
  </si>
  <si>
    <t>عطیه درخشان فر</t>
  </si>
  <si>
    <t>حجت شادمهری</t>
  </si>
  <si>
    <t>مبلغ 5 میلیون در تاریخ 1401/05/12 و مبلغ 5 میلیون در تاریخ 1401/05/13 واریز شد - اصل مبلغ پول 30 میلیون شد .</t>
  </si>
  <si>
    <t>فاطمه علی میرزایی</t>
  </si>
  <si>
    <t>1403/06/27</t>
  </si>
  <si>
    <t>سفته 800768</t>
  </si>
  <si>
    <t>مبلغ 20/000/000 تومان در تاریخ 1401/05/18 افزایش سرمایه داشتند.</t>
  </si>
  <si>
    <t>مبلغ 3/730/000 تومان در تاریخ 1401/05/18 به اصل مبلغ اضافه شد.</t>
  </si>
  <si>
    <t>ورودی مشارکت در تاریخ 1401/05/12</t>
  </si>
  <si>
    <t>افزایش سرمایه</t>
  </si>
  <si>
    <t>مبلغ 100 میلیون تومان به ملت آقای عبداللهی در تاریخ 1401/05/13 واریز شد.</t>
  </si>
  <si>
    <t>قرار شد سود 38 میلیون 15 مرداد واریز نشود و به اصل مبلغ سرمایه اضافه شود.</t>
  </si>
  <si>
    <t>مبلغ 112 میلیون طی 12 میلیون کارت خوان و 100 میلیون امشب بعد 12 به حساب واریز میشود.</t>
  </si>
  <si>
    <t>1401/05/14</t>
  </si>
  <si>
    <t>634161</t>
  </si>
  <si>
    <t>پیگیری 0105140605425221</t>
  </si>
  <si>
    <t>مرداد ماه تسویه شد.</t>
  </si>
  <si>
    <t>0105140609085611</t>
  </si>
  <si>
    <t>585747</t>
  </si>
  <si>
    <t>شبا بانک 1141</t>
  </si>
  <si>
    <t>678081</t>
  </si>
  <si>
    <t>913246</t>
  </si>
  <si>
    <t>864304</t>
  </si>
  <si>
    <t>000007</t>
  </si>
  <si>
    <t>شبا بانک 1265</t>
  </si>
  <si>
    <t>5892-1013-8553-7614</t>
  </si>
  <si>
    <t>123339791500</t>
  </si>
  <si>
    <t>واریز به کارت 0484</t>
  </si>
  <si>
    <t>برای دو ماه تیر و مرداد واریز شد.</t>
  </si>
  <si>
    <t>وحید براتی نصری</t>
  </si>
  <si>
    <t>6104-3378-0700-4039</t>
  </si>
  <si>
    <t>مبلغ هشتصد تومان برای ماه خرداد و تیر در خردادماه واریز شد.</t>
  </si>
  <si>
    <t>706536</t>
  </si>
  <si>
    <t>597710</t>
  </si>
  <si>
    <t>بابت معرفی بوده - براشون شیرینی رو کم کم حذف کنیم</t>
  </si>
  <si>
    <t>غلامحیدر هژبر</t>
  </si>
  <si>
    <t>6037-7011-8172-4334</t>
  </si>
  <si>
    <t>000547</t>
  </si>
  <si>
    <t>0105140855481199</t>
  </si>
  <si>
    <t>123344055605</t>
  </si>
  <si>
    <t>زهرا غلامی</t>
  </si>
  <si>
    <t>6037-9979-4461-1632</t>
  </si>
  <si>
    <t>017023</t>
  </si>
  <si>
    <t>شبا بانک 9784</t>
  </si>
  <si>
    <t>پیگیری 140105150182501940</t>
  </si>
  <si>
    <t>140105150182508652</t>
  </si>
  <si>
    <t>123371743587</t>
  </si>
  <si>
    <t>واریز به کارت 7533</t>
  </si>
  <si>
    <t>25808</t>
  </si>
  <si>
    <t>امیر قربانی</t>
  </si>
  <si>
    <t>مدرک نگرفتن</t>
  </si>
  <si>
    <t>353999</t>
  </si>
  <si>
    <t xml:space="preserve">مبلغ 500 هزار تومان از شهریور ماه پرداخت شد </t>
  </si>
  <si>
    <t>061078</t>
  </si>
  <si>
    <t>955042</t>
  </si>
  <si>
    <t>442570</t>
  </si>
  <si>
    <t>957441</t>
  </si>
  <si>
    <t>928488</t>
  </si>
  <si>
    <t>112027</t>
  </si>
  <si>
    <t>0105161012215854</t>
  </si>
  <si>
    <t>123401224491</t>
  </si>
  <si>
    <t>123401366762</t>
  </si>
  <si>
    <t>1401/05/17</t>
  </si>
  <si>
    <t>پیگیری 140105170162387672</t>
  </si>
  <si>
    <t>شبا بانک 3004</t>
  </si>
  <si>
    <t>چرا واریز  شده؟؟؟؟ - سر رسید چک ماشین حسین کاشانی به مبلغ 62 میلیون تومان</t>
  </si>
  <si>
    <t>140105170162387717</t>
  </si>
  <si>
    <t>371865</t>
  </si>
  <si>
    <t>902393</t>
  </si>
  <si>
    <t>6104-3389-4758-5606</t>
  </si>
  <si>
    <t>123419285717</t>
  </si>
  <si>
    <t>واریز به کارت 2348</t>
  </si>
  <si>
    <t>123419302078</t>
  </si>
  <si>
    <t>واریز به کارت 3456</t>
  </si>
  <si>
    <t>123419309401</t>
  </si>
  <si>
    <t>123419326910</t>
  </si>
  <si>
    <t>واریز به کارت 4674</t>
  </si>
  <si>
    <t>چون تاریخ اولی 16 ام و بعدی 23 ام بود ما به تفاوت منظور شد - جمه واریزی تیر ماه : 2/475/000 تومان</t>
  </si>
  <si>
    <t>123419360166</t>
  </si>
  <si>
    <t>244150</t>
  </si>
  <si>
    <t>644879</t>
  </si>
  <si>
    <t>6063-7311-2266-8644</t>
  </si>
  <si>
    <t>0105170928287964</t>
  </si>
  <si>
    <t>شبا بانک 9001</t>
  </si>
  <si>
    <t>از مشارکت کنندگان قاسم جوینی</t>
  </si>
  <si>
    <t>140105180162415924</t>
  </si>
  <si>
    <t>958013</t>
  </si>
  <si>
    <t>6037-6976-4687-1787</t>
  </si>
  <si>
    <t>تسویه مرداد ماه</t>
  </si>
  <si>
    <t>0105181246321999</t>
  </si>
  <si>
    <t>123444835463</t>
  </si>
  <si>
    <t>واریز به کارت 5921</t>
  </si>
  <si>
    <t>0105181330167784</t>
  </si>
  <si>
    <t>شبا بانک 0574</t>
  </si>
  <si>
    <t>123446365841</t>
  </si>
  <si>
    <t>واریز به کارت 9750</t>
  </si>
  <si>
    <t>از تاریخ 16 تیر تا 5 مرداد محاسبه شد - از 5 شهریور مبلغ 2 میلیون تومان</t>
  </si>
  <si>
    <t>از شهریور ماه کم شود.</t>
  </si>
  <si>
    <t>حسیسن عطایی</t>
  </si>
  <si>
    <t>1401/05/19</t>
  </si>
  <si>
    <t>1401/08/19</t>
  </si>
  <si>
    <t>1401/05/20</t>
  </si>
  <si>
    <t>مبلغ 10 میلیون تومان در تاریخ 1401/05/20 واریز شد - اصل مبلغ 990 میلیون تومان میباشد.</t>
  </si>
  <si>
    <t>آرزو فاطمی کلوتی</t>
  </si>
  <si>
    <t>هفدهم</t>
  </si>
  <si>
    <t>659658194692</t>
  </si>
  <si>
    <t>شبا بانک 9430</t>
  </si>
  <si>
    <t>037758</t>
  </si>
  <si>
    <t>237881</t>
  </si>
  <si>
    <t>6104-3378-3233-0227</t>
  </si>
  <si>
    <t>125547</t>
  </si>
  <si>
    <t>314920</t>
  </si>
  <si>
    <t>317311</t>
  </si>
  <si>
    <t>140105180182519770</t>
  </si>
  <si>
    <t>140105180182519844</t>
  </si>
  <si>
    <t>039323</t>
  </si>
  <si>
    <t>آقای غلامی رستوران کارت کشیدند.</t>
  </si>
  <si>
    <t>شماره پیگیری 896934008</t>
  </si>
  <si>
    <t>0105181425305956</t>
  </si>
  <si>
    <t>0105181428368313</t>
  </si>
  <si>
    <t>شبا بانک 0845</t>
  </si>
  <si>
    <t>علی عزیز عربی</t>
  </si>
  <si>
    <t>1401/07/18</t>
  </si>
  <si>
    <t>چک 082869</t>
  </si>
  <si>
    <t>مبلغ 12 میلیون از مانده سود مشارکت حسینعلی کاشانی +  88 میلیون چک به شماره 206109 راسی شد.</t>
  </si>
  <si>
    <t>سفته شماره 369780</t>
  </si>
  <si>
    <t>سفته به میزان 100 میلیون تومان داده شد.</t>
  </si>
  <si>
    <t>303738</t>
  </si>
  <si>
    <t>شبا 2420</t>
  </si>
  <si>
    <t>140105190162458502</t>
  </si>
  <si>
    <t>415479</t>
  </si>
  <si>
    <t>شبا بانک 3023</t>
  </si>
  <si>
    <t>واریز به کارت امیر قربانی</t>
  </si>
  <si>
    <t>156943</t>
  </si>
  <si>
    <t>شهربانو ستونی</t>
  </si>
  <si>
    <t>واریزی از شهریور ماه</t>
  </si>
  <si>
    <t>سفته به تاریخ 1402/05/20 داده شده است.</t>
  </si>
  <si>
    <t>محمد اکبریان</t>
  </si>
  <si>
    <t>مبلغ 19 میلیون تومان ضمانت داده نشده است احتمال برداشت و یا یک چک کلی هر دو مبلغ وجود دارد.</t>
  </si>
  <si>
    <t>193105</t>
  </si>
  <si>
    <t>44975341</t>
  </si>
  <si>
    <t>689659</t>
  </si>
  <si>
    <t>مبلغ 2 میلیون تومان شیرینی آقای اکبر جلالی و آقای مردانی به مبلغ سود مردادماه اضافه شود.</t>
  </si>
  <si>
    <t>822269</t>
  </si>
  <si>
    <t>6037-6975-4722-7832</t>
  </si>
  <si>
    <t>14010520054200002070</t>
  </si>
  <si>
    <t>شبا بانک 7101</t>
  </si>
  <si>
    <t>مبلغ 50 میلیون راسی تسویه شد.</t>
  </si>
  <si>
    <t>14010520054200002125</t>
  </si>
  <si>
    <t>346968</t>
  </si>
  <si>
    <t>631006</t>
  </si>
  <si>
    <t>654606</t>
  </si>
  <si>
    <t>665040</t>
  </si>
  <si>
    <t>731304</t>
  </si>
  <si>
    <t>659663806159</t>
  </si>
  <si>
    <t>659663815114</t>
  </si>
  <si>
    <t>پیگیری 14010520054200005291</t>
  </si>
  <si>
    <t>464441</t>
  </si>
  <si>
    <t>شبا بانک 7273</t>
  </si>
  <si>
    <t>شبا بانک 9511</t>
  </si>
  <si>
    <t>شبا بانک 3026</t>
  </si>
  <si>
    <t>سود مشارکت مرداد ماه تسویه شد.</t>
  </si>
  <si>
    <t>464442</t>
  </si>
  <si>
    <t>0105201340295335</t>
  </si>
  <si>
    <t>شبا بانک 5001</t>
  </si>
  <si>
    <t>سفته تحویل گرفتند.</t>
  </si>
  <si>
    <t>مبلغ 150 میلیون در تاریخ 1401/05/04 توسط علی اقا افزایش سرمایه داشتند.</t>
  </si>
  <si>
    <t>مبلغ 50 میلیون از اصل پول تسویه میشود.</t>
  </si>
  <si>
    <t>عباس سجودی فریمانی</t>
  </si>
  <si>
    <t>سرمایه گذاری جدید - یکم شهریور 1/630/000 و یکم مهرماه 5/000/00 تومان</t>
  </si>
  <si>
    <t>علیرضا کامکاری</t>
  </si>
  <si>
    <t>سفته 253968</t>
  </si>
  <si>
    <t>1401/12/15</t>
  </si>
  <si>
    <t>واریزی اصل 37 میلیون 15 مرداد به حساب اقای عبداللهی واریز شد.</t>
  </si>
  <si>
    <t>سفته 691973</t>
  </si>
  <si>
    <t>1401/07/15</t>
  </si>
  <si>
    <t>مصطفی غلامی</t>
  </si>
  <si>
    <t>علی اصغر نیازجو</t>
  </si>
  <si>
    <t>1402/06/01</t>
  </si>
  <si>
    <t>سفته 253961</t>
  </si>
  <si>
    <t>1401/05/21</t>
  </si>
  <si>
    <t>659666400357</t>
  </si>
  <si>
    <t>واریز به کارت 8698</t>
  </si>
  <si>
    <t>14010521054200000594</t>
  </si>
  <si>
    <t>659666402926</t>
  </si>
  <si>
    <t>659666405616</t>
  </si>
  <si>
    <t>659666409659</t>
  </si>
  <si>
    <t>واریز ب کارت 2916</t>
  </si>
  <si>
    <t>493965</t>
  </si>
  <si>
    <t>مهدی عبداللهی (حمید عبداللهی )</t>
  </si>
  <si>
    <t>پیگیری 14010521054200000629</t>
  </si>
  <si>
    <t>6104-3379-1840-8657</t>
  </si>
  <si>
    <t>187617</t>
  </si>
  <si>
    <t>5047-0610-3137-0964</t>
  </si>
  <si>
    <t>بررسی شود.</t>
  </si>
  <si>
    <t>140105210182504683</t>
  </si>
  <si>
    <t>632815</t>
  </si>
  <si>
    <t>14010521054200003067</t>
  </si>
  <si>
    <t>1401/05/22</t>
  </si>
  <si>
    <t>پیگیری 140105220162559944</t>
  </si>
  <si>
    <t>شبا بانک 5970</t>
  </si>
  <si>
    <t>سفته سالانه بانو نوروزی به شماره 776336 تسویه شد.</t>
  </si>
  <si>
    <t>6277-6013-2408-7848</t>
  </si>
  <si>
    <t>659668524413</t>
  </si>
  <si>
    <t>علی اکبر نیازجو</t>
  </si>
  <si>
    <t>هفتاد و سه ماهه</t>
  </si>
  <si>
    <t>1407/06/22</t>
  </si>
  <si>
    <t>سفته 593495</t>
  </si>
  <si>
    <t>مبلغ 20 میلیون در تاریخ  1401/05/22 توسط جواد عبداللهی واریز شد.</t>
  </si>
  <si>
    <t>اصل 100 میلیون تومان تمدید شد - درصد مشارکت افزایش از 4/5 به 5 از شهریور ماه</t>
  </si>
  <si>
    <t>مرتضی خالقی</t>
  </si>
  <si>
    <t>1402/05/19</t>
  </si>
  <si>
    <t>سفته 253960</t>
  </si>
  <si>
    <t>1401/12/23</t>
  </si>
  <si>
    <t>محمدرضا خالقی</t>
  </si>
  <si>
    <t>سفته 604847</t>
  </si>
  <si>
    <t>مریم سطاان پور</t>
  </si>
  <si>
    <t>سود مرداد ماه به اصل سرمایه خانم مریم سلطان پور اضافه شد.</t>
  </si>
  <si>
    <t>سرمایه گذار جدید - اصل 30 میلیون از مشارکت اقای علی محمد صلواتی 10/500 + 2/800 نقدی جمعا 13/300-10 میلیون از عابر در تاریخ 1401/05/022 واریز شد و 6/700 از عابر در تاریخ 1401/05/23 واریز میشود</t>
  </si>
  <si>
    <t>مبلغ 42 میلیون افزایش سرمایه داشتند - از شهریور ماه محاسبه میشود.</t>
  </si>
  <si>
    <t>سفته 8 میلیونی رو آقای عبداللهی تحویل گرفتند.</t>
  </si>
  <si>
    <t>535759</t>
  </si>
  <si>
    <t>شبا بانک 8708</t>
  </si>
  <si>
    <t>به شماره حساب آقای مسعود قدیری فرد شبا شد.</t>
  </si>
  <si>
    <t>1401/05/23</t>
  </si>
  <si>
    <t>پیگیری 0105231006366875</t>
  </si>
  <si>
    <t>شبا بانک 8398</t>
  </si>
  <si>
    <t>086373</t>
  </si>
  <si>
    <t>0105231027189364</t>
  </si>
  <si>
    <t>شبا بانک 5577</t>
  </si>
  <si>
    <t>218906</t>
  </si>
  <si>
    <t>6104-3374-8551-6353</t>
  </si>
  <si>
    <t>0105231034393692</t>
  </si>
  <si>
    <t>شبا بانک 5501</t>
  </si>
  <si>
    <t>0105231216596303</t>
  </si>
  <si>
    <t>473533</t>
  </si>
  <si>
    <t>شبا بانک 1704</t>
  </si>
  <si>
    <t>بابت شرینی</t>
  </si>
  <si>
    <t>123</t>
  </si>
  <si>
    <t>ورودی مشارکت در تاریخ 1401/05/22</t>
  </si>
  <si>
    <t>ورودی مشارکت در تاریخ 1401/05/25</t>
  </si>
  <si>
    <t>1401/05/24</t>
  </si>
  <si>
    <t>123621207014</t>
  </si>
  <si>
    <t>واریز به کارت1064</t>
  </si>
  <si>
    <t>واریز به کارت مرتضی لاغری</t>
  </si>
  <si>
    <t>123624881284</t>
  </si>
  <si>
    <t>واریز به کارت 4720</t>
  </si>
  <si>
    <t>123624923437</t>
  </si>
  <si>
    <t>645269680866</t>
  </si>
  <si>
    <t>6362-1411-1137-5367</t>
  </si>
  <si>
    <t>123625448799</t>
  </si>
  <si>
    <t>530117</t>
  </si>
  <si>
    <t>123626121977</t>
  </si>
  <si>
    <t>شبا بانک 4762</t>
  </si>
  <si>
    <t>از شهریور ماه</t>
  </si>
  <si>
    <t>محمدرضا محمدی بهرود</t>
  </si>
  <si>
    <t>زینب ساری</t>
  </si>
  <si>
    <t>مشارکت جدید - مبلغ 99 میلیون واریز کردند و مابقی 151 میلیون خودشان و زینب ساری طی 24 و 25</t>
  </si>
  <si>
    <t>مشارکت جدید - به حساب افضل کامگارپور واریزی ماهیانه</t>
  </si>
  <si>
    <t>سفته مبلغ 100 میلیون تومان داده شد.</t>
  </si>
  <si>
    <t>فاطمه حسینی تهران</t>
  </si>
  <si>
    <t>فریبا وظیفه دان ( همسر آقای چهکندی )</t>
  </si>
  <si>
    <t>سود مشارکت دوم شهریور از اصل واریزی کم میکنند و بعد واریز</t>
  </si>
  <si>
    <t>صد واریزی به ملت 3430 - صد هم از صادرات آقای چهکندی - به این حساب 40 میلیون بابت یک میلیارد واریز شود.</t>
  </si>
  <si>
    <t>اصل پول 125میلیون- سفته 5 میلیون رو اقای عبداللهی گرفتند و یک سفته 25 میلیونی دادند.</t>
  </si>
  <si>
    <t>پیگیری 140105240162705953</t>
  </si>
  <si>
    <t>تسویه از شهریور ماه</t>
  </si>
  <si>
    <t>123645334197</t>
  </si>
  <si>
    <t>واریز به کارت 7022</t>
  </si>
  <si>
    <t>293811</t>
  </si>
  <si>
    <t>6104-3376-1405-1975</t>
  </si>
  <si>
    <t>140105240182502009</t>
  </si>
  <si>
    <t>شبا بانک 3068</t>
  </si>
  <si>
    <t>140105240162713141</t>
  </si>
  <si>
    <t>140105240182508095</t>
  </si>
  <si>
    <t>140105240182515501</t>
  </si>
  <si>
    <t>شبا بانک 0081</t>
  </si>
  <si>
    <t>140105240182528187</t>
  </si>
  <si>
    <t>14010524018252846</t>
  </si>
  <si>
    <t>140105240182531566</t>
  </si>
  <si>
    <t>140105240182531613</t>
  </si>
  <si>
    <t>شبا بانک 0496</t>
  </si>
  <si>
    <t>912438</t>
  </si>
  <si>
    <t>علی عطایی</t>
  </si>
  <si>
    <t>سفته 480436</t>
  </si>
  <si>
    <t>اصل 150 واریزی 27 سه ماهه نرخ 60</t>
  </si>
  <si>
    <t>1401/05/25</t>
  </si>
  <si>
    <t>6280-2313-7700-6746</t>
  </si>
  <si>
    <t>926517</t>
  </si>
  <si>
    <t>190998</t>
  </si>
  <si>
    <t>6037-9982-0667-4607</t>
  </si>
  <si>
    <t>701192</t>
  </si>
  <si>
    <t>شبا بانک 9776</t>
  </si>
  <si>
    <t>0105250708458067</t>
  </si>
  <si>
    <t>درصد از مرداد ماه افزایش یافت.</t>
  </si>
  <si>
    <t>پیگیری 0105250716393698</t>
  </si>
  <si>
    <t>مبلغ 200 میلیون چک 19 مرداد پاس شد.</t>
  </si>
  <si>
    <t>شبا بانک 4551</t>
  </si>
  <si>
    <t>پیگیری 14010525054200488890</t>
  </si>
  <si>
    <t>مبلغ جدید از شهریور ماه</t>
  </si>
  <si>
    <t>مبلغ 158 میلیون تومان از اصل پول پرداخت شود + سود مردادماه 16 میلیون تومان</t>
  </si>
  <si>
    <t>6277-6013-0484-5231</t>
  </si>
  <si>
    <t>پیگیری 096071</t>
  </si>
  <si>
    <t>344053</t>
  </si>
  <si>
    <t>782358</t>
  </si>
  <si>
    <t>شبا بانک 5555</t>
  </si>
  <si>
    <t>6280-2314-7654-8564</t>
  </si>
  <si>
    <t>در تاریخ 1401/05/26 مبلغ 110 میلیون تومان افزایش سرمایه داشتند - از شهریور ماه محاسبه خواهد شد</t>
  </si>
  <si>
    <t>سود شهریور ماه</t>
  </si>
  <si>
    <t>از تاریخ 27 مرداد تا 6 شهریور مدت 10 روز محاسبه گردد - شهریور ماه 3/650/000</t>
  </si>
  <si>
    <t>تا تاریخ 6 شهریور مبلغ 8/650/000 تومان و از تاریخ 6 مهر16 میلیون است.</t>
  </si>
  <si>
    <t>1401/05/27</t>
  </si>
  <si>
    <t>هادی ایرج زاد</t>
  </si>
  <si>
    <t>بیست و یکم</t>
  </si>
  <si>
    <t>مشارکت جدید</t>
  </si>
  <si>
    <t>محمدرضا حسین زاده پوستچی</t>
  </si>
  <si>
    <t>سی و یکم</t>
  </si>
  <si>
    <t>از بانک صادرات آقای عبداللهی همسرشون برداشت کردند.</t>
  </si>
  <si>
    <t>لیلا باقری</t>
  </si>
  <si>
    <t>140105250162824229</t>
  </si>
  <si>
    <t>شبا بانک 0429</t>
  </si>
  <si>
    <t>جواد حشمتی</t>
  </si>
  <si>
    <t>پیگیری0105252001523483</t>
  </si>
  <si>
    <t>شبا بانک 8133</t>
  </si>
  <si>
    <t>1401/05/26</t>
  </si>
  <si>
    <t>937407</t>
  </si>
  <si>
    <t>فاطمه حسینی ( خانم مرتضی نیازجو )</t>
  </si>
  <si>
    <t>تسویه چک راسی سالانه - چک رو باید برگردونه بهمون</t>
  </si>
  <si>
    <t>0105260626551596</t>
  </si>
  <si>
    <t>واریز به کارت 1886</t>
  </si>
  <si>
    <t>123720496115</t>
  </si>
  <si>
    <t>واریز به کارت 9430</t>
  </si>
  <si>
    <t>123720526610</t>
  </si>
  <si>
    <t>شبا بانک 7120</t>
  </si>
  <si>
    <t>سود 150 میلیون از 4 مرداد تا 19 مرداد</t>
  </si>
  <si>
    <t>6037-7011-8952-5147</t>
  </si>
  <si>
    <t>140105260162864513</t>
  </si>
  <si>
    <t>778518</t>
  </si>
  <si>
    <t>0105261446470178</t>
  </si>
  <si>
    <t>واریز به حساب 2005</t>
  </si>
  <si>
    <t>589475</t>
  </si>
  <si>
    <t>6037-9974-8547-4762</t>
  </si>
  <si>
    <t>بست و دوم</t>
  </si>
  <si>
    <t>5894-6318-2807-5184</t>
  </si>
  <si>
    <t>123734850410</t>
  </si>
  <si>
    <t>299788</t>
  </si>
  <si>
    <t>304226</t>
  </si>
  <si>
    <t>140105260162887855</t>
  </si>
  <si>
    <t>140105260162888165</t>
  </si>
  <si>
    <t>شبا بانک 8772</t>
  </si>
  <si>
    <t>780315</t>
  </si>
  <si>
    <t>140105260182601338</t>
  </si>
  <si>
    <t>845825</t>
  </si>
  <si>
    <t>140105260182601986</t>
  </si>
  <si>
    <t>محمد حسین غفوریان</t>
  </si>
  <si>
    <t>مبلغ 9/800/000 تومان در تاریخ 1401/05/26 واریز کردند - فکر کنم راسی شد</t>
  </si>
  <si>
    <t>1404/07/26</t>
  </si>
  <si>
    <t>سفته 371531</t>
  </si>
  <si>
    <t>484169</t>
  </si>
  <si>
    <t>مبلغ سود مرداد ماه به اصل مبلغ اضافه شد.</t>
  </si>
  <si>
    <t>مبلغ 25 میلیون در تاریخ 1401/05/26 افزایش سرمایه دادند - 16 میلیون طی کارت به کارت و 9 میلیون سود 26 مرداد ماه</t>
  </si>
  <si>
    <t>یحیی غضنفری ( برادر سمیه غضنفری )</t>
  </si>
  <si>
    <t>مشارکت جدید در تاریخ 1401/05/26 - امکان برداشت وجه در هر لحظه وجود دارد.</t>
  </si>
  <si>
    <t>6037-6976-3874-4620</t>
  </si>
  <si>
    <t>140105270162912942</t>
  </si>
  <si>
    <t>123763843771</t>
  </si>
  <si>
    <t>واریز به کارت 8836</t>
  </si>
  <si>
    <t>123764671892</t>
  </si>
  <si>
    <t>123765149345</t>
  </si>
  <si>
    <t>از مرداد ماه پرداخت میشود - سود تیرماه به اصل پول اضافه شد + 18 میلون فیش واریزی</t>
  </si>
  <si>
    <t>274307</t>
  </si>
  <si>
    <t xml:space="preserve">تسویه </t>
  </si>
  <si>
    <t>140105270162938701</t>
  </si>
  <si>
    <t>141/05/27</t>
  </si>
  <si>
    <t>123765958296</t>
  </si>
  <si>
    <t>واریز به کارت 1322</t>
  </si>
  <si>
    <t>تسویه تیر ماه - واریز به کارت  همسرشون جواد عبداللهی</t>
  </si>
  <si>
    <t>812690</t>
  </si>
  <si>
    <t>ورودی مشارکت در تاریخ 1401/05/27</t>
  </si>
  <si>
    <t>تیرماه تسویه شد - مبلغ صد میلیون به اصل پول اضافه شد و مبلغ جدید 750 میلیون تومان است.</t>
  </si>
  <si>
    <t>دهم شهریور 28270 - دهم مهر 70 - سفته 200 میلیونی و چک 800 میلیون تحویل شد.</t>
  </si>
  <si>
    <t>1401/11/27</t>
  </si>
  <si>
    <t>سفته 210209</t>
  </si>
  <si>
    <t>1401/05/28</t>
  </si>
  <si>
    <t>123790874861</t>
  </si>
  <si>
    <t>تسویه زودتر سود مشارکت</t>
  </si>
  <si>
    <t>14010528054200000597</t>
  </si>
  <si>
    <t>شبا بانک 0930</t>
  </si>
  <si>
    <t>140105280162961381</t>
  </si>
  <si>
    <t>بدهکار از شهریور</t>
  </si>
  <si>
    <t>منصوره ابراهیمی</t>
  </si>
  <si>
    <t>مشارکت جدید - مبلغ 15 میلیون از اصل واریز شده مانده 10 میلیون تا یک هفته آینده واریز میکنند.</t>
  </si>
  <si>
    <t>123810658114</t>
  </si>
  <si>
    <t>حسن زینلی</t>
  </si>
  <si>
    <t>واریز به کارت 4967</t>
  </si>
  <si>
    <t>1401/05/29</t>
  </si>
  <si>
    <t>321911</t>
  </si>
  <si>
    <t>اصل مبلغ 150 میزان مشارکت ماهانه 7500 - واریزی 20 شهریور پرداخت شده است - واریزی 20 مهر 4 میلیون - واریزی 20 آبان به بعد 7500</t>
  </si>
  <si>
    <t>مبلغ 30 میلیون اولیه + 110 میلیون 25 مرداد + 10 میلیون از مشارکت های شهریور و 3500 از مهر جمعا اصل شد 150</t>
  </si>
  <si>
    <t>بستم</t>
  </si>
  <si>
    <t>مبلغ 13/000/000 میلیون رستوران کارت کشیدند -تاریخ اعلام نکردن</t>
  </si>
  <si>
    <t>تسویه شد</t>
  </si>
  <si>
    <t>1401/05/31</t>
  </si>
  <si>
    <t>140105310182504452</t>
  </si>
  <si>
    <t>کل مبلغ 60 میلیون تسویه کامل شد - سفته ها تحویل آقای عبداللهی شد.</t>
  </si>
  <si>
    <t>خدیجه رحمانی تبار</t>
  </si>
  <si>
    <t>مبلغ 10 ملیون در تاریخ 1401/05/30 و مبلغ 10 میلیون در تاریخ 1401/05/29 واریز شد.</t>
  </si>
  <si>
    <t>ورودی مشارکت در تاریخ 1401/05/30</t>
  </si>
  <si>
    <t>از شهریور ماه 2 میلیون کسر شود چون در مرداد بیشتر واریز شده است.</t>
  </si>
  <si>
    <t>در تاریخ 1401/05/05 واریز شد - از شهریور ماه محاسبه خواهد شد</t>
  </si>
  <si>
    <t>1400/5/20</t>
  </si>
  <si>
    <t>سفته نداشتند</t>
  </si>
  <si>
    <t>مبلغ شهریور ماه</t>
  </si>
  <si>
    <t>مبلغ مشارکت جدید</t>
  </si>
  <si>
    <t>در تاریخ 1401/05/31 مبلغ 5/000/000 واریز کردند</t>
  </si>
  <si>
    <t>مبلغ 74/500/000 در تاریخ 1401.05.23 واریز کردند - سود شهریور ماه کسر شد - شهریور ماه تسویه</t>
  </si>
  <si>
    <t>سود مشارکت توافق شده + 1/200/000 بابت شیرینی هادی ایرج زاد - جمع مبلغ واریزی : 30/200/000</t>
  </si>
  <si>
    <t>123830427911</t>
  </si>
  <si>
    <t>123830558570</t>
  </si>
  <si>
    <t>سود اول مرداد</t>
  </si>
  <si>
    <t>سود اول شهریور</t>
  </si>
  <si>
    <t>بیست و نهم</t>
  </si>
  <si>
    <t>مجتبی نوشادی فر</t>
  </si>
  <si>
    <t>اصل مبلغ قرار شد یکم شهریور به حساب واریز شود.</t>
  </si>
  <si>
    <t>1401/05/30</t>
  </si>
  <si>
    <t>123853370869</t>
  </si>
  <si>
    <t>641010</t>
  </si>
  <si>
    <t>6104-3373-3697-5998</t>
  </si>
  <si>
    <t>648943</t>
  </si>
  <si>
    <t>شبا بانک 2006</t>
  </si>
  <si>
    <t>حمید رضا سعادت خواه</t>
  </si>
  <si>
    <t>123866592494</t>
  </si>
  <si>
    <t>واریز به کارت 4159</t>
  </si>
  <si>
    <t>مبلغ 30 میلیون تومان در تاریخ 1401/05/30 افزایش سرمایه دادند.</t>
  </si>
  <si>
    <t>مبلغ 10 میلیون در تاریخ 1401/05/30 افزایش سرمایه داشتند.</t>
  </si>
  <si>
    <t>140105310182502144</t>
  </si>
  <si>
    <t>تسویه شهریور ماه</t>
  </si>
  <si>
    <t>123894058713</t>
  </si>
  <si>
    <t>123894089894</t>
  </si>
  <si>
    <t>واریز به کارت 3700</t>
  </si>
  <si>
    <t>140105310182512404</t>
  </si>
  <si>
    <t>اصل مبلغ با کسر سود تسویه شد.</t>
  </si>
  <si>
    <t>شبا بانک 8037</t>
  </si>
  <si>
    <t>مبلغ سود از شهریور ماه 5/450/000 تومان</t>
  </si>
  <si>
    <t>شبا بانک 7085</t>
  </si>
  <si>
    <t>تسویه مرداد ماه - مبلغ 4/800/000 + بیست روز از مبلغ 13/000/000 میلیون که 435/000 تومان شد</t>
  </si>
  <si>
    <t>661122417765</t>
  </si>
  <si>
    <t>واریز به کارت 5311</t>
  </si>
  <si>
    <t>تسویه مرداد ماه - مبلغ 1/250/000 +15 روز از مبلغ 100/000/000 میلیون که 2/500/000 تومان شد</t>
  </si>
  <si>
    <t>مبلغ 10/000/000 میلیون بابت قرض هر ماه از سود ماهیانه کسر شود - مانده واریزی هرماه : 38/000/000 تومان</t>
  </si>
  <si>
    <t>140105310182523877</t>
  </si>
  <si>
    <t>14010531054200516661</t>
  </si>
  <si>
    <t>123908849196</t>
  </si>
  <si>
    <t>تاریخ 1401/05/31 مبلغ 38/800/000 واریز شد - مبلغ 1/200/000 بابت سود از1 شهریور تا 15 شهریور کسر شد - واریزی بعدی مهرماه</t>
  </si>
  <si>
    <t>مبلغ 9/800/000 تومان تاربخ 1401/05/31 واریز کردند + سود مشارکت یکم شهریور به مبلغ 5/200/000 به اصل سود اضافه شد</t>
  </si>
  <si>
    <t>123913446348</t>
  </si>
  <si>
    <t>واریز به کارت 9316</t>
  </si>
  <si>
    <t xml:space="preserve">مهدی حسینی </t>
  </si>
  <si>
    <t>هشت ماهه</t>
  </si>
  <si>
    <t>1402//02/03</t>
  </si>
  <si>
    <t>چک ملت 1675/792540/62</t>
  </si>
  <si>
    <t>1401/06/01</t>
  </si>
  <si>
    <t>678175</t>
  </si>
  <si>
    <t>464421</t>
  </si>
  <si>
    <t>464422</t>
  </si>
  <si>
    <t>شبا بانک 0927</t>
  </si>
  <si>
    <t>464420</t>
  </si>
  <si>
    <t>464425</t>
  </si>
  <si>
    <t>محمد حسین قربانی</t>
  </si>
  <si>
    <t>فائزه نیازجو ( جواد عبداللهی )</t>
  </si>
  <si>
    <t>واریزی شهریور ماه پرداخت شده است - واریزی بعدی یکم مهر</t>
  </si>
  <si>
    <t>سفته تحویل نگرفتند - مبلغ 10 میلیون تومان ورودی مشارکت در تاریخ 1401/05/14 به کارت ملت آقای عبداللهی-برای شهریور ماه 16 روز از این مبلغ محاسبه شود.</t>
  </si>
  <si>
    <t>شهریور ماه تسویه شد.</t>
  </si>
  <si>
    <t>از یک شهریور ماه تا یکم آذر ماه هرماه مبلغ صد میلیون از سود کسر شود و به اصل پول اضافه شود و مانده سود واریز شود.</t>
  </si>
  <si>
    <t>مبلغ صد میلیون از سود مشارکت شهریور ماه به اصل مبلغ اضافه شد - اصل مبلغ برای یکم مهر 1/700/000 تومان</t>
  </si>
  <si>
    <t>مبلغ 20 میلیون در تاریخ 5 و 6 مرداد افزایش سرمایه داشتند از شهریور ماه مبلغ 37 میلیون محاسبه خواهد شد - سفته تحویل گرفتند.</t>
  </si>
  <si>
    <t>واریزی بعدی یک مهر</t>
  </si>
  <si>
    <t>مبلغ 14/500/000 از سود شهرور ماه در مرداد پرداخت شد و مانده سود شهریور 10/000/000 تومان میباشد.</t>
  </si>
  <si>
    <t>توضیحات در شیت خصوصی-سود مهر ماه</t>
  </si>
  <si>
    <t>مبلغ 25/000/000 در تاریخ 28 مرداد واریز شد تسویه زودتر سود مشارکت</t>
  </si>
  <si>
    <t>از 12 شهریور محاسبه میشود - سفته به میزان 100 میلیون تومان داده شد.</t>
  </si>
  <si>
    <t>مبلغ 11/100/000 تومان از شهریور ماه کم شود چون در مرداد پرداخت شده است.</t>
  </si>
  <si>
    <t>از شهریور ماه اضافه میشود - جمع واریزی شهریور ماه 44/900/000 میباشد.</t>
  </si>
  <si>
    <t>از مهرماه محاسبه میشود.</t>
  </si>
  <si>
    <t>مبالغ شهریور ماه</t>
  </si>
  <si>
    <t>مبلغ 42 میلیون افزایش سرمایه داشتند - از شهریور ماه محاسبه میشود - سفته 8 میلیونی رو آقای عبداللهی تحویل گرفتند.</t>
  </si>
  <si>
    <t>واریزی شهریور ماه - مبلغ 3/730/000 تومان در تاریخ 1401/05/18 به اصل مبلغ اضافه شد.</t>
  </si>
  <si>
    <t>واریزی بعدی 14 مهر</t>
  </si>
  <si>
    <t>در تاریخ 1401/05/31 مبلغ 5/000/000 واریز کردند - اصل مبلغ 15 میلیون و اولین واریزی یکم مهر</t>
  </si>
  <si>
    <t>مبلغ 16 میلیون از شهریور ماه در مرداد تسویه شد.</t>
  </si>
  <si>
    <t>نوزدهم</t>
  </si>
  <si>
    <t>مبلغ 3/650/000 از سود شهریور ماه در مرداد پرداخت شد - مانده سود شهریور ماه : 5000/000 تومان</t>
  </si>
  <si>
    <t>اولین واریزی سوم شهریور ماه - سفته 150 میلیون تومان داده شد.</t>
  </si>
  <si>
    <t>واریزی از شهریور ماه - سفته به تاریخ 1402/05/20 داده شده است.</t>
  </si>
  <si>
    <t>جمع تا اول شهریور ماه :</t>
  </si>
  <si>
    <t>یعقوب یعقوبی استند</t>
  </si>
  <si>
    <t>به اصل سرمایه اضافه شد.</t>
  </si>
  <si>
    <t>مبلغ 3 میلیون از سود به اصل مبلغ اضافه شد و اصل مبلغ 108/000/000 تومان شد.</t>
  </si>
  <si>
    <t>مبلغ 2/400/000 واریز شود و کمبلغ 3 میلیون به اصل مبلغ اضافه شود - اصل مبلغ برای اول مهر ماه 111 میلیون میباشد.</t>
  </si>
  <si>
    <t>1401/056/01</t>
  </si>
  <si>
    <t>شبا بانک 3263</t>
  </si>
  <si>
    <t>شبا بانک 5290</t>
  </si>
  <si>
    <t>واریز به کارت 1840</t>
  </si>
  <si>
    <t>شبا 5984</t>
  </si>
  <si>
    <t>شبا بانک 4974</t>
  </si>
  <si>
    <t>شبا بانک 7525</t>
  </si>
  <si>
    <t>واریز به کارت 2266</t>
  </si>
  <si>
    <t>شبا بانک 9764</t>
  </si>
  <si>
    <t>شبا بانک 6006</t>
  </si>
  <si>
    <t>شبا بانک 1942</t>
  </si>
  <si>
    <t>واریز به کارت 9530</t>
  </si>
  <si>
    <t>شبا بانک 4586</t>
  </si>
  <si>
    <t>شبا بانک 2692</t>
  </si>
  <si>
    <t>شبا بانک 0811</t>
  </si>
  <si>
    <t>واریز به کارت حدیثه رازی</t>
  </si>
  <si>
    <t>مبلغ 30 میلیون تومان در تاریخ 1401/06/02 اضافه شد.</t>
  </si>
  <si>
    <t>مبلغ 60 میلیون در تاریخ 1401/06/02 اضافه شد.</t>
  </si>
  <si>
    <t>1401/06/03</t>
  </si>
  <si>
    <t>واریز به کارت 8076</t>
  </si>
  <si>
    <t>واریز به کارت 3706</t>
  </si>
  <si>
    <t>واریز به کارت 4492</t>
  </si>
  <si>
    <t>1401/06/04</t>
  </si>
  <si>
    <t>واریز به کارت 5870</t>
  </si>
  <si>
    <t>رامی ( واریزی به ساریه بیسوده )</t>
  </si>
  <si>
    <t>سعید بالا ولایت تحولی</t>
  </si>
  <si>
    <t>واریز به کارت 5218</t>
  </si>
  <si>
    <t>واریز به کارت 5001</t>
  </si>
  <si>
    <t>1401/06/05</t>
  </si>
  <si>
    <t>تسویه از اصل پول</t>
  </si>
  <si>
    <t>شبا بانک 5539</t>
  </si>
  <si>
    <t>6037-6975-8775-4430</t>
  </si>
  <si>
    <t>شبا بانک 8910</t>
  </si>
  <si>
    <t>واریز به کارت 0133</t>
  </si>
  <si>
    <t>واریز به کارت 7080</t>
  </si>
  <si>
    <t>1401/06/06</t>
  </si>
  <si>
    <t>شماره شبا 2688</t>
  </si>
  <si>
    <t>شبا بانک 5949</t>
  </si>
  <si>
    <t>5859-8311-8776-6620</t>
  </si>
  <si>
    <t>واریز به کارت 6161</t>
  </si>
  <si>
    <t>فکر کنم واریزی مرداد ماه</t>
  </si>
  <si>
    <t>1401/06/07</t>
  </si>
  <si>
    <t>شبا بانک 2009</t>
  </si>
  <si>
    <t>مبلغ 500 میلیون دوم برای برای 23 روز محاسبه شد مبلغ 24/916/000 تومان شد.</t>
  </si>
  <si>
    <t>واریز به کارت 7296</t>
  </si>
  <si>
    <t>مبلغ 60 میلیون از اصل پول تسویه شد.</t>
  </si>
  <si>
    <t>مبلغ جدید از مهر ماه</t>
  </si>
  <si>
    <t>مهدی مولوی زاده یزدی</t>
  </si>
  <si>
    <t>واریز به کارت 0055</t>
  </si>
  <si>
    <t>برای 18 روز محاسبه شد.</t>
  </si>
  <si>
    <t>واریز به کارت 2003</t>
  </si>
  <si>
    <t>مبلغ 10 میلیون تومان در تاریخ هفتم شهریور اضافه و اصل مبلغ 30 تومان شد.</t>
  </si>
  <si>
    <t>در تاریخ هفتم شهریور مبلغ 60 میلیون تومان افزایش سرمایه دادند و اصل مبلغ 360  تومان شد.</t>
  </si>
  <si>
    <t>در تاریخ 6 شهریور مبلغ 30 میلیون تومان افزایش سرمایه دادند و اصل مبلغ 85 میلیون تومان شد.</t>
  </si>
  <si>
    <t>مبلغ 70 میلیون در تاریخ هفتم شهریور اضافه شد و اصل میلغ 1/916/000/000 شد.</t>
  </si>
  <si>
    <t>برای 25 شهریور ماه 138440 و برای 25 مهرماه 140680</t>
  </si>
  <si>
    <t>رضا حسینی پور</t>
  </si>
  <si>
    <t>در تاریخ 1401/06/08 مشارکت شد.</t>
  </si>
  <si>
    <t>مبلغ 52 میلیون در تاریخ هفتم شهریور اضافه شد - مبلغ توسط کارت هر روز برداشت شود.</t>
  </si>
  <si>
    <t>مبلغ 35 میلیون در تاریخ 6 شهریور به اصل مبلغ اضافه شد - از حساب های علی آقا کسر شود.</t>
  </si>
  <si>
    <t>مصطفی خدادوست</t>
  </si>
  <si>
    <t>سمیه خورا</t>
  </si>
  <si>
    <t>سفته 371534</t>
  </si>
  <si>
    <t>علیرضا محمدنیا</t>
  </si>
  <si>
    <t>1401/06/08</t>
  </si>
  <si>
    <t xml:space="preserve">واریز به کارت 9109 </t>
  </si>
  <si>
    <t>واریز به کارت 1091</t>
  </si>
  <si>
    <t>شبا بانک 2621</t>
  </si>
  <si>
    <t>واریز به کارت 9565</t>
  </si>
  <si>
    <t>شبا بانک 9057</t>
  </si>
  <si>
    <t>شبا بانک 3003</t>
  </si>
  <si>
    <t>شبا بانک 0531</t>
  </si>
  <si>
    <t>از اصل پول 386 میلیون تسویه شد.</t>
  </si>
  <si>
    <t>مبلغ 150 میلیون ماشین از 500 میلیون تسویه شود-50 تومن تیر تسویه شد و 64 میلیون در مرداد و 36 میلیون در شهریور تسویه میشود.</t>
  </si>
  <si>
    <t>واریز به کارت 5235</t>
  </si>
  <si>
    <t>مبلغ 100 میلیون از اصل پول 150 میلیون تسوشه شد و مانده اصل 50 میلیون شد.</t>
  </si>
  <si>
    <t>اصل مانده</t>
  </si>
  <si>
    <t>در کل مبلغ 165 میلیون اضافه شد و اصل مبلغ 700 میلیون شد - از سود دوم مهر 15 پرداخت شد.</t>
  </si>
  <si>
    <t>شبا شماره 9785</t>
  </si>
  <si>
    <t>واریزی بعدی 14 مهر ماه</t>
  </si>
  <si>
    <t xml:space="preserve">مبلغ 40 میلیون اضافه شد اصل 105 شد و واریزی 14 شهریور انجام شد ازکم کردن 40 میلیون </t>
  </si>
  <si>
    <t>علی تیاوری</t>
  </si>
  <si>
    <t>6277-6013-0290-3768</t>
  </si>
  <si>
    <t>مرتضی شاه پسند</t>
  </si>
  <si>
    <t>هشتم</t>
  </si>
  <si>
    <t>مشارکت جدید در تاریخ 1401/06/08</t>
  </si>
  <si>
    <t>1401/06/09</t>
  </si>
  <si>
    <t>5894-6311-1336-1125</t>
  </si>
  <si>
    <t>6277-6012-9409-7447</t>
  </si>
  <si>
    <t>مبلغ 5 میلیون در تاریخ 1401/05/12 و مبلغ 5 میلیون در تاریخ 1401/05/13 واریز شد و مبلغ 5 میلیون در تاریخ 1401/05/22 واریز شد - اصل مبلغ پول 35 میلیون شد .</t>
  </si>
  <si>
    <t>گل افروز کامگار</t>
  </si>
  <si>
    <t>6037-9917-8265-8144</t>
  </si>
  <si>
    <t>شبا بانک 80003</t>
  </si>
  <si>
    <t>شبا بانک 0178</t>
  </si>
  <si>
    <t>شبا بانک 5594</t>
  </si>
  <si>
    <t>واریز به کارت 7309</t>
  </si>
  <si>
    <t>توسط علی آقا واریز شد.</t>
  </si>
  <si>
    <t>1401/06/</t>
  </si>
  <si>
    <t>توسط علی آقا پرداخت شد.</t>
  </si>
  <si>
    <t>مبلغ 100 میلیون از اصل پول تسویه شود.</t>
  </si>
  <si>
    <t>1401/06/02</t>
  </si>
  <si>
    <t>شبا بانک 1681</t>
  </si>
  <si>
    <t>شبا بانک 1280</t>
  </si>
  <si>
    <t>بابت یورو</t>
  </si>
  <si>
    <t>شبا بانک 7001</t>
  </si>
  <si>
    <t>واریز به کارت فاطمه علی محمدی</t>
  </si>
  <si>
    <t>شبا بانک 8043</t>
  </si>
  <si>
    <t>مبلغ 6 میلیون قرضی دادیم</t>
  </si>
  <si>
    <t>افزایش سرمایه داشنتند اطلاعات را باید به روز کنیم.</t>
  </si>
  <si>
    <t>1401/06/28</t>
  </si>
  <si>
    <t>چک صادرات</t>
  </si>
  <si>
    <t>بهناز ذبیحی</t>
  </si>
  <si>
    <t>واریز به کارت 8710</t>
  </si>
  <si>
    <t>سود مشارکت تیر و مرداد ماه به اصل مبلغ اضافه شود.</t>
  </si>
  <si>
    <t>سود مشارکت شهریورماه</t>
  </si>
  <si>
    <t>واریز به کارت 0655</t>
  </si>
  <si>
    <t>فاطمه خدادادی ( ابوالفضل آخوندی )</t>
  </si>
  <si>
    <t>واریز به حساب 1003</t>
  </si>
  <si>
    <t>6037-9975-6347-8461</t>
  </si>
  <si>
    <t>شبا بانک 0000</t>
  </si>
  <si>
    <t>شبا بانک 6203</t>
  </si>
  <si>
    <t>شبابانک 8804</t>
  </si>
  <si>
    <t>شبا بانک 3000</t>
  </si>
  <si>
    <t>از 5 شهریور مبلغ 2 میلیون تومان</t>
  </si>
  <si>
    <t>واریز به کارت خانم طاهره کامکاری - یک درصد از این مبلغ برای خود خانم طاهره کامکاری میباشد.</t>
  </si>
  <si>
    <t>تمامی مبالغ تا تاریخ دهم محاسبه شد و مجموع واریزی شهریور ماه 9 میلیون و از مهر ماه کامل میباشد.</t>
  </si>
  <si>
    <t>شبا بانک 6831</t>
  </si>
  <si>
    <t>شبا بانک 4004</t>
  </si>
  <si>
    <t>6104-3389-4781-3941</t>
  </si>
  <si>
    <t>شبا بانک1742</t>
  </si>
  <si>
    <t>140106/03</t>
  </si>
  <si>
    <t>شبا بانک 7006</t>
  </si>
  <si>
    <t>شبا بانک 4357</t>
  </si>
  <si>
    <t>معصومه ریگی</t>
  </si>
  <si>
    <t>1401/06/10</t>
  </si>
  <si>
    <t>شبا بانک 4295</t>
  </si>
  <si>
    <t>6104-3374-0499-4004</t>
  </si>
  <si>
    <t>ام البنین میرکی قرائی</t>
  </si>
  <si>
    <t>6037-7014-3681-0284</t>
  </si>
  <si>
    <t>6273-8111-7452-9047</t>
  </si>
  <si>
    <t>شبا بانک 8604</t>
  </si>
  <si>
    <t>واریز به کارت 9353</t>
  </si>
  <si>
    <t>واریز به کارت 6756</t>
  </si>
  <si>
    <t>حسین نظام دوست</t>
  </si>
  <si>
    <t>چک بانک کشاورزی 595471</t>
  </si>
  <si>
    <t>1406/09/28</t>
  </si>
  <si>
    <t>1404/06/10</t>
  </si>
  <si>
    <t>سفته 180946</t>
  </si>
  <si>
    <t>سه ماهه - تاریخ سفته 1401/09/03</t>
  </si>
  <si>
    <t>شبا بانک 8384</t>
  </si>
  <si>
    <t>1401/06/11</t>
  </si>
  <si>
    <t>6104-3375-3318-5029</t>
  </si>
  <si>
    <t>هر  شش ماه دو میلیون واریز میشود.</t>
  </si>
  <si>
    <t xml:space="preserve">برای سه ماه ( 3*700=2100 ) + سه ماه ( 3 * 350 = 1/050/000) جمعا 3/150/000 تومان - </t>
  </si>
  <si>
    <t>برای یک ماه ( 1 * 350 = 350 )</t>
  </si>
  <si>
    <t>تسویه سفته سالانه</t>
  </si>
  <si>
    <t>شبا بانک 1056</t>
  </si>
  <si>
    <t>زهرا فخری</t>
  </si>
  <si>
    <t>6037-6975-7125-1443</t>
  </si>
  <si>
    <t>6062-5610-1931-5962</t>
  </si>
  <si>
    <t>منصوره سهیلی فرد</t>
  </si>
  <si>
    <t>مرضیه احمدی ( نیک پی )</t>
  </si>
  <si>
    <t>1401/06/12</t>
  </si>
  <si>
    <t>شبا بانک 6814</t>
  </si>
  <si>
    <t>واریز به کارت 5518</t>
  </si>
  <si>
    <t>واریز به کارت 5097</t>
  </si>
  <si>
    <t>تسویه دو ماه مهر و آبان</t>
  </si>
  <si>
    <t>6037-9919-2513-6255</t>
  </si>
  <si>
    <t>واریز به حساب 5000</t>
  </si>
  <si>
    <t>مرداد ماه مبلغ 200 هزار تومان بیشتر واریز شده است.</t>
  </si>
  <si>
    <t>عصمت نیازجو ( همسر حمید غضنفری )</t>
  </si>
  <si>
    <t>6037-9979-4050-1571</t>
  </si>
  <si>
    <t>نیاز به بررسی</t>
  </si>
  <si>
    <t>واریز به کارت 9528</t>
  </si>
  <si>
    <t>6037-9975-6289-2654</t>
  </si>
  <si>
    <t>واریز به کارت 3655</t>
  </si>
  <si>
    <t>مبلغ 1/600/000 تومان از سود به 8/400/000 واریزی اضافه شد و اصل مبلغ 60 میلیون شد.</t>
  </si>
  <si>
    <t>واریز به کارت 8013</t>
  </si>
  <si>
    <t>واریز به کارت 3547</t>
  </si>
  <si>
    <t>واریز به کارت 9663</t>
  </si>
  <si>
    <t>شبا بانک 1363</t>
  </si>
  <si>
    <t>واریز به کارت طیبه غلامعلی زاده عباس آبادی</t>
  </si>
  <si>
    <t>شبا بانک 1888</t>
  </si>
  <si>
    <t>شبا بانک 3082</t>
  </si>
  <si>
    <t>بهناز ذبیحی (شمسی میرکی)</t>
  </si>
  <si>
    <t>شبا بانک 6393</t>
  </si>
  <si>
    <t>واریز به حساب 6007</t>
  </si>
  <si>
    <t>1401/06/13</t>
  </si>
  <si>
    <t>واریز به کارت 9476</t>
  </si>
  <si>
    <t>مبلغ 10 میلیون تومان در تاریخ یازده شهریور اضافه شد.</t>
  </si>
  <si>
    <t>مبلغ 10 میلیون تومان در تاریخ سیزده شهریور اضافه شد.</t>
  </si>
  <si>
    <t>مبلغ 10 میلیون تومان در تاریخ چهارده شهریور اضافه شد.</t>
  </si>
  <si>
    <t>مبلغ 10 میلیون تومان در تاریخ پانزده شهریور اضافه شد.</t>
  </si>
  <si>
    <t>واریزی از شهریورماه</t>
  </si>
  <si>
    <t>حسین کاشانی</t>
  </si>
  <si>
    <t>16 تیرماه 57 تومت=ن - 16 مرداد 62</t>
  </si>
  <si>
    <t>خانم شکوری</t>
  </si>
  <si>
    <t>1402/06/13</t>
  </si>
  <si>
    <t>سفته 180949</t>
  </si>
  <si>
    <t>1401/06/14</t>
  </si>
  <si>
    <t>واریز به کارت 4993</t>
  </si>
  <si>
    <t>محمود محمودی</t>
  </si>
  <si>
    <t>شبا بانک 7493</t>
  </si>
  <si>
    <t>واریزی اول مهر ماه</t>
  </si>
  <si>
    <t>بهاره کبوتری</t>
  </si>
  <si>
    <t>1402/06/14</t>
  </si>
  <si>
    <t>سفته 180952</t>
  </si>
  <si>
    <t>مبلغ 85/090/000 تومان تاریخ 14 شهریور واریز کردند + سود 15 ام جمعا صد میلیون اضافه شد</t>
  </si>
  <si>
    <t>از مهرماه محاسبه میشود</t>
  </si>
  <si>
    <t>سود شهریور ماه تسویه شد</t>
  </si>
  <si>
    <t>امید جلالی</t>
  </si>
  <si>
    <t>1401/06/15</t>
  </si>
  <si>
    <t>واریز به کارت 7301</t>
  </si>
  <si>
    <t>شبا بانک 9671</t>
  </si>
  <si>
    <t>1402/05/28</t>
  </si>
  <si>
    <t>سفته 201310</t>
  </si>
  <si>
    <t>علی دهنوی</t>
  </si>
  <si>
    <t>غعلی صدیقی</t>
  </si>
  <si>
    <t>علی محمدی</t>
  </si>
  <si>
    <t>1404/07/25</t>
  </si>
  <si>
    <t>سفته 996179</t>
  </si>
  <si>
    <t>1402/04/25</t>
  </si>
  <si>
    <t>سفته 201308</t>
  </si>
  <si>
    <t>الهام حقی پناه</t>
  </si>
  <si>
    <t>حساب 2008</t>
  </si>
  <si>
    <t>سفته 183218</t>
  </si>
  <si>
    <t>1402/04/15</t>
  </si>
  <si>
    <t>هاجر قاینی</t>
  </si>
  <si>
    <t>سفته 186656</t>
  </si>
  <si>
    <t>1404/09/15</t>
  </si>
  <si>
    <t>زهره خورنگار (حسین)</t>
  </si>
  <si>
    <t>سفته 996178</t>
  </si>
  <si>
    <t>1407/04/30</t>
  </si>
  <si>
    <t>سفته 183212</t>
  </si>
  <si>
    <t>1407/05/25</t>
  </si>
  <si>
    <t>محمد غلامی (پسر علی)</t>
  </si>
  <si>
    <t>1404/08/23</t>
  </si>
  <si>
    <t>سفته 183214</t>
  </si>
  <si>
    <t>سی و نه ماهه</t>
  </si>
  <si>
    <t>1401/11/20</t>
  </si>
  <si>
    <t>سفته996176</t>
  </si>
  <si>
    <t>مصیب بیدل</t>
  </si>
  <si>
    <t>1402/05/21</t>
  </si>
  <si>
    <t>سفته 996177</t>
  </si>
  <si>
    <t>رضا احسانی</t>
  </si>
  <si>
    <t>1407/06/08</t>
  </si>
  <si>
    <t>سفته 065279</t>
  </si>
  <si>
    <t xml:space="preserve">قربانعلی مهربان </t>
  </si>
  <si>
    <t>1407/03/15</t>
  </si>
  <si>
    <t>سفته 183219</t>
  </si>
  <si>
    <t>احمد غلامی (برادر مهدی)</t>
  </si>
  <si>
    <t>سفته 186658</t>
  </si>
  <si>
    <t>1407/06/06</t>
  </si>
  <si>
    <t>مهدی زبردست</t>
  </si>
  <si>
    <t>سفته 186660</t>
  </si>
  <si>
    <t>1404/10/12</t>
  </si>
  <si>
    <t>محمد مردان دوست</t>
  </si>
  <si>
    <t>1404/10/04</t>
  </si>
  <si>
    <t>سفته 186655</t>
  </si>
  <si>
    <t>صادق رضایی</t>
  </si>
  <si>
    <t>سفته 186489</t>
  </si>
  <si>
    <t>1407/06/02</t>
  </si>
  <si>
    <t>مریم السادات پهلوزاده</t>
  </si>
  <si>
    <t>1407/06/09</t>
  </si>
  <si>
    <t>سفته 186486</t>
  </si>
  <si>
    <t>1401/06/16</t>
  </si>
  <si>
    <t>تسویه سود سفته سالانه</t>
  </si>
  <si>
    <t>مبلغ 25 میلیون از اقای کیخواه تسویه شد.</t>
  </si>
  <si>
    <t>واریز به کارت 2825</t>
  </si>
  <si>
    <t>واریز به کارت 1674</t>
  </si>
  <si>
    <t xml:space="preserve">مبلغ 500 هزار تومان از مهر ماه پرداخت شد </t>
  </si>
  <si>
    <t>مبلغ 3/600/000 + 200/000 تومان در تاریخ 1401/06/19 اضافه شد.</t>
  </si>
  <si>
    <t>مبلغ 3/600/000 + 200/000 در تاریخ 19 شهریور اضافه شد و جمع مبلغ 44/623/000 شد.</t>
  </si>
  <si>
    <t>مبلغ 5 میلیون الباقی سود به اصل مبلغ اضافه شد.</t>
  </si>
  <si>
    <t>واریز به کارت 5856</t>
  </si>
  <si>
    <t>واریز به کارت 7003</t>
  </si>
  <si>
    <t>واریز به کارت 4705</t>
  </si>
  <si>
    <t>مبلغ 21 میلیون مانده سود شهریور ماه به اصل مبلغ اضافه شد.</t>
  </si>
  <si>
    <t>مبلغ مهر ماه</t>
  </si>
  <si>
    <t>عادل ضیایی</t>
  </si>
  <si>
    <t>مبلغ 160/000/000 میلیون تومان در تاریخ 1401/06/16 افزایش سرمایه داشتند.</t>
  </si>
  <si>
    <t>1401/06/17</t>
  </si>
  <si>
    <t>واریز به کارت 1141</t>
  </si>
  <si>
    <t>واریز به کارت 0679</t>
  </si>
  <si>
    <t>واریز به کارت 5936</t>
  </si>
  <si>
    <t>واریز به کارت 3439</t>
  </si>
  <si>
    <t>واریز به کارت 8604</t>
  </si>
  <si>
    <t>140106/17</t>
  </si>
  <si>
    <t>واریز به کارت 0696</t>
  </si>
  <si>
    <t>واریز به کارت 6371</t>
  </si>
  <si>
    <t>واریز به کارت 6348</t>
  </si>
  <si>
    <t>مبلغ 30 میلیون در تاربخ 1401/06/17 افزایش سرماسه دادند.</t>
  </si>
  <si>
    <t>مبلغ مشارکت جدید برای مهرماه</t>
  </si>
  <si>
    <t>این مبلغ از سمت آقای محمدی به سمت آقای الوانی انتقال یافت.</t>
  </si>
  <si>
    <t>با خانم زهرا عباسی یکی شد.</t>
  </si>
  <si>
    <t>واریزی جدید - حساب خانم زهرا عباسی با خانم سمیه جان محمدی یکی شد.</t>
  </si>
  <si>
    <t>در تاریخ 1401/06/19 مبلغ یک میلیارد افزایش سرمایه داشتند.</t>
  </si>
  <si>
    <t>141/06/18</t>
  </si>
  <si>
    <t>1401/06/19</t>
  </si>
  <si>
    <t>واریزی بعدی 15 ام مهرماه</t>
  </si>
  <si>
    <t>مبلغ 5 میلیون از شهریور ماه در مرداد پرداخت شده است.</t>
  </si>
  <si>
    <t>تا 4 مهر تسویه کامل شده است.</t>
  </si>
  <si>
    <t xml:space="preserve">سه ماه </t>
  </si>
  <si>
    <t>چک 885 + چک 160</t>
  </si>
  <si>
    <t>محمد حسن مبین زاده 09359837970</t>
  </si>
  <si>
    <t>واریز به کارت 7488</t>
  </si>
  <si>
    <t>شبا بانک 2676</t>
  </si>
  <si>
    <t>واریز به کارت 6775</t>
  </si>
  <si>
    <t>شبا بانک2050</t>
  </si>
  <si>
    <t>شبا بانک 6669</t>
  </si>
  <si>
    <t>شبا بانک 8230</t>
  </si>
  <si>
    <t>شبا باننک 3510</t>
  </si>
  <si>
    <t>تاریخ 12 شهریور مبلغ 70 میلیون تومان واریز شد - 19 شهریور 950 هزار تومان و از 19 مهر 4/200 هزار تومان</t>
  </si>
  <si>
    <t>علیرضا رضایی</t>
  </si>
  <si>
    <t>اولین واریزی 19 مهر</t>
  </si>
  <si>
    <t>مبلغ 60 میلیون ضمانت دریافت نکردند - تا 1/500 درصد سود 70 درصد و از 1/500 به بالا 80 درصد</t>
  </si>
  <si>
    <t>زربانو جواهری</t>
  </si>
  <si>
    <t>اولین واریزی 6 مهر</t>
  </si>
  <si>
    <t>1401/06/20</t>
  </si>
  <si>
    <t>از سود مشارکت مهرماه است.</t>
  </si>
  <si>
    <t>اصل 75 ماهیانه 4 میلیون</t>
  </si>
  <si>
    <t>140106/21</t>
  </si>
  <si>
    <t>شبا بانک 5205</t>
  </si>
  <si>
    <t>واریز به حساب 5001</t>
  </si>
  <si>
    <t>6037-7016-1041-8672</t>
  </si>
  <si>
    <t>6037-6915-1078-9563</t>
  </si>
  <si>
    <t>در تاربخ 1401/06/02 مبلغ 10/000/000 تومان افزایش سرمایه داشتند</t>
  </si>
  <si>
    <t>در تاربخ 1401/06/03 مبلغ 5/000/000 تومان افزایش سرمایه داشتند</t>
  </si>
  <si>
    <t>از یکم تا بیستم 6 درصد و از بیستم تا سی ام 6/5 محاسبه شود و ماه های بعدی 6/5 محاسبه گردد.</t>
  </si>
  <si>
    <t>شبا بانک 0245</t>
  </si>
  <si>
    <t>شبا بانک 7008</t>
  </si>
  <si>
    <t>هرماه مبلغ 2 میلیون شیرینی به سود اضافه میشود.</t>
  </si>
  <si>
    <t>شبا بانک 4505</t>
  </si>
  <si>
    <t>اصل مبلغ 700 میلیون شده است و مبلغ 57/500/000 باید واریز شود.</t>
  </si>
  <si>
    <t>شبا بانک 1582</t>
  </si>
  <si>
    <t>شبا بانک 4006</t>
  </si>
  <si>
    <t>مشارکت جدید از مهرماه</t>
  </si>
  <si>
    <t>1401/06/22</t>
  </si>
  <si>
    <t>شبا بانک 2733</t>
  </si>
  <si>
    <t>به حساب 2420</t>
  </si>
  <si>
    <t>واریزی های آقای عبداللهی برای سود مهر ماه</t>
  </si>
  <si>
    <t>جمع کل واریزی تا مهر ماه :</t>
  </si>
  <si>
    <t>مانده از سود مهر :</t>
  </si>
  <si>
    <t>نمیدونم بابت چی واریز شده است</t>
  </si>
  <si>
    <t>شبا بانک 0616</t>
  </si>
  <si>
    <t>شبا بانک 4002</t>
  </si>
  <si>
    <t>6037-9974-2473-2528</t>
  </si>
  <si>
    <t>اصل 150 میلیون ماهیانه 9 میلیون تومان ششم هر ماه واریز شود.</t>
  </si>
  <si>
    <t>5894-6311-5362-9209</t>
  </si>
  <si>
    <t xml:space="preserve">مائده حسینی </t>
  </si>
  <si>
    <t>الیاس غضنفری</t>
  </si>
  <si>
    <t>سفته 70 میلیون تحویل اقای عبداللهی شد - برای برداشت اصل سرمایه چک به تاریخ 1401/06/24 دادند.</t>
  </si>
  <si>
    <t>مبلغ 10 میلیون ورودی مشارکت در تاریخ 1401/06/10</t>
  </si>
  <si>
    <t>مبلغ 10 میلیون ورودی مشارکت در تاریخ 1401/06/11</t>
  </si>
  <si>
    <t>مبلغ 10 میلیون ورودی مشارکت در تاریخ 1401/06/14</t>
  </si>
  <si>
    <t>مبلغ 12 میلیون ورودی مشارکت در تاریخ 1401/06/22</t>
  </si>
  <si>
    <t>مبلغ 52 میلیون توسط کارت هر روز برداشت شد.</t>
  </si>
  <si>
    <t>5041-7210-6-2681-1779</t>
  </si>
  <si>
    <t>اشتباها به کارت اقای مجتبی چمنی ریابی واریز شد و ایشان به کارت خانم محمدزاده انتقال دادند.</t>
  </si>
  <si>
    <t>مبلغ 800 هزار تومن برای 18 روز محاسبه شد.</t>
  </si>
  <si>
    <t>6104-3389-1510-3713</t>
  </si>
  <si>
    <t>5892-1013-8398-8355</t>
  </si>
  <si>
    <t>واریزی مرداد و شهریور- هر دوماهی واریز میشود.</t>
  </si>
  <si>
    <t>6037-7015-2537-3392</t>
  </si>
  <si>
    <t>تسویه سود پنجم تا بیستم اصل مبلغ</t>
  </si>
  <si>
    <t>اصل پول طی چک در تاریخ 21 شهریور برداشت شد.</t>
  </si>
  <si>
    <t>6104-3389-4657-5475</t>
  </si>
  <si>
    <t>اصل پول به همراه سود تسویه کامل شد.</t>
  </si>
  <si>
    <t>شبا بانک 4451</t>
  </si>
  <si>
    <t>سود 30 میلیون از تاریخ 12 ام تا بیست و دوم محاسبه شد.</t>
  </si>
  <si>
    <t>از مهر ماه مبلغ 2/300/000 تومان بیست و دوم هر ماه</t>
  </si>
  <si>
    <t>مریم سلطان پور</t>
  </si>
  <si>
    <t>6037-9982-0534-6041</t>
  </si>
  <si>
    <t>عفت عبداللهی</t>
  </si>
  <si>
    <t>1401/06/24</t>
  </si>
  <si>
    <t>6037-9917-9507-0519</t>
  </si>
  <si>
    <t>سفته را تحویل بگیریم</t>
  </si>
  <si>
    <t>1401/06/25</t>
  </si>
  <si>
    <t>1401/06/26</t>
  </si>
  <si>
    <t>6104-3373-4849-3543</t>
  </si>
  <si>
    <t>شبابانک 9007</t>
  </si>
  <si>
    <t>شبا بانک 7903</t>
  </si>
  <si>
    <t>141/06/27</t>
  </si>
  <si>
    <t>شبا بانک 7988</t>
  </si>
  <si>
    <t>شبا بانک 2005</t>
  </si>
  <si>
    <t>مبلغ 2/500/000 تومان اشتباهی به حسابشان درتاریخ 22 شهریور واریزشد که چون برنگردوندن از اصل پول کم شد.</t>
  </si>
  <si>
    <t>واریزی مهر ماه</t>
  </si>
  <si>
    <t>مبلغ 60 میلیون در تاریخ 1401/06/17 اضافه شد که 40 میلیون ماهیانه و 20 میلیون راسی شد.</t>
  </si>
  <si>
    <t>بابت 60 میلیون جدید و 20 میلیون قبلی سفته نگرفتند.</t>
  </si>
  <si>
    <t>دو ساله</t>
  </si>
  <si>
    <t>سفته نگرفتن</t>
  </si>
  <si>
    <t>مبلغ 10 میلیون از 110 میلیون راسی یکساله شد.</t>
  </si>
  <si>
    <t>محمد امیرشی بهلولی</t>
  </si>
  <si>
    <t>آقای غلامرضا یگانه</t>
  </si>
  <si>
    <t>از 167/000/000 میلیون 1400/06/11 مبلغ 100 میلیون سالیانه 7 درصد ( رضا مقدم ) و 67 میلیون به دادگی اضافه شود.</t>
  </si>
  <si>
    <t>دادگی آقای یگانه به ما تا اول شهریور 1401 : 225=78+80+67</t>
  </si>
  <si>
    <t>مبلغ 225/000/000 میلیون کمباین از 1401/06/01 تا 1401/12/01 به مدت شش ماه 7 درصد محاسبه شود.</t>
  </si>
  <si>
    <t>1401/12/01</t>
  </si>
  <si>
    <t>از60/000/000 میلیون 1400/12/01 شش ماهه تا 1401/06/01 پنج درصد (مهدی یگانه ) میشود 78 میلیون که به دادگی اضافه شود.</t>
  </si>
  <si>
    <t>از50/000/000 میلیون 1400/05/20 یکسال  تا 1401/06/01 پنج درصد (مهدی یگانه ) میشود 80 میلیون که به دادگی اضافه شود.</t>
  </si>
  <si>
    <t>افزایش سرمایه در تاریخ 1401/06/01</t>
  </si>
  <si>
    <t>افزایش سرمایه در تاریخ 1401/06/02</t>
  </si>
  <si>
    <t>افزایش سرمایه در تاریخ 1401/06/03</t>
  </si>
  <si>
    <t>حذف شدند.</t>
  </si>
  <si>
    <t xml:space="preserve">تاریخ چک </t>
  </si>
  <si>
    <t>مبلغ چک</t>
  </si>
  <si>
    <t>شماره چک</t>
  </si>
  <si>
    <t>در وجه</t>
  </si>
  <si>
    <t>نام بانک</t>
  </si>
  <si>
    <t>سپه</t>
  </si>
  <si>
    <t>کشاورزی</t>
  </si>
  <si>
    <t>1400/03/08</t>
  </si>
  <si>
    <t>1400/07/07</t>
  </si>
  <si>
    <t>1400/09/08</t>
  </si>
  <si>
    <t>1400/12/08</t>
  </si>
  <si>
    <t>1401/07/08</t>
  </si>
  <si>
    <t>1401/11/08</t>
  </si>
  <si>
    <t>1402/03/01</t>
  </si>
  <si>
    <t>1402/06/04</t>
  </si>
  <si>
    <t>1777/058012/27</t>
  </si>
  <si>
    <t>3374/939953</t>
  </si>
  <si>
    <t>1777/058007/42</t>
  </si>
  <si>
    <t>1798/442817/41</t>
  </si>
  <si>
    <t>3374/939991</t>
  </si>
  <si>
    <t>3374/939973</t>
  </si>
  <si>
    <t>0051/298607</t>
  </si>
  <si>
    <t>6091/672612</t>
  </si>
  <si>
    <t>مرضیه احیایی</t>
  </si>
  <si>
    <t>ملت</t>
  </si>
  <si>
    <t>تجارت</t>
  </si>
  <si>
    <t xml:space="preserve">جمع کل تا مرداد : </t>
  </si>
  <si>
    <t>و چک مبلغ یک میلیارد بصورت پنج تا فیش بانکی دویست میلیونی پرداخت شد و مبلغ پانصد میلیون چک با باقیمانده مرداد ماه که پانصد و پنجاه میلیون بود یک چک به میلغ یک میلیارد و پنجاه میلیون تومان داده شد.</t>
  </si>
  <si>
    <t>از سیستم چک های به شماره 595471 به مبلغ یک میلیارد و چک به شماره 174155 به مبلغ پانصد میلیون حذف شدند.</t>
  </si>
  <si>
    <t>چک شماره 174155 اصلاح شد و مبلغ یک میلیارد و پنجاه میلیون درج شد.</t>
  </si>
  <si>
    <t>مبلغ 1/680/000/000 میلیون با سود مشارکت 8 درصد به سرمایه خانم احیایی اضافه شد.</t>
  </si>
  <si>
    <t>مبلغ سرمایه جدید + چک قبلی ( 174155 به مبلغ 1/050/000/000 تومان ) یک چک داده شد به مبلغ 2/730/000/000 تومان</t>
  </si>
  <si>
    <t>چک 174155 تحویل آقای عبداللهی شد.</t>
  </si>
  <si>
    <t xml:space="preserve">جمع مبلغ تا 13شهریور : </t>
  </si>
  <si>
    <t xml:space="preserve">جمع کل تا اول شهریور : </t>
  </si>
  <si>
    <t>اطلاعات اولیه</t>
  </si>
  <si>
    <t>اطلاعات تا اول شهریور</t>
  </si>
  <si>
    <t>اطلاعات تا سیزده شهریور</t>
  </si>
  <si>
    <t>1402/06/08</t>
  </si>
  <si>
    <t>6091/672621</t>
  </si>
  <si>
    <t>پرداختی مرداد ماه</t>
  </si>
  <si>
    <t>تسویه مرداد ماه - مانده 550 میلیون مرداد ماه چک داده شد</t>
  </si>
  <si>
    <t>احتمالا از تیرماه</t>
  </si>
  <si>
    <t>مبلغ 47/350/000 میلیون از 200 میلیون مجدد برگشت خورد به حساب اقای عبداللهی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</si>
</sst>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8"/>
      <color theme="1"/>
      <name val="Arial"/>
      <family val="2"/>
    </font>
    <font>
      <sz val="16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1"/>
      <name val="Arial"/>
      <family val="2"/>
      <scheme val="minor"/>
    </font>
    <font>
      <b/>
      <sz val="10"/>
      <name val="Arial"/>
      <family val="2"/>
      <scheme val="minor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523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1" xfId="0" applyFill="1" applyBorder="1"/>
    <xf numFmtId="0" fontId="1" fillId="0" borderId="12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/>
    <xf numFmtId="0" fontId="0" fillId="4" borderId="1" xfId="0" applyFill="1" applyBorder="1" applyAlignment="1">
      <alignment horizontal="right" vertical="center"/>
    </xf>
    <xf numFmtId="0" fontId="0" fillId="4" borderId="1" xfId="0" applyFill="1" applyBorder="1"/>
    <xf numFmtId="3" fontId="2" fillId="4" borderId="1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/>
    </xf>
    <xf numFmtId="3" fontId="0" fillId="2" borderId="8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3" borderId="1" xfId="0" applyFill="1" applyBorder="1" applyAlignment="1">
      <alignment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8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5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3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0" fillId="3" borderId="8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49" fontId="3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vertical="center" wrapText="1"/>
    </xf>
    <xf numFmtId="3" fontId="11" fillId="5" borderId="20" xfId="0" applyNumberFormat="1" applyFont="1" applyFill="1" applyBorder="1" applyAlignment="1">
      <alignment horizontal="center" vertical="center"/>
    </xf>
    <xf numFmtId="0" fontId="0" fillId="2" borderId="21" xfId="0" applyFill="1" applyBorder="1"/>
    <xf numFmtId="3" fontId="2" fillId="2" borderId="22" xfId="0" applyNumberFormat="1" applyFont="1" applyFill="1" applyBorder="1" applyAlignment="1">
      <alignment horizontal="center" vertical="center" wrapText="1"/>
    </xf>
    <xf numFmtId="3" fontId="2" fillId="3" borderId="7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/>
    </xf>
    <xf numFmtId="3" fontId="2" fillId="0" borderId="8" xfId="0" applyNumberFormat="1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" fontId="2" fillId="3" borderId="1" xfId="0" applyNumberFormat="1" applyFont="1" applyFill="1" applyBorder="1" applyAlignment="1">
      <alignment vertical="center" wrapText="1"/>
    </xf>
    <xf numFmtId="3" fontId="5" fillId="2" borderId="1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3" xfId="0" applyFill="1" applyBorder="1" applyAlignment="1"/>
    <xf numFmtId="3" fontId="0" fillId="2" borderId="18" xfId="0" applyNumberForma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Border="1"/>
    <xf numFmtId="0" fontId="1" fillId="0" borderId="27" xfId="0" applyFont="1" applyBorder="1" applyAlignment="1">
      <alignment horizontal="center" vertical="center"/>
    </xf>
    <xf numFmtId="3" fontId="2" fillId="2" borderId="20" xfId="0" applyNumberFormat="1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11" fillId="2" borderId="20" xfId="0" applyNumberFormat="1" applyFont="1" applyFill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/>
    </xf>
    <xf numFmtId="3" fontId="2" fillId="2" borderId="35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31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3" fontId="2" fillId="2" borderId="21" xfId="0" applyNumberFormat="1" applyFont="1" applyFill="1" applyBorder="1" applyAlignment="1">
      <alignment horizontal="center" vertical="center" wrapText="1"/>
    </xf>
    <xf numFmtId="3" fontId="2" fillId="2" borderId="4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vertical="center" wrapText="1"/>
    </xf>
    <xf numFmtId="1" fontId="5" fillId="2" borderId="8" xfId="0" applyNumberFormat="1" applyFont="1" applyFill="1" applyBorder="1" applyAlignment="1">
      <alignment horizontal="center" vertical="center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3" fontId="2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3" fontId="2" fillId="2" borderId="0" xfId="0" applyNumberFormat="1" applyFont="1" applyFill="1" applyBorder="1" applyAlignment="1">
      <alignment vertical="center" wrapText="1"/>
    </xf>
    <xf numFmtId="0" fontId="0" fillId="0" borderId="39" xfId="0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" fontId="2" fillId="2" borderId="1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6" borderId="6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49" fontId="9" fillId="7" borderId="6" xfId="0" applyNumberFormat="1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/>
    </xf>
    <xf numFmtId="3" fontId="14" fillId="3" borderId="6" xfId="0" applyNumberFormat="1" applyFont="1" applyFill="1" applyBorder="1" applyAlignment="1">
      <alignment horizontal="center" vertical="center" wrapText="1"/>
    </xf>
    <xf numFmtId="164" fontId="14" fillId="3" borderId="6" xfId="0" applyNumberFormat="1" applyFont="1" applyFill="1" applyBorder="1" applyAlignment="1">
      <alignment horizontal="center" vertical="center" wrapText="1"/>
    </xf>
    <xf numFmtId="164" fontId="14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8" borderId="1" xfId="0" applyFill="1" applyBorder="1"/>
    <xf numFmtId="3" fontId="2" fillId="8" borderId="1" xfId="0" applyNumberFormat="1" applyFont="1" applyFill="1" applyBorder="1" applyAlignment="1">
      <alignment horizontal="center" vertical="center" wrapText="1"/>
    </xf>
    <xf numFmtId="3" fontId="2" fillId="8" borderId="6" xfId="0" applyNumberFormat="1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/>
    </xf>
    <xf numFmtId="49" fontId="16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2" fillId="0" borderId="0" xfId="0" applyFont="1"/>
    <xf numFmtId="0" fontId="6" fillId="2" borderId="5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0" fillId="2" borderId="0" xfId="0" applyFill="1"/>
    <xf numFmtId="3" fontId="2" fillId="2" borderId="0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6" xfId="0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5" fillId="2" borderId="18" xfId="0" applyFont="1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right" vertical="center" wrapText="1"/>
    </xf>
    <xf numFmtId="3" fontId="10" fillId="2" borderId="0" xfId="0" applyNumberFormat="1" applyFont="1" applyFill="1" applyBorder="1" applyAlignment="1">
      <alignment vertical="center" wrapText="1"/>
    </xf>
    <xf numFmtId="3" fontId="10" fillId="2" borderId="1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0" borderId="8" xfId="0" applyBorder="1" applyAlignment="1">
      <alignment horizontal="center" vertical="center"/>
    </xf>
    <xf numFmtId="3" fontId="2" fillId="9" borderId="7" xfId="0" applyNumberFormat="1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3" fontId="0" fillId="0" borderId="0" xfId="0" applyNumberFormat="1"/>
    <xf numFmtId="3" fontId="0" fillId="9" borderId="0" xfId="0" applyNumberFormat="1" applyFill="1"/>
    <xf numFmtId="0" fontId="0" fillId="0" borderId="46" xfId="0" applyBorder="1" applyAlignment="1">
      <alignment horizontal="center" vertical="center"/>
    </xf>
    <xf numFmtId="3" fontId="0" fillId="2" borderId="0" xfId="0" applyNumberFormat="1" applyFill="1"/>
    <xf numFmtId="0" fontId="0" fillId="2" borderId="0" xfId="0" applyFill="1" applyAlignment="1">
      <alignment horizontal="center" vertical="center"/>
    </xf>
    <xf numFmtId="0" fontId="1" fillId="0" borderId="30" xfId="0" applyFont="1" applyBorder="1" applyAlignment="1">
      <alignment vertical="center"/>
    </xf>
    <xf numFmtId="3" fontId="11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 wrapText="1"/>
    </xf>
    <xf numFmtId="3" fontId="11" fillId="9" borderId="2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right" vertical="center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3" fontId="2" fillId="10" borderId="6" xfId="0" applyNumberFormat="1" applyFont="1" applyFill="1" applyBorder="1" applyAlignment="1">
      <alignment horizontal="center" vertical="center" wrapText="1"/>
    </xf>
    <xf numFmtId="3" fontId="2" fillId="10" borderId="13" xfId="0" applyNumberFormat="1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3" fontId="2" fillId="2" borderId="48" xfId="0" applyNumberFormat="1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3" fontId="2" fillId="2" borderId="19" xfId="0" applyNumberFormat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3" fontId="2" fillId="4" borderId="31" xfId="0" applyNumberFormat="1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 wrapText="1"/>
    </xf>
    <xf numFmtId="3" fontId="3" fillId="2" borderId="47" xfId="0" applyNumberFormat="1" applyFont="1" applyFill="1" applyBorder="1" applyAlignment="1">
      <alignment horizontal="center" vertical="center" wrapText="1"/>
    </xf>
    <xf numFmtId="3" fontId="2" fillId="3" borderId="31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" fontId="5" fillId="2" borderId="8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0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/>
    </xf>
    <xf numFmtId="0" fontId="5" fillId="4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49" fontId="3" fillId="2" borderId="47" xfId="0" applyNumberFormat="1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49" fontId="3" fillId="11" borderId="6" xfId="0" applyNumberFormat="1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0" fillId="0" borderId="0" xfId="0" applyNumberFormat="1" applyBorder="1"/>
    <xf numFmtId="0" fontId="10" fillId="0" borderId="5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3" fontId="2" fillId="2" borderId="49" xfId="0" applyNumberFormat="1" applyFont="1" applyFill="1" applyBorder="1" applyAlignment="1">
      <alignment horizontal="center" vertical="center" wrapText="1"/>
    </xf>
    <xf numFmtId="0" fontId="10" fillId="0" borderId="5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3" fontId="1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0" fontId="0" fillId="0" borderId="52" xfId="0" applyBorder="1"/>
    <xf numFmtId="0" fontId="0" fillId="0" borderId="11" xfId="0" applyBorder="1"/>
    <xf numFmtId="0" fontId="12" fillId="0" borderId="23" xfId="0" applyFont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8" xfId="0" applyFont="1" applyFill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14" xfId="0" applyNumberFormat="1" applyFont="1" applyFill="1" applyBorder="1" applyAlignment="1">
      <alignment horizontal="center" vertical="center" wrapText="1"/>
    </xf>
    <xf numFmtId="0" fontId="0" fillId="0" borderId="22" xfId="0" applyBorder="1"/>
    <xf numFmtId="0" fontId="18" fillId="0" borderId="55" xfId="0" applyFont="1" applyBorder="1" applyAlignment="1">
      <alignment horizontal="center" vertical="center"/>
    </xf>
    <xf numFmtId="0" fontId="18" fillId="0" borderId="56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3" fontId="2" fillId="3" borderId="9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right" vertical="center"/>
    </xf>
    <xf numFmtId="0" fontId="6" fillId="5" borderId="6" xfId="0" applyFont="1" applyFill="1" applyBorder="1" applyAlignment="1">
      <alignment horizontal="center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49" fontId="2" fillId="2" borderId="51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/>
    </xf>
    <xf numFmtId="0" fontId="5" fillId="0" borderId="62" xfId="0" applyFont="1" applyBorder="1" applyAlignment="1">
      <alignment vertical="center"/>
    </xf>
    <xf numFmtId="3" fontId="2" fillId="13" borderId="1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2" borderId="6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49" fontId="2" fillId="2" borderId="47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1" fontId="2" fillId="2" borderId="1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2" fillId="3" borderId="6" xfId="0" applyFont="1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164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right" vertical="center" wrapText="1"/>
    </xf>
    <xf numFmtId="3" fontId="2" fillId="14" borderId="6" xfId="0" applyNumberFormat="1" applyFont="1" applyFill="1" applyBorder="1" applyAlignment="1">
      <alignment vertical="center" wrapText="1"/>
    </xf>
    <xf numFmtId="3" fontId="2" fillId="15" borderId="6" xfId="0" applyNumberFormat="1" applyFont="1" applyFill="1" applyBorder="1" applyAlignment="1">
      <alignment horizontal="center" vertical="center" wrapText="1"/>
    </xf>
    <xf numFmtId="164" fontId="2" fillId="15" borderId="6" xfId="0" applyNumberFormat="1" applyFont="1" applyFill="1" applyBorder="1" applyAlignment="1">
      <alignment horizontal="center" vertical="center" wrapText="1"/>
    </xf>
    <xf numFmtId="3" fontId="2" fillId="15" borderId="1" xfId="0" applyNumberFormat="1" applyFont="1" applyFill="1" applyBorder="1" applyAlignment="1">
      <alignment horizontal="right" vertical="center" wrapText="1"/>
    </xf>
    <xf numFmtId="3" fontId="2" fillId="15" borderId="6" xfId="0" applyNumberFormat="1" applyFont="1" applyFill="1" applyBorder="1" applyAlignment="1">
      <alignment vertical="center" wrapText="1"/>
    </xf>
    <xf numFmtId="0" fontId="6" fillId="15" borderId="6" xfId="0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9" borderId="6" xfId="0" applyNumberFormat="1" applyFont="1" applyFill="1" applyBorder="1" applyAlignment="1">
      <alignment horizontal="center" vertical="center" wrapText="1"/>
    </xf>
    <xf numFmtId="164" fontId="2" fillId="9" borderId="1" xfId="0" applyNumberFormat="1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1" fontId="5" fillId="11" borderId="6" xfId="0" applyNumberFormat="1" applyFont="1" applyFill="1" applyBorder="1" applyAlignment="1">
      <alignment horizontal="center" vertical="center" wrapText="1"/>
    </xf>
    <xf numFmtId="1" fontId="5" fillId="11" borderId="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9" fillId="2" borderId="13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right" vertical="center"/>
    </xf>
    <xf numFmtId="0" fontId="6" fillId="16" borderId="6" xfId="0" applyFont="1" applyFill="1" applyBorder="1" applyAlignment="1">
      <alignment horizontal="center" vertical="center"/>
    </xf>
    <xf numFmtId="3" fontId="2" fillId="16" borderId="6" xfId="0" applyNumberFormat="1" applyFont="1" applyFill="1" applyBorder="1" applyAlignment="1">
      <alignment horizontal="center" vertical="center" wrapText="1"/>
    </xf>
    <xf numFmtId="164" fontId="2" fillId="16" borderId="1" xfId="0" applyNumberFormat="1" applyFont="1" applyFill="1" applyBorder="1" applyAlignment="1">
      <alignment horizontal="center" vertical="center" wrapText="1"/>
    </xf>
    <xf numFmtId="49" fontId="9" fillId="16" borderId="6" xfId="0" applyNumberFormat="1" applyFont="1" applyFill="1" applyBorder="1" applyAlignment="1">
      <alignment horizontal="center" vertical="center" wrapText="1"/>
    </xf>
    <xf numFmtId="0" fontId="5" fillId="16" borderId="8" xfId="0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0" borderId="6" xfId="0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3" fontId="10" fillId="3" borderId="1" xfId="0" applyNumberFormat="1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0" fontId="6" fillId="2" borderId="13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2" borderId="3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49" fontId="5" fillId="10" borderId="6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10" fillId="3" borderId="13" xfId="0" applyNumberFormat="1" applyFont="1" applyFill="1" applyBorder="1" applyAlignment="1">
      <alignment horizontal="center" vertical="center" wrapText="1"/>
    </xf>
    <xf numFmtId="3" fontId="10" fillId="3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1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0" borderId="43" xfId="0" applyBorder="1"/>
    <xf numFmtId="0" fontId="0" fillId="2" borderId="6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8" borderId="7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164" fontId="2" fillId="19" borderId="1" xfId="0" applyNumberFormat="1" applyFont="1" applyFill="1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2" fillId="4" borderId="15" xfId="0" applyNumberFormat="1" applyFont="1" applyFill="1" applyBorder="1" applyAlignment="1">
      <alignment horizontal="center" vertical="center" wrapText="1"/>
    </xf>
    <xf numFmtId="1" fontId="5" fillId="4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3" xfId="0" applyFont="1" applyFill="1" applyBorder="1" applyAlignment="1">
      <alignment horizontal="right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9" fillId="3" borderId="6" xfId="0" applyNumberFormat="1" applyFont="1" applyFill="1" applyBorder="1" applyAlignment="1">
      <alignment horizontal="center" vertical="center" wrapText="1"/>
    </xf>
    <xf numFmtId="164" fontId="2" fillId="11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10" fillId="19" borderId="5" xfId="0" applyNumberFormat="1" applyFont="1" applyFill="1" applyBorder="1" applyAlignment="1">
      <alignment horizontal="right" vertical="center" wrapText="1"/>
    </xf>
    <xf numFmtId="3" fontId="10" fillId="19" borderId="13" xfId="0" applyNumberFormat="1" applyFont="1" applyFill="1" applyBorder="1" applyAlignment="1">
      <alignment horizontal="right" vertical="center" wrapText="1"/>
    </xf>
    <xf numFmtId="3" fontId="10" fillId="19" borderId="6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vertical="center"/>
    </xf>
    <xf numFmtId="3" fontId="3" fillId="10" borderId="5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right" vertical="center"/>
    </xf>
    <xf numFmtId="3" fontId="10" fillId="11" borderId="1" xfId="0" applyNumberFormat="1" applyFont="1" applyFill="1" applyBorder="1" applyAlignment="1">
      <alignment horizontal="right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3" fontId="2" fillId="11" borderId="1" xfId="0" applyNumberFormat="1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right" vertical="center"/>
    </xf>
    <xf numFmtId="0" fontId="10" fillId="11" borderId="5" xfId="0" applyFont="1" applyFill="1" applyBorder="1" applyAlignment="1">
      <alignment horizontal="right" vertical="center"/>
    </xf>
    <xf numFmtId="0" fontId="6" fillId="10" borderId="5" xfId="0" applyFont="1" applyFill="1" applyBorder="1" applyAlignment="1">
      <alignment horizontal="right" vertical="center"/>
    </xf>
    <xf numFmtId="1" fontId="5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right" vertical="center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11" borderId="1" xfId="0" applyNumberFormat="1" applyFont="1" applyFill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3" fillId="11" borderId="6" xfId="0" applyFont="1" applyFill="1" applyBorder="1" applyAlignment="1">
      <alignment horizontal="center" vertical="center"/>
    </xf>
    <xf numFmtId="3" fontId="2" fillId="11" borderId="6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0" fontId="0" fillId="19" borderId="6" xfId="0" applyFill="1" applyBorder="1" applyAlignment="1">
      <alignment horizontal="right" vertical="center"/>
    </xf>
    <xf numFmtId="0" fontId="6" fillId="19" borderId="6" xfId="0" applyFont="1" applyFill="1" applyBorder="1" applyAlignment="1">
      <alignment horizontal="center" vertical="center"/>
    </xf>
    <xf numFmtId="3" fontId="2" fillId="1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/>
    </xf>
    <xf numFmtId="1" fontId="5" fillId="2" borderId="9" xfId="0" applyNumberFormat="1" applyFont="1" applyFill="1" applyBorder="1" applyAlignment="1">
      <alignment horizontal="right" vertical="center" wrapText="1"/>
    </xf>
    <xf numFmtId="3" fontId="14" fillId="2" borderId="1" xfId="0" applyNumberFormat="1" applyFont="1" applyFill="1" applyBorder="1" applyAlignment="1">
      <alignment vertical="center" wrapText="1"/>
    </xf>
    <xf numFmtId="49" fontId="5" fillId="2" borderId="18" xfId="0" applyNumberFormat="1" applyFont="1" applyFill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10" fillId="2" borderId="5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/>
    </xf>
    <xf numFmtId="3" fontId="14" fillId="4" borderId="6" xfId="0" applyNumberFormat="1" applyFont="1" applyFill="1" applyBorder="1" applyAlignment="1">
      <alignment horizontal="center" vertical="center" wrapText="1"/>
    </xf>
    <xf numFmtId="164" fontId="14" fillId="4" borderId="6" xfId="0" applyNumberFormat="1" applyFont="1" applyFill="1" applyBorder="1" applyAlignment="1">
      <alignment horizontal="center" vertical="center" wrapText="1"/>
    </xf>
    <xf numFmtId="164" fontId="14" fillId="4" borderId="1" xfId="0" applyNumberFormat="1" applyFont="1" applyFill="1" applyBorder="1" applyAlignment="1">
      <alignment horizontal="center" vertical="center" wrapText="1"/>
    </xf>
    <xf numFmtId="0" fontId="0" fillId="16" borderId="6" xfId="0" applyFill="1" applyBorder="1" applyAlignment="1">
      <alignment horizontal="right" vertical="center"/>
    </xf>
    <xf numFmtId="164" fontId="2" fillId="16" borderId="6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vertical="center" wrapText="1"/>
    </xf>
    <xf numFmtId="0" fontId="0" fillId="19" borderId="5" xfId="0" applyFill="1" applyBorder="1" applyAlignment="1">
      <alignment vertical="center"/>
    </xf>
    <xf numFmtId="0" fontId="0" fillId="19" borderId="13" xfId="0" applyFill="1" applyBorder="1" applyAlignment="1">
      <alignment vertical="center"/>
    </xf>
    <xf numFmtId="0" fontId="0" fillId="19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right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vertical="center" wrapText="1"/>
    </xf>
    <xf numFmtId="3" fontId="2" fillId="14" borderId="17" xfId="0" applyNumberFormat="1" applyFont="1" applyFill="1" applyBorder="1" applyAlignment="1">
      <alignment vertical="center" wrapText="1"/>
    </xf>
    <xf numFmtId="3" fontId="2" fillId="14" borderId="19" xfId="0" applyNumberFormat="1" applyFont="1" applyFill="1" applyBorder="1" applyAlignment="1">
      <alignment vertical="center" wrapText="1"/>
    </xf>
    <xf numFmtId="3" fontId="2" fillId="14" borderId="9" xfId="0" applyNumberFormat="1" applyFont="1" applyFill="1" applyBorder="1" applyAlignment="1">
      <alignment vertical="center" wrapText="1"/>
    </xf>
    <xf numFmtId="3" fontId="2" fillId="9" borderId="15" xfId="0" applyNumberFormat="1" applyFon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right" vertical="center" wrapText="1"/>
    </xf>
    <xf numFmtId="0" fontId="3" fillId="2" borderId="18" xfId="0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0" fillId="2" borderId="5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0" fontId="0" fillId="2" borderId="0" xfId="0" applyFill="1" applyBorder="1"/>
    <xf numFmtId="3" fontId="10" fillId="3" borderId="6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vertical="center" wrapText="1"/>
    </xf>
    <xf numFmtId="1" fontId="5" fillId="2" borderId="18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8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3" fontId="5" fillId="4" borderId="1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164" fontId="2" fillId="11" borderId="6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right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5" fillId="4" borderId="8" xfId="0" applyNumberFormat="1" applyFont="1" applyFill="1" applyBorder="1" applyAlignment="1">
      <alignment vertical="center" wrapText="1"/>
    </xf>
    <xf numFmtId="3" fontId="5" fillId="4" borderId="47" xfId="0" applyNumberFormat="1" applyFont="1" applyFill="1" applyBorder="1" applyAlignment="1">
      <alignment vertical="center" wrapText="1"/>
    </xf>
    <xf numFmtId="3" fontId="5" fillId="4" borderId="9" xfId="0" applyNumberFormat="1" applyFont="1" applyFill="1" applyBorder="1" applyAlignment="1">
      <alignment vertical="center" wrapText="1"/>
    </xf>
    <xf numFmtId="0" fontId="0" fillId="2" borderId="5" xfId="0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3" fontId="10" fillId="3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6" xfId="0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6" xfId="0" applyNumberFormat="1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3" fontId="2" fillId="5" borderId="13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5" borderId="13" xfId="0" applyFill="1" applyBorder="1" applyAlignment="1">
      <alignment horizontal="right" vertical="center"/>
    </xf>
    <xf numFmtId="164" fontId="2" fillId="5" borderId="13" xfId="0" applyNumberFormat="1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right"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right" vertical="center"/>
    </xf>
    <xf numFmtId="3" fontId="2" fillId="5" borderId="6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 vertical="center"/>
    </xf>
    <xf numFmtId="3" fontId="10" fillId="9" borderId="21" xfId="0" applyNumberFormat="1" applyFont="1" applyFill="1" applyBorder="1" applyAlignment="1">
      <alignment horizontal="center" vertical="center" wrapText="1"/>
    </xf>
    <xf numFmtId="3" fontId="10" fillId="9" borderId="22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 wrapText="1"/>
    </xf>
    <xf numFmtId="3" fontId="10" fillId="2" borderId="52" xfId="0" applyNumberFormat="1" applyFont="1" applyFill="1" applyBorder="1" applyAlignment="1">
      <alignment horizontal="center" vertical="center" wrapText="1"/>
    </xf>
    <xf numFmtId="0" fontId="12" fillId="3" borderId="44" xfId="0" applyFont="1" applyFill="1" applyBorder="1" applyAlignment="1">
      <alignment horizontal="center" vertical="center"/>
    </xf>
    <xf numFmtId="0" fontId="12" fillId="3" borderId="54" xfId="0" applyFont="1" applyFill="1" applyBorder="1" applyAlignment="1">
      <alignment horizontal="center" vertical="center"/>
    </xf>
    <xf numFmtId="0" fontId="12" fillId="3" borderId="45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3" fontId="11" fillId="7" borderId="44" xfId="0" applyNumberFormat="1" applyFont="1" applyFill="1" applyBorder="1" applyAlignment="1">
      <alignment horizontal="center" vertical="center"/>
    </xf>
    <xf numFmtId="3" fontId="11" fillId="7" borderId="54" xfId="0" applyNumberFormat="1" applyFont="1" applyFill="1" applyBorder="1" applyAlignment="1">
      <alignment horizontal="center" vertical="center"/>
    </xf>
    <xf numFmtId="3" fontId="11" fillId="7" borderId="61" xfId="0" applyNumberFormat="1" applyFont="1" applyFill="1" applyBorder="1" applyAlignment="1">
      <alignment horizontal="center" vertical="center"/>
    </xf>
    <xf numFmtId="3" fontId="2" fillId="2" borderId="14" xfId="0" applyNumberFormat="1" applyFont="1" applyFill="1" applyBorder="1" applyAlignment="1">
      <alignment horizontal="center" vertical="center" wrapText="1"/>
    </xf>
    <xf numFmtId="3" fontId="2" fillId="2" borderId="42" xfId="0" applyNumberFormat="1" applyFont="1" applyFill="1" applyBorder="1" applyAlignment="1">
      <alignment horizontal="center" vertical="center" wrapText="1"/>
    </xf>
    <xf numFmtId="3" fontId="2" fillId="2" borderId="15" xfId="0" applyNumberFormat="1" applyFont="1" applyFill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0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2" fillId="2" borderId="57" xfId="0" applyFont="1" applyFill="1" applyBorder="1" applyAlignment="1">
      <alignment horizontal="center" vertical="center"/>
    </xf>
    <xf numFmtId="0" fontId="12" fillId="2" borderId="59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3" fontId="2" fillId="4" borderId="23" xfId="0" applyNumberFormat="1" applyFont="1" applyFill="1" applyBorder="1" applyAlignment="1">
      <alignment horizontal="center" vertical="center" wrapText="1"/>
    </xf>
    <xf numFmtId="3" fontId="2" fillId="4" borderId="24" xfId="0" applyNumberFormat="1" applyFont="1" applyFill="1" applyBorder="1" applyAlignment="1">
      <alignment horizontal="center" vertical="center" wrapText="1"/>
    </xf>
    <xf numFmtId="3" fontId="2" fillId="4" borderId="25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0" fontId="19" fillId="2" borderId="14" xfId="0" applyFont="1" applyFill="1" applyBorder="1" applyAlignment="1">
      <alignment horizontal="center" vertical="center"/>
    </xf>
    <xf numFmtId="0" fontId="19" fillId="2" borderId="26" xfId="0" applyFont="1" applyFill="1" applyBorder="1" applyAlignment="1">
      <alignment horizontal="center" vertical="center"/>
    </xf>
    <xf numFmtId="3" fontId="2" fillId="9" borderId="44" xfId="0" applyNumberFormat="1" applyFont="1" applyFill="1" applyBorder="1" applyAlignment="1">
      <alignment horizontal="center" vertical="center" wrapText="1"/>
    </xf>
    <xf numFmtId="3" fontId="2" fillId="9" borderId="45" xfId="0" applyNumberFormat="1" applyFont="1" applyFill="1" applyBorder="1" applyAlignment="1">
      <alignment horizontal="center" vertical="center" wrapText="1"/>
    </xf>
    <xf numFmtId="3" fontId="2" fillId="2" borderId="28" xfId="0" applyNumberFormat="1" applyFont="1" applyFill="1" applyBorder="1" applyAlignment="1">
      <alignment horizontal="center" vertical="center" wrapText="1"/>
    </xf>
    <xf numFmtId="3" fontId="2" fillId="2" borderId="36" xfId="0" applyNumberFormat="1" applyFont="1" applyFill="1" applyBorder="1" applyAlignment="1">
      <alignment horizontal="center" vertical="center" wrapText="1"/>
    </xf>
    <xf numFmtId="3" fontId="2" fillId="2" borderId="37" xfId="0" applyNumberFormat="1" applyFont="1" applyFill="1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 wrapText="1"/>
    </xf>
    <xf numFmtId="3" fontId="2" fillId="2" borderId="38" xfId="0" applyNumberFormat="1" applyFont="1" applyFill="1" applyBorder="1" applyAlignment="1">
      <alignment horizontal="center" vertical="center" wrapText="1"/>
    </xf>
    <xf numFmtId="3" fontId="2" fillId="2" borderId="39" xfId="0" applyNumberFormat="1" applyFont="1" applyFill="1" applyBorder="1" applyAlignment="1">
      <alignment horizontal="center" vertical="center" wrapText="1"/>
    </xf>
    <xf numFmtId="3" fontId="7" fillId="2" borderId="23" xfId="0" applyNumberFormat="1" applyFont="1" applyFill="1" applyBorder="1" applyAlignment="1">
      <alignment horizontal="center" vertical="center" wrapText="1"/>
    </xf>
    <xf numFmtId="3" fontId="7" fillId="2" borderId="24" xfId="0" applyNumberFormat="1" applyFont="1" applyFill="1" applyBorder="1" applyAlignment="1">
      <alignment horizontal="center" vertical="center" wrapText="1"/>
    </xf>
    <xf numFmtId="3" fontId="7" fillId="2" borderId="25" xfId="0" applyNumberFormat="1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3" fontId="2" fillId="2" borderId="44" xfId="0" applyNumberFormat="1" applyFont="1" applyFill="1" applyBorder="1" applyAlignment="1">
      <alignment horizontal="center" vertical="center" wrapText="1"/>
    </xf>
    <xf numFmtId="3" fontId="2" fillId="2" borderId="45" xfId="0" applyNumberFormat="1" applyFont="1" applyFill="1" applyBorder="1" applyAlignment="1">
      <alignment horizontal="center" vertical="center" wrapText="1"/>
    </xf>
    <xf numFmtId="3" fontId="2" fillId="2" borderId="23" xfId="0" applyNumberFormat="1" applyFont="1" applyFill="1" applyBorder="1" applyAlignment="1">
      <alignment horizontal="center" vertical="center" wrapText="1"/>
    </xf>
    <xf numFmtId="3" fontId="2" fillId="2" borderId="24" xfId="0" applyNumberFormat="1" applyFont="1" applyFill="1" applyBorder="1" applyAlignment="1">
      <alignment horizontal="center" vertical="center" wrapText="1"/>
    </xf>
    <xf numFmtId="3" fontId="2" fillId="2" borderId="25" xfId="0" applyNumberFormat="1" applyFont="1" applyFill="1" applyBorder="1" applyAlignment="1">
      <alignment horizontal="center" vertical="center" wrapText="1"/>
    </xf>
    <xf numFmtId="3" fontId="2" fillId="2" borderId="30" xfId="0" applyNumberFormat="1" applyFont="1" applyFill="1" applyBorder="1" applyAlignment="1">
      <alignment horizontal="center" vertical="center" wrapText="1"/>
    </xf>
    <xf numFmtId="3" fontId="2" fillId="2" borderId="26" xfId="0" applyNumberFormat="1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center" vertical="center" wrapText="1"/>
    </xf>
    <xf numFmtId="3" fontId="2" fillId="4" borderId="42" xfId="0" applyNumberFormat="1" applyFont="1" applyFill="1" applyBorder="1" applyAlignment="1">
      <alignment horizontal="center" vertical="center" wrapText="1"/>
    </xf>
    <xf numFmtId="3" fontId="2" fillId="4" borderId="26" xfId="0" applyNumberFormat="1" applyFont="1" applyFill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11" fillId="0" borderId="43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3" fontId="5" fillId="2" borderId="10" xfId="0" applyNumberFormat="1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" fontId="2" fillId="4" borderId="28" xfId="0" applyNumberFormat="1" applyFont="1" applyFill="1" applyBorder="1" applyAlignment="1">
      <alignment horizontal="center" vertical="center" wrapText="1"/>
    </xf>
    <xf numFmtId="3" fontId="2" fillId="4" borderId="36" xfId="0" applyNumberFormat="1" applyFont="1" applyFill="1" applyBorder="1" applyAlignment="1">
      <alignment horizontal="center" vertical="center" wrapText="1"/>
    </xf>
    <xf numFmtId="3" fontId="2" fillId="4" borderId="37" xfId="0" applyNumberFormat="1" applyFont="1" applyFill="1" applyBorder="1" applyAlignment="1">
      <alignment horizontal="center" vertical="center" wrapText="1"/>
    </xf>
    <xf numFmtId="3" fontId="2" fillId="4" borderId="32" xfId="0" applyNumberFormat="1" applyFont="1" applyFill="1" applyBorder="1" applyAlignment="1">
      <alignment horizontal="center" vertical="center" wrapText="1"/>
    </xf>
    <xf numFmtId="3" fontId="2" fillId="4" borderId="38" xfId="0" applyNumberFormat="1" applyFont="1" applyFill="1" applyBorder="1" applyAlignment="1">
      <alignment horizontal="center" vertical="center" wrapText="1"/>
    </xf>
    <xf numFmtId="3" fontId="2" fillId="4" borderId="39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3" fontId="2" fillId="4" borderId="10" xfId="0" applyNumberFormat="1" applyFont="1" applyFill="1" applyBorder="1" applyAlignment="1">
      <alignment horizontal="center" vertical="center" wrapText="1"/>
    </xf>
    <xf numFmtId="3" fontId="2" fillId="4" borderId="40" xfId="0" applyNumberFormat="1" applyFont="1" applyFill="1" applyBorder="1" applyAlignment="1">
      <alignment horizontal="center" vertical="center" wrapText="1"/>
    </xf>
    <xf numFmtId="3" fontId="2" fillId="4" borderId="35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2" borderId="40" xfId="0" applyNumberFormat="1" applyFont="1" applyFill="1" applyBorder="1" applyAlignment="1">
      <alignment horizontal="center" vertical="center" wrapText="1"/>
    </xf>
    <xf numFmtId="3" fontId="2" fillId="2" borderId="35" xfId="0" applyNumberFormat="1" applyFont="1" applyFill="1" applyBorder="1" applyAlignment="1">
      <alignment horizontal="center" vertical="center" wrapText="1"/>
    </xf>
    <xf numFmtId="3" fontId="3" fillId="2" borderId="30" xfId="0" applyNumberFormat="1" applyFont="1" applyFill="1" applyBorder="1" applyAlignment="1">
      <alignment horizontal="center" vertical="center" wrapText="1"/>
    </xf>
    <xf numFmtId="3" fontId="3" fillId="2" borderId="42" xfId="0" applyNumberFormat="1" applyFont="1" applyFill="1" applyBorder="1" applyAlignment="1">
      <alignment horizontal="center" vertical="center" wrapText="1"/>
    </xf>
    <xf numFmtId="3" fontId="3" fillId="2" borderId="1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3" fontId="2" fillId="2" borderId="13" xfId="0" applyNumberFormat="1" applyFont="1" applyFill="1" applyBorder="1" applyAlignment="1">
      <alignment horizontal="center" vertical="center" wrapText="1"/>
    </xf>
    <xf numFmtId="3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2" borderId="16" xfId="0" applyNumberFormat="1" applyFont="1" applyFill="1" applyBorder="1" applyAlignment="1">
      <alignment horizontal="center" vertical="center" wrapText="1"/>
    </xf>
    <xf numFmtId="3" fontId="2" fillId="2" borderId="17" xfId="0" applyNumberFormat="1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17" xfId="0" applyNumberFormat="1" applyFont="1" applyFill="1" applyBorder="1" applyAlignment="1">
      <alignment horizontal="center" vertical="center" wrapText="1"/>
    </xf>
    <xf numFmtId="3" fontId="2" fillId="0" borderId="18" xfId="0" applyNumberFormat="1" applyFont="1" applyFill="1" applyBorder="1" applyAlignment="1">
      <alignment horizontal="center" vertical="center" wrapText="1"/>
    </xf>
    <xf numFmtId="3" fontId="2" fillId="0" borderId="19" xfId="0" applyNumberFormat="1" applyFont="1" applyFill="1" applyBorder="1" applyAlignment="1">
      <alignment horizontal="center" vertical="center" wrapText="1"/>
    </xf>
    <xf numFmtId="3" fontId="2" fillId="0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6" xfId="0" applyNumberFormat="1" applyFon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4" fontId="2" fillId="2" borderId="9" xfId="0" applyNumberFormat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4" fontId="2" fillId="2" borderId="18" xfId="0" applyNumberFormat="1" applyFont="1" applyFill="1" applyBorder="1" applyAlignment="1">
      <alignment horizontal="center" vertical="center" wrapText="1"/>
    </xf>
    <xf numFmtId="164" fontId="2" fillId="2" borderId="19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3" fontId="2" fillId="3" borderId="13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0" fontId="0" fillId="3" borderId="13" xfId="0" applyFill="1" applyBorder="1" applyAlignment="1">
      <alignment horizontal="right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9" fillId="0" borderId="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2" fillId="2" borderId="43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6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3" fontId="10" fillId="2" borderId="14" xfId="0" applyNumberFormat="1" applyFont="1" applyFill="1" applyBorder="1" applyAlignment="1">
      <alignment horizontal="right" vertical="center" wrapText="1"/>
    </xf>
    <xf numFmtId="3" fontId="10" fillId="2" borderId="42" xfId="0" applyNumberFormat="1" applyFont="1" applyFill="1" applyBorder="1" applyAlignment="1">
      <alignment horizontal="right" vertical="center" wrapText="1"/>
    </xf>
    <xf numFmtId="3" fontId="10" fillId="2" borderId="15" xfId="0" applyNumberFormat="1" applyFont="1" applyFill="1" applyBorder="1" applyAlignment="1">
      <alignment horizontal="right" vertical="center" wrapText="1"/>
    </xf>
    <xf numFmtId="3" fontId="2" fillId="2" borderId="14" xfId="0" applyNumberFormat="1" applyFont="1" applyFill="1" applyBorder="1" applyAlignment="1">
      <alignment horizontal="right" vertical="center" wrapText="1"/>
    </xf>
    <xf numFmtId="3" fontId="2" fillId="2" borderId="42" xfId="0" applyNumberFormat="1" applyFont="1" applyFill="1" applyBorder="1" applyAlignment="1">
      <alignment horizontal="right" vertical="center" wrapText="1"/>
    </xf>
    <xf numFmtId="3" fontId="2" fillId="2" borderId="15" xfId="0" applyNumberFormat="1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1" fontId="2" fillId="2" borderId="5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right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3" fontId="2" fillId="4" borderId="14" xfId="0" applyNumberFormat="1" applyFont="1" applyFill="1" applyBorder="1" applyAlignment="1">
      <alignment horizontal="right" vertical="center" wrapText="1"/>
    </xf>
    <xf numFmtId="3" fontId="2" fillId="4" borderId="42" xfId="0" applyNumberFormat="1" applyFont="1" applyFill="1" applyBorder="1" applyAlignment="1">
      <alignment horizontal="right" vertical="center" wrapText="1"/>
    </xf>
    <xf numFmtId="3" fontId="2" fillId="4" borderId="15" xfId="0" applyNumberFormat="1" applyFont="1" applyFill="1" applyBorder="1" applyAlignment="1">
      <alignment horizontal="right" vertical="center" wrapText="1"/>
    </xf>
    <xf numFmtId="3" fontId="6" fillId="2" borderId="14" xfId="0" applyNumberFormat="1" applyFont="1" applyFill="1" applyBorder="1" applyAlignment="1">
      <alignment horizontal="right" vertical="center" wrapText="1"/>
    </xf>
    <xf numFmtId="3" fontId="6" fillId="2" borderId="42" xfId="0" applyNumberFormat="1" applyFont="1" applyFill="1" applyBorder="1" applyAlignment="1">
      <alignment horizontal="right" vertical="center" wrapText="1"/>
    </xf>
    <xf numFmtId="3" fontId="6" fillId="2" borderId="15" xfId="0" applyNumberFormat="1" applyFont="1" applyFill="1" applyBorder="1" applyAlignment="1">
      <alignment horizontal="right" vertical="center" wrapText="1"/>
    </xf>
    <xf numFmtId="0" fontId="10" fillId="2" borderId="5" xfId="0" applyFont="1" applyFill="1" applyBorder="1" applyAlignment="1">
      <alignment horizontal="right" vertical="center"/>
    </xf>
    <xf numFmtId="0" fontId="10" fillId="2" borderId="13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right" vertical="center"/>
    </xf>
    <xf numFmtId="3" fontId="2" fillId="10" borderId="14" xfId="0" applyNumberFormat="1" applyFont="1" applyFill="1" applyBorder="1" applyAlignment="1">
      <alignment horizontal="right" vertical="center" wrapText="1"/>
    </xf>
    <xf numFmtId="3" fontId="2" fillId="10" borderId="42" xfId="0" applyNumberFormat="1" applyFont="1" applyFill="1" applyBorder="1" applyAlignment="1">
      <alignment horizontal="right" vertical="center" wrapText="1"/>
    </xf>
    <xf numFmtId="3" fontId="2" fillId="10" borderId="15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center" vertical="center" wrapText="1"/>
    </xf>
    <xf numFmtId="3" fontId="2" fillId="2" borderId="47" xfId="0" applyNumberFormat="1" applyFont="1" applyFill="1" applyBorder="1" applyAlignment="1">
      <alignment horizontal="center" vertical="center" wrapText="1"/>
    </xf>
    <xf numFmtId="3" fontId="2" fillId="11" borderId="5" xfId="0" applyNumberFormat="1" applyFont="1" applyFill="1" applyBorder="1" applyAlignment="1">
      <alignment horizontal="center" vertical="center" wrapText="1"/>
    </xf>
    <xf numFmtId="3" fontId="2" fillId="11" borderId="13" xfId="0" applyNumberFormat="1" applyFont="1" applyFill="1" applyBorder="1" applyAlignment="1">
      <alignment horizontal="center" vertical="center" wrapText="1"/>
    </xf>
    <xf numFmtId="3" fontId="2" fillId="11" borderId="6" xfId="0" applyNumberFormat="1" applyFont="1" applyFill="1" applyBorder="1" applyAlignment="1">
      <alignment horizontal="center" vertical="center" wrapText="1"/>
    </xf>
    <xf numFmtId="3" fontId="2" fillId="11" borderId="14" xfId="0" applyNumberFormat="1" applyFont="1" applyFill="1" applyBorder="1" applyAlignment="1">
      <alignment horizontal="right" vertical="center" wrapText="1"/>
    </xf>
    <xf numFmtId="3" fontId="2" fillId="11" borderId="42" xfId="0" applyNumberFormat="1" applyFont="1" applyFill="1" applyBorder="1" applyAlignment="1">
      <alignment horizontal="right" vertical="center" wrapText="1"/>
    </xf>
    <xf numFmtId="3" fontId="2" fillId="11" borderId="15" xfId="0" applyNumberFormat="1" applyFont="1" applyFill="1" applyBorder="1" applyAlignment="1">
      <alignment horizontal="right" vertical="center" wrapText="1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3" fontId="10" fillId="2" borderId="5" xfId="0" applyNumberFormat="1" applyFont="1" applyFill="1" applyBorder="1" applyAlignment="1">
      <alignment horizontal="right" vertical="center" wrapText="1"/>
    </xf>
    <xf numFmtId="3" fontId="10" fillId="2" borderId="6" xfId="0" applyNumberFormat="1" applyFont="1" applyFill="1" applyBorder="1" applyAlignment="1">
      <alignment horizontal="right" vertical="center" wrapText="1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3" fontId="10" fillId="2" borderId="5" xfId="0" applyNumberFormat="1" applyFont="1" applyFill="1" applyBorder="1" applyAlignment="1">
      <alignment horizontal="center" vertical="center" wrapText="1"/>
    </xf>
    <xf numFmtId="3" fontId="10" fillId="2" borderId="6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/>
    </xf>
    <xf numFmtId="0" fontId="6" fillId="2" borderId="6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6" xfId="0" applyNumberFormat="1" applyFont="1" applyFill="1" applyBorder="1" applyAlignment="1">
      <alignment horizontal="right" vertical="center" wrapText="1"/>
    </xf>
    <xf numFmtId="0" fontId="6" fillId="14" borderId="5" xfId="0" applyFont="1" applyFill="1" applyBorder="1" applyAlignment="1">
      <alignment horizontal="right" vertical="center"/>
    </xf>
    <xf numFmtId="0" fontId="6" fillId="14" borderId="13" xfId="0" applyFont="1" applyFill="1" applyBorder="1" applyAlignment="1">
      <alignment horizontal="right" vertical="center"/>
    </xf>
    <xf numFmtId="0" fontId="6" fillId="14" borderId="6" xfId="0" applyFont="1" applyFill="1" applyBorder="1" applyAlignment="1">
      <alignment horizontal="right" vertical="center"/>
    </xf>
    <xf numFmtId="164" fontId="2" fillId="11" borderId="5" xfId="0" applyNumberFormat="1" applyFont="1" applyFill="1" applyBorder="1" applyAlignment="1">
      <alignment horizontal="center" vertical="center" wrapText="1"/>
    </xf>
    <xf numFmtId="164" fontId="2" fillId="11" borderId="13" xfId="0" applyNumberFormat="1" applyFont="1" applyFill="1" applyBorder="1" applyAlignment="1">
      <alignment horizontal="center" vertical="center" wrapText="1"/>
    </xf>
    <xf numFmtId="164" fontId="2" fillId="11" borderId="6" xfId="0" applyNumberFormat="1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164" fontId="2" fillId="11" borderId="14" xfId="0" applyNumberFormat="1" applyFont="1" applyFill="1" applyBorder="1" applyAlignment="1">
      <alignment horizontal="right" vertical="center" wrapText="1"/>
    </xf>
    <xf numFmtId="164" fontId="2" fillId="11" borderId="42" xfId="0" applyNumberFormat="1" applyFont="1" applyFill="1" applyBorder="1" applyAlignment="1">
      <alignment horizontal="right" vertical="center" wrapText="1"/>
    </xf>
    <xf numFmtId="164" fontId="2" fillId="11" borderId="15" xfId="0" applyNumberFormat="1" applyFont="1" applyFill="1" applyBorder="1" applyAlignment="1">
      <alignment horizontal="right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 wrapText="1"/>
    </xf>
    <xf numFmtId="3" fontId="2" fillId="11" borderId="16" xfId="0" applyNumberFormat="1" applyFont="1" applyFill="1" applyBorder="1" applyAlignment="1">
      <alignment horizontal="right" vertical="center" wrapText="1"/>
    </xf>
    <xf numFmtId="3" fontId="2" fillId="11" borderId="43" xfId="0" applyNumberFormat="1" applyFont="1" applyFill="1" applyBorder="1" applyAlignment="1">
      <alignment horizontal="right" vertical="center" wrapText="1"/>
    </xf>
    <xf numFmtId="3" fontId="2" fillId="11" borderId="17" xfId="0" applyNumberFormat="1" applyFont="1" applyFill="1" applyBorder="1" applyAlignment="1">
      <alignment horizontal="right" vertical="center" wrapText="1"/>
    </xf>
    <xf numFmtId="3" fontId="2" fillId="11" borderId="8" xfId="0" applyNumberFormat="1" applyFont="1" applyFill="1" applyBorder="1" applyAlignment="1">
      <alignment horizontal="right" vertical="center" wrapText="1"/>
    </xf>
    <xf numFmtId="3" fontId="2" fillId="11" borderId="47" xfId="0" applyNumberFormat="1" applyFont="1" applyFill="1" applyBorder="1" applyAlignment="1">
      <alignment horizontal="right" vertical="center" wrapText="1"/>
    </xf>
    <xf numFmtId="3" fontId="2" fillId="11" borderId="9" xfId="0" applyNumberFormat="1" applyFont="1" applyFill="1" applyBorder="1" applyAlignment="1">
      <alignment horizontal="right" vertical="center" wrapText="1"/>
    </xf>
    <xf numFmtId="0" fontId="6" fillId="11" borderId="5" xfId="0" applyFont="1" applyFill="1" applyBorder="1" applyAlignment="1">
      <alignment horizontal="right" vertical="center"/>
    </xf>
    <xf numFmtId="0" fontId="6" fillId="11" borderId="13" xfId="0" applyFont="1" applyFill="1" applyBorder="1" applyAlignment="1">
      <alignment horizontal="right" vertical="center"/>
    </xf>
    <xf numFmtId="0" fontId="6" fillId="11" borderId="6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/>
    </xf>
    <xf numFmtId="3" fontId="10" fillId="3" borderId="5" xfId="0" applyNumberFormat="1" applyFont="1" applyFill="1" applyBorder="1" applyAlignment="1">
      <alignment horizontal="center" vertical="center" wrapText="1"/>
    </xf>
    <xf numFmtId="3" fontId="10" fillId="3" borderId="6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center" vertical="center" wrapText="1"/>
    </xf>
    <xf numFmtId="3" fontId="2" fillId="3" borderId="42" xfId="0" applyNumberFormat="1" applyFont="1" applyFill="1" applyBorder="1" applyAlignment="1">
      <alignment horizontal="center" vertical="center" wrapText="1"/>
    </xf>
    <xf numFmtId="3" fontId="2" fillId="3" borderId="15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/>
    </xf>
    <xf numFmtId="3" fontId="2" fillId="2" borderId="5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  <xf numFmtId="49" fontId="9" fillId="2" borderId="13" xfId="0" applyNumberFormat="1" applyFont="1" applyFill="1" applyBorder="1" applyAlignment="1">
      <alignment horizontal="center" vertical="center" wrapText="1"/>
    </xf>
    <xf numFmtId="3" fontId="2" fillId="3" borderId="14" xfId="0" applyNumberFormat="1" applyFont="1" applyFill="1" applyBorder="1" applyAlignment="1">
      <alignment horizontal="right" vertical="center" wrapText="1"/>
    </xf>
    <xf numFmtId="3" fontId="2" fillId="3" borderId="42" xfId="0" applyNumberFormat="1" applyFont="1" applyFill="1" applyBorder="1" applyAlignment="1">
      <alignment horizontal="right" vertical="center" wrapText="1"/>
    </xf>
    <xf numFmtId="3" fontId="2" fillId="3" borderId="15" xfId="0" applyNumberFormat="1" applyFont="1" applyFill="1" applyBorder="1" applyAlignment="1">
      <alignment horizontal="right" vertical="center" wrapText="1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right" vertical="center"/>
    </xf>
    <xf numFmtId="3" fontId="2" fillId="11" borderId="14" xfId="0" applyNumberFormat="1" applyFont="1" applyFill="1" applyBorder="1" applyAlignment="1">
      <alignment horizontal="center" vertical="center" wrapText="1"/>
    </xf>
    <xf numFmtId="3" fontId="2" fillId="11" borderId="42" xfId="0" applyNumberFormat="1" applyFont="1" applyFill="1" applyBorder="1" applyAlignment="1">
      <alignment horizontal="center" vertical="center" wrapText="1"/>
    </xf>
    <xf numFmtId="3" fontId="2" fillId="11" borderId="15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right" vertical="center" wrapText="1"/>
    </xf>
    <xf numFmtId="164" fontId="2" fillId="2" borderId="42" xfId="0" applyNumberFormat="1" applyFont="1" applyFill="1" applyBorder="1" applyAlignment="1">
      <alignment horizontal="right" vertical="center" wrapText="1"/>
    </xf>
    <xf numFmtId="164" fontId="2" fillId="2" borderId="15" xfId="0" applyNumberFormat="1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3" fontId="2" fillId="2" borderId="18" xfId="0" applyNumberFormat="1" applyFont="1" applyFill="1" applyBorder="1" applyAlignment="1">
      <alignment horizontal="center" vertical="center" wrapText="1"/>
    </xf>
    <xf numFmtId="3" fontId="2" fillId="2" borderId="19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3" fontId="10" fillId="2" borderId="13" xfId="0" applyNumberFormat="1" applyFont="1" applyFill="1" applyBorder="1" applyAlignment="1">
      <alignment horizontal="center" vertical="center" wrapText="1"/>
    </xf>
    <xf numFmtId="3" fontId="2" fillId="10" borderId="14" xfId="0" applyNumberFormat="1" applyFont="1" applyFill="1" applyBorder="1" applyAlignment="1">
      <alignment horizontal="center" vertical="center" wrapText="1"/>
    </xf>
    <xf numFmtId="3" fontId="2" fillId="10" borderId="42" xfId="0" applyNumberFormat="1" applyFont="1" applyFill="1" applyBorder="1" applyAlignment="1">
      <alignment horizontal="center" vertical="center" wrapText="1"/>
    </xf>
    <xf numFmtId="3" fontId="2" fillId="10" borderId="15" xfId="0" applyNumberFormat="1" applyFont="1" applyFill="1" applyBorder="1" applyAlignment="1">
      <alignment horizontal="center" vertical="center" wrapText="1"/>
    </xf>
    <xf numFmtId="3" fontId="2" fillId="14" borderId="14" xfId="0" applyNumberFormat="1" applyFont="1" applyFill="1" applyBorder="1" applyAlignment="1">
      <alignment horizontal="center" vertical="center" wrapText="1"/>
    </xf>
    <xf numFmtId="3" fontId="2" fillId="14" borderId="15" xfId="0" applyNumberFormat="1" applyFont="1" applyFill="1" applyBorder="1" applyAlignment="1">
      <alignment horizontal="center" vertical="center" wrapText="1"/>
    </xf>
    <xf numFmtId="3" fontId="14" fillId="11" borderId="14" xfId="0" applyNumberFormat="1" applyFont="1" applyFill="1" applyBorder="1" applyAlignment="1">
      <alignment horizontal="right" vertical="center" wrapText="1"/>
    </xf>
    <xf numFmtId="3" fontId="14" fillId="11" borderId="42" xfId="0" applyNumberFormat="1" applyFont="1" applyFill="1" applyBorder="1" applyAlignment="1">
      <alignment horizontal="right" vertical="center" wrapText="1"/>
    </xf>
    <xf numFmtId="3" fontId="14" fillId="11" borderId="15" xfId="0" applyNumberFormat="1" applyFont="1" applyFill="1" applyBorder="1" applyAlignment="1">
      <alignment horizontal="right" vertical="center" wrapText="1"/>
    </xf>
    <xf numFmtId="0" fontId="0" fillId="20" borderId="5" xfId="0" applyFill="1" applyBorder="1" applyAlignment="1">
      <alignment horizontal="right" vertical="center"/>
    </xf>
    <xf numFmtId="0" fontId="0" fillId="20" borderId="13" xfId="0" applyFill="1" applyBorder="1" applyAlignment="1">
      <alignment horizontal="right" vertical="center"/>
    </xf>
    <xf numFmtId="0" fontId="0" fillId="20" borderId="6" xfId="0" applyFill="1" applyBorder="1" applyAlignment="1">
      <alignment horizontal="right" vertical="center"/>
    </xf>
    <xf numFmtId="0" fontId="10" fillId="3" borderId="5" xfId="0" applyFont="1" applyFill="1" applyBorder="1" applyAlignment="1">
      <alignment horizontal="right" vertical="center"/>
    </xf>
    <xf numFmtId="0" fontId="10" fillId="3" borderId="6" xfId="0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14" fillId="11" borderId="16" xfId="0" applyNumberFormat="1" applyFont="1" applyFill="1" applyBorder="1" applyAlignment="1">
      <alignment horizontal="right" vertical="center" wrapText="1"/>
    </xf>
    <xf numFmtId="3" fontId="14" fillId="11" borderId="43" xfId="0" applyNumberFormat="1" applyFont="1" applyFill="1" applyBorder="1" applyAlignment="1">
      <alignment horizontal="right" vertical="center" wrapText="1"/>
    </xf>
    <xf numFmtId="3" fontId="14" fillId="11" borderId="17" xfId="0" applyNumberFormat="1" applyFont="1" applyFill="1" applyBorder="1" applyAlignment="1">
      <alignment horizontal="right" vertical="center" wrapText="1"/>
    </xf>
    <xf numFmtId="3" fontId="14" fillId="11" borderId="8" xfId="0" applyNumberFormat="1" applyFont="1" applyFill="1" applyBorder="1" applyAlignment="1">
      <alignment horizontal="right" vertical="center" wrapText="1"/>
    </xf>
    <xf numFmtId="3" fontId="14" fillId="11" borderId="47" xfId="0" applyNumberFormat="1" applyFont="1" applyFill="1" applyBorder="1" applyAlignment="1">
      <alignment horizontal="right" vertical="center" wrapText="1"/>
    </xf>
    <xf numFmtId="3" fontId="14" fillId="11" borderId="9" xfId="0" applyNumberFormat="1" applyFont="1" applyFill="1" applyBorder="1" applyAlignment="1">
      <alignment horizontal="right" vertical="center" wrapText="1"/>
    </xf>
    <xf numFmtId="3" fontId="2" fillId="11" borderId="1" xfId="0" applyNumberFormat="1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3" fontId="5" fillId="10" borderId="14" xfId="0" applyNumberFormat="1" applyFont="1" applyFill="1" applyBorder="1" applyAlignment="1">
      <alignment horizontal="right" vertical="center" wrapText="1"/>
    </xf>
    <xf numFmtId="3" fontId="5" fillId="10" borderId="42" xfId="0" applyNumberFormat="1" applyFont="1" applyFill="1" applyBorder="1" applyAlignment="1">
      <alignment horizontal="right" vertical="center" wrapText="1"/>
    </xf>
    <xf numFmtId="3" fontId="5" fillId="10" borderId="15" xfId="0" applyNumberFormat="1" applyFont="1" applyFill="1" applyBorder="1" applyAlignment="1">
      <alignment horizontal="right" vertical="center" wrapText="1"/>
    </xf>
    <xf numFmtId="0" fontId="6" fillId="4" borderId="13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2" fillId="4" borderId="15" xfId="0" applyNumberFormat="1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3" fontId="10" fillId="2" borderId="13" xfId="0" applyNumberFormat="1" applyFont="1" applyFill="1" applyBorder="1" applyAlignment="1">
      <alignment horizontal="right" vertical="center" wrapText="1"/>
    </xf>
    <xf numFmtId="164" fontId="2" fillId="3" borderId="14" xfId="0" applyNumberFormat="1" applyFont="1" applyFill="1" applyBorder="1" applyAlignment="1">
      <alignment horizontal="center" vertical="center" wrapText="1"/>
    </xf>
    <xf numFmtId="164" fontId="2" fillId="3" borderId="15" xfId="0" applyNumberFormat="1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right" vertical="center"/>
    </xf>
    <xf numFmtId="3" fontId="2" fillId="14" borderId="5" xfId="0" applyNumberFormat="1" applyFont="1" applyFill="1" applyBorder="1" applyAlignment="1">
      <alignment horizontal="center" vertical="center" wrapText="1"/>
    </xf>
    <xf numFmtId="3" fontId="2" fillId="14" borderId="6" xfId="0" applyNumberFormat="1" applyFont="1" applyFill="1" applyBorder="1" applyAlignment="1">
      <alignment horizontal="center" vertical="center" wrapText="1"/>
    </xf>
    <xf numFmtId="3" fontId="2" fillId="14" borderId="1" xfId="0" applyNumberFormat="1" applyFont="1" applyFill="1" applyBorder="1" applyAlignment="1">
      <alignment horizontal="center" vertical="center" wrapText="1"/>
    </xf>
    <xf numFmtId="3" fontId="2" fillId="14" borderId="13" xfId="0" applyNumberFormat="1" applyFont="1" applyFill="1" applyBorder="1" applyAlignment="1">
      <alignment horizontal="center" vertical="center" wrapText="1"/>
    </xf>
    <xf numFmtId="49" fontId="2" fillId="14" borderId="5" xfId="0" applyNumberFormat="1" applyFont="1" applyFill="1" applyBorder="1" applyAlignment="1">
      <alignment horizontal="center" vertical="center" wrapText="1"/>
    </xf>
    <xf numFmtId="49" fontId="2" fillId="14" borderId="13" xfId="0" applyNumberFormat="1" applyFont="1" applyFill="1" applyBorder="1" applyAlignment="1">
      <alignment horizontal="center" vertical="center" wrapText="1"/>
    </xf>
    <xf numFmtId="49" fontId="2" fillId="14" borderId="6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right" vertical="center"/>
    </xf>
    <xf numFmtId="0" fontId="5" fillId="2" borderId="42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right" vertical="center"/>
    </xf>
    <xf numFmtId="3" fontId="5" fillId="11" borderId="14" xfId="0" applyNumberFormat="1" applyFont="1" applyFill="1" applyBorder="1" applyAlignment="1">
      <alignment horizontal="center" vertical="center" wrapText="1"/>
    </xf>
    <xf numFmtId="3" fontId="5" fillId="11" borderId="42" xfId="0" applyNumberFormat="1" applyFont="1" applyFill="1" applyBorder="1" applyAlignment="1">
      <alignment horizontal="center" vertical="center" wrapText="1"/>
    </xf>
    <xf numFmtId="3" fontId="5" fillId="11" borderId="15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right" vertical="center"/>
    </xf>
    <xf numFmtId="0" fontId="0" fillId="11" borderId="13" xfId="0" applyFill="1" applyBorder="1" applyAlignment="1">
      <alignment horizontal="right" vertical="center"/>
    </xf>
    <xf numFmtId="0" fontId="0" fillId="11" borderId="6" xfId="0" applyFill="1" applyBorder="1" applyAlignment="1">
      <alignment horizontal="right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13" xfId="0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center" vertical="center"/>
    </xf>
    <xf numFmtId="3" fontId="2" fillId="2" borderId="5" xfId="0" applyNumberFormat="1" applyFont="1" applyFill="1" applyBorder="1" applyAlignment="1">
      <alignment horizontal="right" vertical="center"/>
    </xf>
    <xf numFmtId="3" fontId="2" fillId="2" borderId="13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14" fillId="2" borderId="5" xfId="0" applyNumberFormat="1" applyFont="1" applyFill="1" applyBorder="1" applyAlignment="1">
      <alignment horizontal="center" vertical="center" wrapText="1"/>
    </xf>
    <xf numFmtId="3" fontId="14" fillId="2" borderId="6" xfId="0" applyNumberFormat="1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3" fontId="2" fillId="10" borderId="16" xfId="0" applyNumberFormat="1" applyFont="1" applyFill="1" applyBorder="1" applyAlignment="1">
      <alignment horizontal="right" vertical="center" wrapText="1"/>
    </xf>
    <xf numFmtId="3" fontId="2" fillId="10" borderId="43" xfId="0" applyNumberFormat="1" applyFont="1" applyFill="1" applyBorder="1" applyAlignment="1">
      <alignment horizontal="right" vertical="center" wrapText="1"/>
    </xf>
    <xf numFmtId="3" fontId="2" fillId="10" borderId="17" xfId="0" applyNumberFormat="1" applyFont="1" applyFill="1" applyBorder="1" applyAlignment="1">
      <alignment horizontal="right" vertical="center" wrapText="1"/>
    </xf>
    <xf numFmtId="3" fontId="2" fillId="10" borderId="8" xfId="0" applyNumberFormat="1" applyFont="1" applyFill="1" applyBorder="1" applyAlignment="1">
      <alignment horizontal="right" vertical="center" wrapText="1"/>
    </xf>
    <xf numFmtId="3" fontId="2" fillId="10" borderId="47" xfId="0" applyNumberFormat="1" applyFont="1" applyFill="1" applyBorder="1" applyAlignment="1">
      <alignment horizontal="right" vertical="center" wrapText="1"/>
    </xf>
    <xf numFmtId="3" fontId="2" fillId="10" borderId="9" xfId="0" applyNumberFormat="1" applyFont="1" applyFill="1" applyBorder="1" applyAlignment="1">
      <alignment horizontal="right" vertical="center" wrapText="1"/>
    </xf>
    <xf numFmtId="3" fontId="3" fillId="10" borderId="16" xfId="0" applyNumberFormat="1" applyFont="1" applyFill="1" applyBorder="1" applyAlignment="1">
      <alignment horizontal="center" vertical="center" wrapText="1"/>
    </xf>
    <xf numFmtId="3" fontId="3" fillId="10" borderId="43" xfId="0" applyNumberFormat="1" applyFont="1" applyFill="1" applyBorder="1" applyAlignment="1">
      <alignment horizontal="center" vertical="center" wrapText="1"/>
    </xf>
    <xf numFmtId="3" fontId="3" fillId="10" borderId="17" xfId="0" applyNumberFormat="1" applyFont="1" applyFill="1" applyBorder="1" applyAlignment="1">
      <alignment horizontal="center" vertical="center" wrapText="1"/>
    </xf>
    <xf numFmtId="3" fontId="3" fillId="10" borderId="8" xfId="0" applyNumberFormat="1" applyFont="1" applyFill="1" applyBorder="1" applyAlignment="1">
      <alignment horizontal="center" vertical="center" wrapText="1"/>
    </xf>
    <xf numFmtId="3" fontId="3" fillId="10" borderId="47" xfId="0" applyNumberFormat="1" applyFont="1" applyFill="1" applyBorder="1" applyAlignment="1">
      <alignment horizontal="center" vertical="center" wrapText="1"/>
    </xf>
    <xf numFmtId="3" fontId="3" fillId="10" borderId="9" xfId="0" applyNumberFormat="1" applyFont="1" applyFill="1" applyBorder="1" applyAlignment="1">
      <alignment horizontal="center" vertical="center" wrapText="1"/>
    </xf>
    <xf numFmtId="49" fontId="14" fillId="2" borderId="5" xfId="0" applyNumberFormat="1" applyFont="1" applyFill="1" applyBorder="1" applyAlignment="1">
      <alignment horizontal="center" vertical="center" wrapText="1"/>
    </xf>
    <xf numFmtId="49" fontId="14" fillId="2" borderId="6" xfId="0" applyNumberFormat="1" applyFont="1" applyFill="1" applyBorder="1" applyAlignment="1">
      <alignment horizontal="center" vertical="center" wrapText="1"/>
    </xf>
    <xf numFmtId="3" fontId="2" fillId="9" borderId="14" xfId="0" applyNumberFormat="1" applyFont="1" applyFill="1" applyBorder="1" applyAlignment="1">
      <alignment horizontal="right" vertical="center" wrapText="1"/>
    </xf>
    <xf numFmtId="3" fontId="2" fillId="9" borderId="42" xfId="0" applyNumberFormat="1" applyFont="1" applyFill="1" applyBorder="1" applyAlignment="1">
      <alignment horizontal="right" vertical="center" wrapText="1"/>
    </xf>
    <xf numFmtId="3" fontId="2" fillId="9" borderId="15" xfId="0" applyNumberFormat="1" applyFont="1" applyFill="1" applyBorder="1" applyAlignment="1">
      <alignment horizontal="right" vertical="center" wrapText="1"/>
    </xf>
    <xf numFmtId="0" fontId="5" fillId="2" borderId="42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0" fillId="19" borderId="5" xfId="0" applyFill="1" applyBorder="1" applyAlignment="1">
      <alignment horizontal="right" vertical="center"/>
    </xf>
    <xf numFmtId="0" fontId="0" fillId="19" borderId="6" xfId="0" applyFill="1" applyBorder="1" applyAlignment="1">
      <alignment horizontal="right" vertical="center"/>
    </xf>
    <xf numFmtId="0" fontId="6" fillId="19" borderId="5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0" fillId="19" borderId="13" xfId="0" applyFill="1" applyBorder="1" applyAlignment="1">
      <alignment horizontal="right" vertical="center"/>
    </xf>
    <xf numFmtId="0" fontId="6" fillId="19" borderId="13" xfId="0" applyFont="1" applyFill="1" applyBorder="1" applyAlignment="1">
      <alignment horizontal="center" vertical="center"/>
    </xf>
    <xf numFmtId="3" fontId="2" fillId="19" borderId="14" xfId="0" applyNumberFormat="1" applyFont="1" applyFill="1" applyBorder="1" applyAlignment="1">
      <alignment horizontal="center" vertical="center" wrapText="1"/>
    </xf>
    <xf numFmtId="3" fontId="2" fillId="19" borderId="42" xfId="0" applyNumberFormat="1" applyFont="1" applyFill="1" applyBorder="1" applyAlignment="1">
      <alignment horizontal="center" vertical="center" wrapText="1"/>
    </xf>
    <xf numFmtId="3" fontId="2" fillId="19" borderId="15" xfId="0" applyNumberFormat="1" applyFont="1" applyFill="1" applyBorder="1" applyAlignment="1">
      <alignment horizontal="center" vertical="center" wrapText="1"/>
    </xf>
    <xf numFmtId="3" fontId="3" fillId="19" borderId="14" xfId="0" applyNumberFormat="1" applyFont="1" applyFill="1" applyBorder="1" applyAlignment="1">
      <alignment horizontal="center" vertical="center" wrapText="1"/>
    </xf>
    <xf numFmtId="3" fontId="3" fillId="19" borderId="42" xfId="0" applyNumberFormat="1" applyFont="1" applyFill="1" applyBorder="1" applyAlignment="1">
      <alignment horizontal="center" vertical="center" wrapText="1"/>
    </xf>
    <xf numFmtId="3" fontId="3" fillId="19" borderId="15" xfId="0" applyNumberFormat="1" applyFont="1" applyFill="1" applyBorder="1" applyAlignment="1">
      <alignment horizontal="center" vertical="center" wrapText="1"/>
    </xf>
    <xf numFmtId="3" fontId="2" fillId="2" borderId="14" xfId="0" applyNumberFormat="1" applyFont="1" applyFill="1" applyBorder="1" applyAlignment="1">
      <alignment horizontal="right" vertical="center"/>
    </xf>
    <xf numFmtId="3" fontId="2" fillId="2" borderId="42" xfId="0" applyNumberFormat="1" applyFont="1" applyFill="1" applyBorder="1" applyAlignment="1">
      <alignment horizontal="right" vertical="center"/>
    </xf>
    <xf numFmtId="0" fontId="0" fillId="20" borderId="5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3" fontId="2" fillId="19" borderId="5" xfId="0" applyNumberFormat="1" applyFont="1" applyFill="1" applyBorder="1" applyAlignment="1">
      <alignment horizontal="center" vertical="center" wrapText="1"/>
    </xf>
    <xf numFmtId="3" fontId="2" fillId="19" borderId="13" xfId="0" applyNumberFormat="1" applyFont="1" applyFill="1" applyBorder="1" applyAlignment="1">
      <alignment horizontal="center" vertical="center" wrapText="1"/>
    </xf>
    <xf numFmtId="3" fontId="2" fillId="19" borderId="6" xfId="0" applyNumberFormat="1" applyFont="1" applyFill="1" applyBorder="1" applyAlignment="1">
      <alignment horizontal="center" vertical="center" wrapText="1"/>
    </xf>
    <xf numFmtId="3" fontId="5" fillId="4" borderId="5" xfId="0" applyNumberFormat="1" applyFont="1" applyFill="1" applyBorder="1" applyAlignment="1">
      <alignment horizontal="center" vertical="center" wrapText="1"/>
    </xf>
    <xf numFmtId="3" fontId="5" fillId="4" borderId="6" xfId="0" applyNumberFormat="1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42" xfId="0" applyFont="1" applyBorder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3" fontId="2" fillId="5" borderId="5" xfId="0" applyNumberFormat="1" applyFont="1" applyFill="1" applyBorder="1" applyAlignment="1">
      <alignment horizontal="center" vertical="center" wrapText="1"/>
    </xf>
    <xf numFmtId="3" fontId="2" fillId="5" borderId="6" xfId="0" applyNumberFormat="1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3" fontId="2" fillId="17" borderId="5" xfId="0" applyNumberFormat="1" applyFont="1" applyFill="1" applyBorder="1" applyAlignment="1">
      <alignment horizontal="center" vertical="center" wrapText="1"/>
    </xf>
    <xf numFmtId="3" fontId="2" fillId="17" borderId="6" xfId="0" applyNumberFormat="1" applyFont="1" applyFill="1" applyBorder="1" applyAlignment="1">
      <alignment horizontal="center" vertical="center" wrapText="1"/>
    </xf>
    <xf numFmtId="164" fontId="2" fillId="17" borderId="5" xfId="0" applyNumberFormat="1" applyFont="1" applyFill="1" applyBorder="1" applyAlignment="1">
      <alignment horizontal="center" vertical="center" wrapText="1"/>
    </xf>
    <xf numFmtId="164" fontId="2" fillId="17" borderId="6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3" fontId="5" fillId="11" borderId="14" xfId="0" applyNumberFormat="1" applyFont="1" applyFill="1" applyBorder="1" applyAlignment="1">
      <alignment horizontal="right" vertical="center" wrapText="1"/>
    </xf>
    <xf numFmtId="3" fontId="5" fillId="11" borderId="42" xfId="0" applyNumberFormat="1" applyFont="1" applyFill="1" applyBorder="1" applyAlignment="1">
      <alignment horizontal="right" vertical="center" wrapText="1"/>
    </xf>
    <xf numFmtId="3" fontId="5" fillId="11" borderId="15" xfId="0" applyNumberFormat="1" applyFont="1" applyFill="1" applyBorder="1" applyAlignment="1">
      <alignment horizontal="right" vertical="center" wrapText="1"/>
    </xf>
    <xf numFmtId="3" fontId="2" fillId="4" borderId="16" xfId="0" applyNumberFormat="1" applyFont="1" applyFill="1" applyBorder="1" applyAlignment="1">
      <alignment horizontal="center" vertical="center" wrapText="1"/>
    </xf>
    <xf numFmtId="3" fontId="2" fillId="4" borderId="43" xfId="0" applyNumberFormat="1" applyFont="1" applyFill="1" applyBorder="1" applyAlignment="1">
      <alignment horizontal="center" vertical="center" wrapText="1"/>
    </xf>
    <xf numFmtId="3" fontId="2" fillId="4" borderId="17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47" xfId="0" applyNumberFormat="1" applyFont="1" applyFill="1" applyBorder="1" applyAlignment="1">
      <alignment horizontal="center" vertical="center" wrapText="1"/>
    </xf>
    <xf numFmtId="3" fontId="2" fillId="4" borderId="9" xfId="0" applyNumberFormat="1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164" fontId="2" fillId="19" borderId="16" xfId="0" applyNumberFormat="1" applyFont="1" applyFill="1" applyBorder="1" applyAlignment="1">
      <alignment horizontal="center" vertical="center" wrapText="1"/>
    </xf>
    <xf numFmtId="164" fontId="2" fillId="19" borderId="18" xfId="0" applyNumberFormat="1" applyFont="1" applyFill="1" applyBorder="1" applyAlignment="1">
      <alignment horizontal="center" vertical="center" wrapText="1"/>
    </xf>
    <xf numFmtId="164" fontId="2" fillId="19" borderId="8" xfId="0" applyNumberFormat="1" applyFont="1" applyFill="1" applyBorder="1" applyAlignment="1">
      <alignment horizontal="center" vertical="center" wrapText="1"/>
    </xf>
    <xf numFmtId="3" fontId="2" fillId="19" borderId="1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3" fontId="5" fillId="10" borderId="16" xfId="0" applyNumberFormat="1" applyFont="1" applyFill="1" applyBorder="1" applyAlignment="1">
      <alignment horizontal="center" vertical="center" wrapText="1"/>
    </xf>
    <xf numFmtId="3" fontId="5" fillId="10" borderId="43" xfId="0" applyNumberFormat="1" applyFont="1" applyFill="1" applyBorder="1" applyAlignment="1">
      <alignment horizontal="center" vertical="center" wrapText="1"/>
    </xf>
    <xf numFmtId="3" fontId="5" fillId="10" borderId="17" xfId="0" applyNumberFormat="1" applyFont="1" applyFill="1" applyBorder="1" applyAlignment="1">
      <alignment horizontal="center" vertical="center" wrapText="1"/>
    </xf>
    <xf numFmtId="3" fontId="5" fillId="10" borderId="8" xfId="0" applyNumberFormat="1" applyFont="1" applyFill="1" applyBorder="1" applyAlignment="1">
      <alignment horizontal="center" vertical="center" wrapText="1"/>
    </xf>
    <xf numFmtId="3" fontId="5" fillId="10" borderId="47" xfId="0" applyNumberFormat="1" applyFont="1" applyFill="1" applyBorder="1" applyAlignment="1">
      <alignment horizontal="center" vertical="center" wrapText="1"/>
    </xf>
    <xf numFmtId="3" fontId="5" fillId="10" borderId="9" xfId="0" applyNumberFormat="1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3" fontId="2" fillId="11" borderId="16" xfId="0" applyNumberFormat="1" applyFont="1" applyFill="1" applyBorder="1" applyAlignment="1">
      <alignment horizontal="center" vertical="center" wrapText="1"/>
    </xf>
    <xf numFmtId="3" fontId="2" fillId="11" borderId="43" xfId="0" applyNumberFormat="1" applyFont="1" applyFill="1" applyBorder="1" applyAlignment="1">
      <alignment horizontal="center" vertical="center" wrapText="1"/>
    </xf>
    <xf numFmtId="3" fontId="2" fillId="11" borderId="17" xfId="0" applyNumberFormat="1" applyFont="1" applyFill="1" applyBorder="1" applyAlignment="1">
      <alignment horizontal="center" vertical="center" wrapText="1"/>
    </xf>
    <xf numFmtId="3" fontId="2" fillId="11" borderId="18" xfId="0" applyNumberFormat="1" applyFont="1" applyFill="1" applyBorder="1" applyAlignment="1">
      <alignment horizontal="center" vertical="center" wrapText="1"/>
    </xf>
    <xf numFmtId="3" fontId="2" fillId="11" borderId="0" xfId="0" applyNumberFormat="1" applyFont="1" applyFill="1" applyBorder="1" applyAlignment="1">
      <alignment horizontal="center" vertical="center" wrapText="1"/>
    </xf>
    <xf numFmtId="3" fontId="2" fillId="11" borderId="19" xfId="0" applyNumberFormat="1" applyFont="1" applyFill="1" applyBorder="1" applyAlignment="1">
      <alignment horizontal="center" vertical="center" wrapText="1"/>
    </xf>
    <xf numFmtId="3" fontId="2" fillId="11" borderId="8" xfId="0" applyNumberFormat="1" applyFont="1" applyFill="1" applyBorder="1" applyAlignment="1">
      <alignment horizontal="center" vertical="center" wrapText="1"/>
    </xf>
    <xf numFmtId="3" fontId="2" fillId="11" borderId="47" xfId="0" applyNumberFormat="1" applyFont="1" applyFill="1" applyBorder="1" applyAlignment="1">
      <alignment horizontal="center" vertical="center" wrapText="1"/>
    </xf>
    <xf numFmtId="3" fontId="2" fillId="11" borderId="9" xfId="0" applyNumberFormat="1" applyFont="1" applyFill="1" applyBorder="1" applyAlignment="1">
      <alignment horizontal="center" vertical="center" wrapText="1"/>
    </xf>
    <xf numFmtId="3" fontId="2" fillId="5" borderId="8" xfId="0" applyNumberFormat="1" applyFont="1" applyFill="1" applyBorder="1" applyAlignment="1">
      <alignment horizontal="right" vertical="center" wrapText="1"/>
    </xf>
    <xf numFmtId="3" fontId="2" fillId="5" borderId="47" xfId="0" applyNumberFormat="1" applyFont="1" applyFill="1" applyBorder="1" applyAlignment="1">
      <alignment horizontal="right" vertical="center" wrapText="1"/>
    </xf>
    <xf numFmtId="3" fontId="2" fillId="5" borderId="9" xfId="0" applyNumberFormat="1" applyFont="1" applyFill="1" applyBorder="1" applyAlignment="1">
      <alignment horizontal="right" vertical="center" wrapText="1"/>
    </xf>
    <xf numFmtId="3" fontId="3" fillId="11" borderId="14" xfId="0" applyNumberFormat="1" applyFont="1" applyFill="1" applyBorder="1" applyAlignment="1">
      <alignment horizontal="center" vertical="center" wrapText="1"/>
    </xf>
    <xf numFmtId="3" fontId="3" fillId="11" borderId="42" xfId="0" applyNumberFormat="1" applyFont="1" applyFill="1" applyBorder="1" applyAlignment="1">
      <alignment horizontal="center" vertical="center" wrapText="1"/>
    </xf>
    <xf numFmtId="3" fontId="3" fillId="11" borderId="15" xfId="0" applyNumberFormat="1" applyFont="1" applyFill="1" applyBorder="1" applyAlignment="1">
      <alignment horizontal="center" vertical="center" wrapText="1"/>
    </xf>
    <xf numFmtId="3" fontId="2" fillId="9" borderId="14" xfId="0" applyNumberFormat="1" applyFont="1" applyFill="1" applyBorder="1" applyAlignment="1">
      <alignment horizontal="center" vertical="center" wrapText="1"/>
    </xf>
    <xf numFmtId="3" fontId="2" fillId="9" borderId="42" xfId="0" applyNumberFormat="1" applyFont="1" applyFill="1" applyBorder="1" applyAlignment="1">
      <alignment horizontal="center" vertical="center" wrapText="1"/>
    </xf>
    <xf numFmtId="3" fontId="5" fillId="5" borderId="1" xfId="0" applyNumberFormat="1" applyFont="1" applyFill="1" applyBorder="1" applyAlignment="1">
      <alignment horizontal="center" vertical="center" wrapText="1"/>
    </xf>
    <xf numFmtId="3" fontId="2" fillId="5" borderId="13" xfId="0" applyNumberFormat="1" applyFont="1" applyFill="1" applyBorder="1" applyAlignment="1">
      <alignment horizontal="center" vertical="center" wrapText="1"/>
    </xf>
    <xf numFmtId="3" fontId="14" fillId="4" borderId="14" xfId="0" applyNumberFormat="1" applyFont="1" applyFill="1" applyBorder="1" applyAlignment="1">
      <alignment horizontal="right" vertical="center" wrapText="1"/>
    </xf>
    <xf numFmtId="3" fontId="14" fillId="4" borderId="42" xfId="0" applyNumberFormat="1" applyFont="1" applyFill="1" applyBorder="1" applyAlignment="1">
      <alignment horizontal="right" vertical="center" wrapText="1"/>
    </xf>
    <xf numFmtId="3" fontId="14" fillId="4" borderId="15" xfId="0" applyNumberFormat="1" applyFont="1" applyFill="1" applyBorder="1" applyAlignment="1">
      <alignment horizontal="right" vertical="center" wrapText="1"/>
    </xf>
    <xf numFmtId="3" fontId="2" fillId="5" borderId="14" xfId="0" applyNumberFormat="1" applyFont="1" applyFill="1" applyBorder="1" applyAlignment="1">
      <alignment horizontal="center" vertical="center" wrapText="1"/>
    </xf>
    <xf numFmtId="3" fontId="2" fillId="5" borderId="15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3" fontId="2" fillId="2" borderId="16" xfId="0" applyNumberFormat="1" applyFont="1" applyFill="1" applyBorder="1" applyAlignment="1">
      <alignment horizontal="right" vertical="center" wrapText="1"/>
    </xf>
    <xf numFmtId="3" fontId="2" fillId="2" borderId="43" xfId="0" applyNumberFormat="1" applyFont="1" applyFill="1" applyBorder="1" applyAlignment="1">
      <alignment horizontal="right" vertical="center" wrapText="1"/>
    </xf>
    <xf numFmtId="3" fontId="2" fillId="2" borderId="17" xfId="0" applyNumberFormat="1" applyFont="1" applyFill="1" applyBorder="1" applyAlignment="1">
      <alignment horizontal="right" vertical="center" wrapText="1"/>
    </xf>
    <xf numFmtId="3" fontId="2" fillId="2" borderId="18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3" fontId="2" fillId="2" borderId="19" xfId="0" applyNumberFormat="1" applyFont="1" applyFill="1" applyBorder="1" applyAlignment="1">
      <alignment horizontal="right" vertical="center" wrapText="1"/>
    </xf>
    <xf numFmtId="3" fontId="2" fillId="2" borderId="8" xfId="0" applyNumberFormat="1" applyFont="1" applyFill="1" applyBorder="1" applyAlignment="1">
      <alignment horizontal="right" vertical="center" wrapText="1"/>
    </xf>
    <xf numFmtId="3" fontId="2" fillId="2" borderId="47" xfId="0" applyNumberFormat="1" applyFont="1" applyFill="1" applyBorder="1" applyAlignment="1">
      <alignment horizontal="right" vertical="center" wrapText="1"/>
    </xf>
    <xf numFmtId="3" fontId="2" fillId="2" borderId="9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0" fontId="0" fillId="11" borderId="1" xfId="0" applyFill="1" applyBorder="1" applyAlignment="1">
      <alignment horizontal="right" vertical="center"/>
    </xf>
    <xf numFmtId="0" fontId="3" fillId="11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2" borderId="52" xfId="0" applyFont="1" applyFill="1" applyBorder="1" applyAlignment="1">
      <alignment vertical="center"/>
    </xf>
    <xf numFmtId="0" fontId="10" fillId="0" borderId="3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3" fontId="2" fillId="9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right" vertical="center"/>
    </xf>
    <xf numFmtId="0" fontId="3" fillId="12" borderId="1" xfId="0" applyFont="1" applyFill="1" applyBorder="1" applyAlignment="1">
      <alignment horizontal="center" vertical="center"/>
    </xf>
    <xf numFmtId="3" fontId="2" fillId="12" borderId="1" xfId="0" applyNumberFormat="1" applyFont="1" applyFill="1" applyBorder="1" applyAlignment="1">
      <alignment horizontal="center" vertical="center" wrapText="1"/>
    </xf>
    <xf numFmtId="164" fontId="2" fillId="12" borderId="1" xfId="0" applyNumberFormat="1" applyFont="1" applyFill="1" applyBorder="1" applyAlignment="1">
      <alignment horizontal="center" vertical="center" wrapText="1"/>
    </xf>
    <xf numFmtId="0" fontId="2" fillId="12" borderId="52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wrapText="1"/>
    </xf>
    <xf numFmtId="3" fontId="2" fillId="5" borderId="14" xfId="0" applyNumberFormat="1" applyFont="1" applyFill="1" applyBorder="1" applyAlignment="1">
      <alignment horizontal="right" vertical="center" wrapText="1"/>
    </xf>
    <xf numFmtId="3" fontId="2" fillId="5" borderId="42" xfId="0" applyNumberFormat="1" applyFont="1" applyFill="1" applyBorder="1" applyAlignment="1">
      <alignment horizontal="right" vertical="center" wrapText="1"/>
    </xf>
    <xf numFmtId="3" fontId="2" fillId="5" borderId="15" xfId="0" applyNumberFormat="1" applyFont="1" applyFill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/>
    </xf>
    <xf numFmtId="164" fontId="2" fillId="2" borderId="52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5" fillId="2" borderId="11" xfId="0" applyFont="1" applyFill="1" applyBorder="1" applyAlignment="1">
      <alignment vertical="center"/>
    </xf>
    <xf numFmtId="0" fontId="3" fillId="2" borderId="34" xfId="0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/>
    </xf>
    <xf numFmtId="0" fontId="1" fillId="0" borderId="4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3" fontId="2" fillId="4" borderId="44" xfId="0" applyNumberFormat="1" applyFont="1" applyFill="1" applyBorder="1" applyAlignment="1">
      <alignment horizontal="center" vertical="center" wrapText="1"/>
    </xf>
    <xf numFmtId="3" fontId="2" fillId="4" borderId="54" xfId="0" applyNumberFormat="1" applyFont="1" applyFill="1" applyBorder="1" applyAlignment="1">
      <alignment horizontal="center" vertical="center" wrapText="1"/>
    </xf>
    <xf numFmtId="3" fontId="2" fillId="4" borderId="45" xfId="0" applyNumberFormat="1" applyFont="1" applyFill="1" applyBorder="1" applyAlignment="1">
      <alignment horizontal="center" vertical="center" wrapText="1"/>
    </xf>
    <xf numFmtId="0" fontId="0" fillId="2" borderId="35" xfId="0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3" fontId="2" fillId="2" borderId="54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14" xfId="0" applyNumberFormat="1" applyFont="1" applyFill="1" applyBorder="1" applyAlignment="1">
      <alignment horizontal="center" vertical="center" wrapText="1"/>
    </xf>
    <xf numFmtId="1" fontId="5" fillId="2" borderId="42" xfId="0" applyNumberFormat="1" applyFont="1" applyFill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right" vertical="center" wrapText="1"/>
    </xf>
    <xf numFmtId="164" fontId="2" fillId="3" borderId="5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3" sqref="B23"/>
    </sheetView>
  </sheetViews>
  <sheetFormatPr defaultRowHeight="14.2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rightToLeft="1" topLeftCell="A25" zoomScaleNormal="100" workbookViewId="0">
      <selection activeCell="A31" sqref="A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B1" s="1929" t="s">
        <v>1486</v>
      </c>
      <c r="C1" s="1930"/>
      <c r="D1" s="1931"/>
    </row>
    <row r="2" spans="1:7" ht="50.1" customHeight="1" x14ac:dyDescent="0.2">
      <c r="A2" s="10" t="s">
        <v>0</v>
      </c>
      <c r="B2" s="154" t="s">
        <v>1485</v>
      </c>
      <c r="C2" s="8" t="s">
        <v>889</v>
      </c>
      <c r="D2" s="155" t="s">
        <v>890</v>
      </c>
      <c r="F2" s="445" t="s">
        <v>1513</v>
      </c>
    </row>
    <row r="3" spans="1:7" ht="50.1" customHeight="1" x14ac:dyDescent="0.2">
      <c r="A3" s="231"/>
      <c r="B3" s="156">
        <v>2157000000</v>
      </c>
      <c r="C3" s="1955" t="s">
        <v>1530</v>
      </c>
      <c r="D3" s="1988"/>
    </row>
    <row r="4" spans="1:7" ht="30" customHeight="1" x14ac:dyDescent="0.2">
      <c r="A4" s="153">
        <v>1</v>
      </c>
      <c r="B4" s="443">
        <v>100000000</v>
      </c>
      <c r="C4" s="444" t="s">
        <v>1487</v>
      </c>
      <c r="D4" s="157"/>
      <c r="F4" s="446">
        <f>B4+B5+B6+B7+B8+B9</f>
        <v>400000000</v>
      </c>
      <c r="G4" s="5" t="s">
        <v>1515</v>
      </c>
    </row>
    <row r="5" spans="1:7" ht="30" customHeight="1" x14ac:dyDescent="0.2">
      <c r="A5" s="153">
        <v>2</v>
      </c>
      <c r="B5" s="443">
        <v>100000000</v>
      </c>
      <c r="C5" s="444" t="s">
        <v>1488</v>
      </c>
      <c r="D5" s="158"/>
      <c r="F5" s="446">
        <f>B10+B11+B12+B13</f>
        <v>450000000</v>
      </c>
      <c r="G5" s="5" t="s">
        <v>1516</v>
      </c>
    </row>
    <row r="6" spans="1:7" ht="30" customHeight="1" x14ac:dyDescent="0.2">
      <c r="A6" s="153">
        <v>3</v>
      </c>
      <c r="B6" s="443">
        <v>100000000</v>
      </c>
      <c r="C6" s="444" t="s">
        <v>1489</v>
      </c>
      <c r="D6" s="158"/>
      <c r="F6" s="446">
        <f>B14+B15+B16</f>
        <v>125000000</v>
      </c>
      <c r="G6" s="5" t="s">
        <v>1517</v>
      </c>
    </row>
    <row r="7" spans="1:7" ht="30" customHeight="1" x14ac:dyDescent="0.2">
      <c r="A7" s="153">
        <v>4</v>
      </c>
      <c r="B7" s="443">
        <v>25000000</v>
      </c>
      <c r="C7" s="444" t="s">
        <v>1490</v>
      </c>
      <c r="D7" s="158"/>
      <c r="F7" s="446">
        <f>B17+B18+B19</f>
        <v>85000000</v>
      </c>
      <c r="G7" s="5" t="s">
        <v>1518</v>
      </c>
    </row>
    <row r="8" spans="1:7" ht="30" customHeight="1" x14ac:dyDescent="0.2">
      <c r="A8" s="153">
        <v>5</v>
      </c>
      <c r="B8" s="443">
        <v>70000000</v>
      </c>
      <c r="C8" s="444" t="s">
        <v>1490</v>
      </c>
      <c r="D8" s="158"/>
      <c r="F8" s="446">
        <f>B20</f>
        <v>40000000</v>
      </c>
      <c r="G8" s="5" t="s">
        <v>1519</v>
      </c>
    </row>
    <row r="9" spans="1:7" ht="30" customHeight="1" x14ac:dyDescent="0.2">
      <c r="A9" s="153">
        <v>6</v>
      </c>
      <c r="B9" s="443">
        <v>5000000</v>
      </c>
      <c r="C9" s="444" t="s">
        <v>1491</v>
      </c>
      <c r="D9" s="158"/>
      <c r="F9" s="446">
        <f>B21</f>
        <v>50000000</v>
      </c>
      <c r="G9" s="5" t="s">
        <v>1520</v>
      </c>
    </row>
    <row r="10" spans="1:7" ht="30" customHeight="1" x14ac:dyDescent="0.2">
      <c r="A10" s="153">
        <v>7</v>
      </c>
      <c r="B10" s="443">
        <v>50000000</v>
      </c>
      <c r="C10" s="444" t="s">
        <v>1492</v>
      </c>
      <c r="D10" s="158"/>
      <c r="F10" s="446">
        <f>B22</f>
        <v>50000000</v>
      </c>
      <c r="G10" s="5" t="s">
        <v>1521</v>
      </c>
    </row>
    <row r="11" spans="1:7" ht="30" customHeight="1" x14ac:dyDescent="0.2">
      <c r="A11" s="153">
        <v>8</v>
      </c>
      <c r="B11" s="443">
        <v>100000000</v>
      </c>
      <c r="C11" s="444" t="s">
        <v>1493</v>
      </c>
      <c r="D11" s="159"/>
    </row>
    <row r="12" spans="1:7" ht="30" customHeight="1" x14ac:dyDescent="0.2">
      <c r="A12" s="153">
        <v>9</v>
      </c>
      <c r="B12" s="443">
        <v>200000000</v>
      </c>
      <c r="C12" s="444" t="s">
        <v>1498</v>
      </c>
      <c r="D12" s="158"/>
      <c r="F12" s="445">
        <f>SUM(F4:F11)</f>
        <v>1200000000</v>
      </c>
    </row>
    <row r="13" spans="1:7" ht="30" customHeight="1" x14ac:dyDescent="0.2">
      <c r="A13" s="153">
        <v>10</v>
      </c>
      <c r="B13" s="443">
        <v>100000000</v>
      </c>
      <c r="C13" s="444" t="s">
        <v>1510</v>
      </c>
      <c r="D13" s="158" t="s">
        <v>1223</v>
      </c>
    </row>
    <row r="14" spans="1:7" ht="30" customHeight="1" x14ac:dyDescent="0.2">
      <c r="A14" s="153">
        <v>11</v>
      </c>
      <c r="B14" s="443">
        <v>25000000</v>
      </c>
      <c r="C14" s="444" t="s">
        <v>1504</v>
      </c>
      <c r="D14" s="158" t="s">
        <v>1223</v>
      </c>
    </row>
    <row r="15" spans="1:7" ht="30" customHeight="1" x14ac:dyDescent="0.2">
      <c r="A15" s="153">
        <v>12</v>
      </c>
      <c r="B15" s="443">
        <v>50000000</v>
      </c>
      <c r="C15" s="444" t="s">
        <v>1504</v>
      </c>
      <c r="D15" s="158" t="s">
        <v>1223</v>
      </c>
    </row>
    <row r="16" spans="1:7" ht="30" customHeight="1" x14ac:dyDescent="0.2">
      <c r="A16" s="153">
        <v>13</v>
      </c>
      <c r="B16" s="443">
        <v>50000000</v>
      </c>
      <c r="C16" s="444" t="s">
        <v>1503</v>
      </c>
      <c r="D16" s="158"/>
    </row>
    <row r="17" spans="1:4" ht="30" customHeight="1" x14ac:dyDescent="0.2">
      <c r="A17" s="153">
        <v>14</v>
      </c>
      <c r="B17" s="443">
        <v>50000000</v>
      </c>
      <c r="C17" s="444" t="s">
        <v>1495</v>
      </c>
      <c r="D17" s="158"/>
    </row>
    <row r="18" spans="1:4" ht="30" customHeight="1" x14ac:dyDescent="0.2">
      <c r="A18" s="153">
        <v>15</v>
      </c>
      <c r="B18" s="443">
        <v>10000000</v>
      </c>
      <c r="C18" s="444" t="s">
        <v>1496</v>
      </c>
      <c r="D18" s="158"/>
    </row>
    <row r="19" spans="1:4" ht="30" customHeight="1" x14ac:dyDescent="0.2">
      <c r="A19" s="153">
        <v>16</v>
      </c>
      <c r="B19" s="443">
        <v>25000000</v>
      </c>
      <c r="C19" s="444" t="s">
        <v>1494</v>
      </c>
      <c r="D19" s="158"/>
    </row>
    <row r="20" spans="1:4" ht="30" customHeight="1" x14ac:dyDescent="0.2">
      <c r="A20" s="153">
        <v>17</v>
      </c>
      <c r="B20" s="443">
        <v>40000000</v>
      </c>
      <c r="C20" s="444" t="s">
        <v>898</v>
      </c>
      <c r="D20" s="158"/>
    </row>
    <row r="21" spans="1:4" ht="30" customHeight="1" x14ac:dyDescent="0.2">
      <c r="A21" s="153">
        <v>18</v>
      </c>
      <c r="B21" s="443">
        <v>50000000</v>
      </c>
      <c r="C21" s="444" t="s">
        <v>1497</v>
      </c>
      <c r="D21" s="158"/>
    </row>
    <row r="22" spans="1:4" ht="30" customHeight="1" x14ac:dyDescent="0.2">
      <c r="A22" s="153">
        <v>19</v>
      </c>
      <c r="B22" s="443">
        <v>50000000</v>
      </c>
      <c r="C22" s="444" t="s">
        <v>769</v>
      </c>
      <c r="D22" s="158"/>
    </row>
    <row r="23" spans="1:4" ht="30" customHeight="1" x14ac:dyDescent="0.2">
      <c r="A23" s="442"/>
      <c r="B23" s="156"/>
      <c r="C23" s="412"/>
      <c r="D23" s="158"/>
    </row>
    <row r="24" spans="1:4" ht="30" customHeight="1" thickBot="1" x14ac:dyDescent="0.25">
      <c r="A24" s="417" t="s">
        <v>903</v>
      </c>
      <c r="B24" s="160">
        <f>SUM(B4:B22)</f>
        <v>1200000000</v>
      </c>
      <c r="C24" s="1981" t="s">
        <v>1531</v>
      </c>
      <c r="D24" s="1982"/>
    </row>
    <row r="26" spans="1:4" ht="15" thickBot="1" x14ac:dyDescent="0.25"/>
    <row r="27" spans="1:4" ht="50.1" customHeight="1" thickBot="1" x14ac:dyDescent="0.25">
      <c r="A27" s="447"/>
      <c r="B27" s="1930" t="s">
        <v>1486</v>
      </c>
      <c r="C27" s="1930"/>
      <c r="D27" s="1931"/>
    </row>
    <row r="28" spans="1:4" ht="50.1" customHeight="1" x14ac:dyDescent="0.2">
      <c r="A28" s="231" t="s">
        <v>0</v>
      </c>
      <c r="B28" s="154" t="s">
        <v>906</v>
      </c>
      <c r="C28" s="8" t="s">
        <v>889</v>
      </c>
      <c r="D28" s="155" t="s">
        <v>890</v>
      </c>
    </row>
    <row r="29" spans="1:4" ht="50.1" customHeight="1" x14ac:dyDescent="0.2">
      <c r="A29" s="231"/>
      <c r="B29" s="443">
        <v>1685000000</v>
      </c>
      <c r="C29" s="1955" t="s">
        <v>1532</v>
      </c>
      <c r="D29" s="1988"/>
    </row>
    <row r="30" spans="1:4" ht="30" customHeight="1" x14ac:dyDescent="0.2">
      <c r="A30" s="442"/>
      <c r="B30" s="1986" t="s">
        <v>1533</v>
      </c>
      <c r="C30" s="1948"/>
      <c r="D30" s="1987"/>
    </row>
    <row r="31" spans="1:4" ht="27" thickBot="1" x14ac:dyDescent="0.25">
      <c r="A31" s="417" t="s">
        <v>903</v>
      </c>
      <c r="B31" s="203"/>
      <c r="C31" s="1981"/>
      <c r="D31" s="1982"/>
    </row>
  </sheetData>
  <mergeCells count="7">
    <mergeCell ref="C31:D31"/>
    <mergeCell ref="B30:D30"/>
    <mergeCell ref="B1:D1"/>
    <mergeCell ref="C3:D3"/>
    <mergeCell ref="C24:D24"/>
    <mergeCell ref="B27:D27"/>
    <mergeCell ref="C29:D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A4" zoomScale="60" zoomScaleNormal="60" workbookViewId="0">
      <selection activeCell="C5" sqref="C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15" thickBot="1" x14ac:dyDescent="0.25"/>
    <row r="2" spans="1:5" ht="50.1" customHeight="1" thickBot="1" x14ac:dyDescent="0.25">
      <c r="A2" s="1941" t="s">
        <v>2745</v>
      </c>
      <c r="B2" s="1942"/>
      <c r="C2" s="1942"/>
      <c r="D2" s="1942"/>
      <c r="E2" s="1943"/>
    </row>
    <row r="3" spans="1:5" ht="50.1" customHeight="1" thickBot="1" x14ac:dyDescent="0.25">
      <c r="A3" s="640" t="s">
        <v>0</v>
      </c>
      <c r="B3" s="641" t="s">
        <v>906</v>
      </c>
      <c r="C3" s="641" t="s">
        <v>889</v>
      </c>
      <c r="D3" s="641" t="s">
        <v>2034</v>
      </c>
      <c r="E3" s="642" t="s">
        <v>271</v>
      </c>
    </row>
    <row r="4" spans="1:5" ht="50.1" customHeight="1" x14ac:dyDescent="0.2">
      <c r="A4" s="1149">
        <v>1</v>
      </c>
      <c r="B4" s="1213">
        <v>10000000</v>
      </c>
      <c r="C4" s="1215" t="s">
        <v>2577</v>
      </c>
      <c r="D4" s="1213" t="s">
        <v>2061</v>
      </c>
      <c r="E4" s="631"/>
    </row>
    <row r="5" spans="1:5" ht="50.1" customHeight="1" x14ac:dyDescent="0.2">
      <c r="A5" s="1150">
        <v>2</v>
      </c>
      <c r="B5" s="1211">
        <v>5000000</v>
      </c>
      <c r="C5" s="1212" t="s">
        <v>2719</v>
      </c>
      <c r="D5" s="1210" t="s">
        <v>1825</v>
      </c>
      <c r="E5" s="635" t="s">
        <v>3164</v>
      </c>
    </row>
    <row r="6" spans="1:5" ht="50.1" customHeight="1" x14ac:dyDescent="0.2">
      <c r="A6" s="645">
        <v>3</v>
      </c>
      <c r="B6" s="1211">
        <v>20000000</v>
      </c>
      <c r="C6" s="1212" t="s">
        <v>2831</v>
      </c>
      <c r="D6" s="1210" t="s">
        <v>2061</v>
      </c>
      <c r="E6" s="635" t="s">
        <v>2842</v>
      </c>
    </row>
    <row r="7" spans="1:5" ht="50.1" customHeight="1" x14ac:dyDescent="0.2">
      <c r="A7" s="645">
        <v>4</v>
      </c>
      <c r="B7" s="1211">
        <v>8000000</v>
      </c>
      <c r="C7" s="1212" t="s">
        <v>2855</v>
      </c>
      <c r="D7" s="1210" t="s">
        <v>2061</v>
      </c>
      <c r="E7" s="635"/>
    </row>
    <row r="8" spans="1:5" ht="50.1" customHeight="1" x14ac:dyDescent="0.2">
      <c r="A8" s="645" t="s">
        <v>903</v>
      </c>
      <c r="B8" s="1989" t="s">
        <v>2854</v>
      </c>
      <c r="C8" s="1990"/>
      <c r="D8" s="1990"/>
      <c r="E8" s="1991"/>
    </row>
    <row r="9" spans="1:5" ht="50.1" customHeight="1" x14ac:dyDescent="0.2">
      <c r="A9" s="645">
        <v>5</v>
      </c>
      <c r="B9" s="1211"/>
      <c r="C9" s="1212"/>
      <c r="D9" s="1210"/>
      <c r="E9" s="630"/>
    </row>
    <row r="10" spans="1:5" ht="50.1" customHeight="1" x14ac:dyDescent="0.2">
      <c r="A10" s="645">
        <v>6</v>
      </c>
      <c r="B10" s="1211"/>
      <c r="C10" s="1212"/>
      <c r="D10" s="1210"/>
      <c r="E10" s="630"/>
    </row>
    <row r="11" spans="1:5" ht="50.1" customHeight="1" x14ac:dyDescent="0.2">
      <c r="A11" s="645">
        <v>7</v>
      </c>
      <c r="B11" s="1211"/>
      <c r="C11" s="1212"/>
      <c r="D11" s="1210"/>
      <c r="E11" s="630"/>
    </row>
    <row r="12" spans="1:5" ht="50.1" customHeight="1" x14ac:dyDescent="0.2">
      <c r="A12" s="645">
        <v>8</v>
      </c>
      <c r="B12" s="1211"/>
      <c r="C12" s="1212"/>
      <c r="D12" s="1210"/>
      <c r="E12" s="630"/>
    </row>
    <row r="13" spans="1:5" ht="50.1" customHeight="1" x14ac:dyDescent="0.2">
      <c r="A13" s="645">
        <v>9</v>
      </c>
      <c r="B13" s="1211"/>
      <c r="C13" s="1215"/>
      <c r="D13" s="1214"/>
      <c r="E13" s="630"/>
    </row>
    <row r="14" spans="1:5" ht="50.1" customHeight="1" x14ac:dyDescent="0.2">
      <c r="A14" s="645">
        <v>10</v>
      </c>
      <c r="B14" s="1211"/>
      <c r="C14" s="1212"/>
      <c r="D14" s="1210"/>
      <c r="E14" s="630"/>
    </row>
    <row r="15" spans="1:5" ht="50.1" customHeight="1" x14ac:dyDescent="0.2">
      <c r="A15" s="485">
        <v>11</v>
      </c>
      <c r="B15" s="1213"/>
      <c r="C15" s="1215"/>
      <c r="D15" s="1209"/>
      <c r="E15" s="630"/>
    </row>
    <row r="16" spans="1:5" ht="50.1" customHeight="1" x14ac:dyDescent="0.2">
      <c r="A16" s="1148"/>
      <c r="B16" s="1213"/>
      <c r="C16" s="1215"/>
      <c r="D16" s="1213"/>
      <c r="E16" s="630"/>
    </row>
    <row r="17" spans="1:8" ht="50.1" customHeight="1" x14ac:dyDescent="0.2">
      <c r="A17" s="1148"/>
      <c r="B17" s="1213"/>
      <c r="C17" s="1215"/>
      <c r="D17" s="1213"/>
      <c r="E17" s="630"/>
      <c r="H17" s="445"/>
    </row>
    <row r="18" spans="1:8" ht="50.1" customHeight="1" x14ac:dyDescent="0.2">
      <c r="A18" s="1148"/>
      <c r="B18" s="1213"/>
      <c r="C18" s="1215"/>
      <c r="D18" s="1213"/>
      <c r="E18" s="630"/>
      <c r="H18" s="445"/>
    </row>
    <row r="19" spans="1:8" ht="50.1" customHeight="1" x14ac:dyDescent="0.2">
      <c r="A19" s="1148"/>
      <c r="B19" s="1213"/>
      <c r="C19" s="1215"/>
      <c r="D19" s="1213"/>
      <c r="E19" s="630"/>
    </row>
    <row r="20" spans="1:8" ht="50.1" customHeight="1" x14ac:dyDescent="0.2">
      <c r="A20" s="1148"/>
      <c r="B20" s="1213"/>
      <c r="C20" s="1215"/>
      <c r="D20" s="1213"/>
      <c r="E20" s="630"/>
    </row>
    <row r="21" spans="1:8" ht="50.1" customHeight="1" x14ac:dyDescent="0.2">
      <c r="A21" s="1148"/>
      <c r="B21" s="1213"/>
      <c r="C21" s="1215"/>
      <c r="D21" s="1213"/>
      <c r="E21" s="630"/>
    </row>
    <row r="22" spans="1:8" ht="50.1" customHeight="1" x14ac:dyDescent="0.2">
      <c r="A22" s="1148"/>
      <c r="B22" s="1213"/>
      <c r="C22" s="1215"/>
      <c r="D22" s="1213"/>
      <c r="E22" s="630"/>
    </row>
    <row r="23" spans="1:8" ht="50.1" customHeight="1" x14ac:dyDescent="0.2">
      <c r="A23" s="1148"/>
      <c r="B23" s="1213"/>
      <c r="C23" s="1215"/>
      <c r="D23" s="1213"/>
      <c r="E23" s="630"/>
    </row>
    <row r="24" spans="1:8" ht="50.1" customHeight="1" thickBot="1" x14ac:dyDescent="0.25">
      <c r="A24" s="198" t="s">
        <v>2031</v>
      </c>
      <c r="B24" s="1944">
        <f>SUM(B4:B23)</f>
        <v>43000000</v>
      </c>
      <c r="C24" s="1945"/>
      <c r="D24" s="1946"/>
      <c r="E24" s="639"/>
    </row>
  </sheetData>
  <mergeCells count="3">
    <mergeCell ref="A2:E2"/>
    <mergeCell ref="B24:D24"/>
    <mergeCell ref="B8:E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rightToLeft="1" topLeftCell="A16" zoomScale="80" zoomScaleNormal="80" workbookViewId="0">
      <selection activeCell="H22" sqref="H22:I22"/>
    </sheetView>
  </sheetViews>
  <sheetFormatPr defaultRowHeight="14.25" x14ac:dyDescent="0.2"/>
  <cols>
    <col min="1" max="1" width="15.625" style="5" customWidth="1"/>
    <col min="2" max="2" width="33.625" customWidth="1"/>
    <col min="3" max="4" width="15.625" customWidth="1"/>
    <col min="6" max="6" width="17" customWidth="1"/>
    <col min="8" max="8" width="19" customWidth="1"/>
    <col min="9" max="9" width="20.625" customWidth="1"/>
  </cols>
  <sheetData>
    <row r="1" spans="1:9" ht="50.1" customHeight="1" x14ac:dyDescent="0.2">
      <c r="A1" s="2474" t="s">
        <v>3939</v>
      </c>
      <c r="B1" s="2475"/>
      <c r="C1" s="2475"/>
      <c r="D1" s="2475"/>
      <c r="E1" s="2475"/>
      <c r="F1" s="2475"/>
      <c r="G1" s="2475"/>
      <c r="H1" s="2475"/>
      <c r="I1" s="2476"/>
    </row>
    <row r="2" spans="1:9" ht="30" customHeight="1" x14ac:dyDescent="0.2">
      <c r="A2" s="645">
        <v>1</v>
      </c>
      <c r="B2" s="2472" t="s">
        <v>1569</v>
      </c>
      <c r="C2" s="2473" t="s">
        <v>1573</v>
      </c>
      <c r="D2" s="2473"/>
      <c r="E2" s="2473" t="s">
        <v>879</v>
      </c>
      <c r="F2" s="1454">
        <v>100000000</v>
      </c>
      <c r="G2" s="1925">
        <v>5.5E-2</v>
      </c>
      <c r="H2" s="1924">
        <v>167000000</v>
      </c>
      <c r="I2" s="2477"/>
    </row>
    <row r="3" spans="1:9" ht="30" customHeight="1" x14ac:dyDescent="0.2">
      <c r="A3" s="645">
        <v>2</v>
      </c>
      <c r="B3" s="2472" t="s">
        <v>1579</v>
      </c>
      <c r="C3" s="2473" t="s">
        <v>1574</v>
      </c>
      <c r="D3" s="2473"/>
      <c r="E3" s="2473" t="s">
        <v>879</v>
      </c>
      <c r="F3" s="1454">
        <v>20000000</v>
      </c>
      <c r="G3" s="1925">
        <v>0.05</v>
      </c>
      <c r="H3" s="1924"/>
      <c r="I3" s="2477"/>
    </row>
    <row r="4" spans="1:9" ht="30" customHeight="1" x14ac:dyDescent="0.2">
      <c r="A4" s="645">
        <v>3</v>
      </c>
      <c r="B4" s="2472" t="s">
        <v>1570</v>
      </c>
      <c r="C4" s="2473" t="s">
        <v>1575</v>
      </c>
      <c r="D4" s="2473"/>
      <c r="E4" s="2473" t="s">
        <v>879</v>
      </c>
      <c r="F4" s="1454">
        <v>50000000</v>
      </c>
      <c r="G4" s="1925">
        <v>0.05</v>
      </c>
      <c r="H4" s="1924"/>
      <c r="I4" s="2477"/>
    </row>
    <row r="5" spans="1:9" ht="30" customHeight="1" x14ac:dyDescent="0.2">
      <c r="A5" s="645">
        <v>4</v>
      </c>
      <c r="B5" s="2472" t="s">
        <v>1570</v>
      </c>
      <c r="C5" s="2473" t="s">
        <v>1576</v>
      </c>
      <c r="D5" s="2473"/>
      <c r="E5" s="2473" t="s">
        <v>879</v>
      </c>
      <c r="F5" s="1454">
        <v>60000000</v>
      </c>
      <c r="G5" s="1925">
        <v>0.05</v>
      </c>
      <c r="H5" s="1924"/>
      <c r="I5" s="2477"/>
    </row>
    <row r="6" spans="1:9" ht="30" customHeight="1" x14ac:dyDescent="0.2">
      <c r="A6" s="645">
        <v>5</v>
      </c>
      <c r="B6" s="2472" t="s">
        <v>1571</v>
      </c>
      <c r="C6" s="2473" t="s">
        <v>1577</v>
      </c>
      <c r="D6" s="2473"/>
      <c r="E6" s="2473" t="s">
        <v>879</v>
      </c>
      <c r="F6" s="1454">
        <v>100000000</v>
      </c>
      <c r="G6" s="1925">
        <v>7.0000000000000007E-2</v>
      </c>
      <c r="H6" s="1924"/>
      <c r="I6" s="2477"/>
    </row>
    <row r="7" spans="1:9" ht="30" customHeight="1" x14ac:dyDescent="0.2">
      <c r="A7" s="645">
        <v>6</v>
      </c>
      <c r="B7" s="2472" t="s">
        <v>1572</v>
      </c>
      <c r="C7" s="2473" t="s">
        <v>839</v>
      </c>
      <c r="D7" s="2473"/>
      <c r="E7" s="2473" t="s">
        <v>879</v>
      </c>
      <c r="F7" s="1454">
        <v>100000000</v>
      </c>
      <c r="G7" s="1925">
        <v>7.0000000000000007E-2</v>
      </c>
      <c r="H7" s="1924"/>
      <c r="I7" s="2477"/>
    </row>
    <row r="8" spans="1:9" ht="30" customHeight="1" x14ac:dyDescent="0.2">
      <c r="A8" s="645">
        <v>7</v>
      </c>
      <c r="B8" s="2472" t="s">
        <v>1377</v>
      </c>
      <c r="C8" s="2473" t="s">
        <v>3457</v>
      </c>
      <c r="D8" s="2473" t="s">
        <v>3148</v>
      </c>
      <c r="E8" s="2473" t="s">
        <v>879</v>
      </c>
      <c r="F8" s="1454">
        <v>50000000</v>
      </c>
      <c r="G8" s="1925"/>
      <c r="H8" s="1924">
        <v>80000000</v>
      </c>
      <c r="I8" s="2477" t="s">
        <v>3458</v>
      </c>
    </row>
    <row r="9" spans="1:9" ht="50.1" customHeight="1" thickBot="1" x14ac:dyDescent="0.25">
      <c r="A9" s="2478"/>
      <c r="B9" s="2479"/>
      <c r="C9" s="2479"/>
      <c r="D9" s="2479"/>
      <c r="E9" s="2480"/>
      <c r="F9" s="2480"/>
      <c r="G9" s="2480"/>
      <c r="H9" s="2480"/>
      <c r="I9" s="2481"/>
    </row>
    <row r="10" spans="1:9" ht="50.1" customHeight="1" x14ac:dyDescent="0.2">
      <c r="A10" s="615"/>
      <c r="B10" s="615"/>
      <c r="C10" s="615"/>
      <c r="D10" s="615"/>
    </row>
    <row r="11" spans="1:9" ht="50.1" customHeight="1" x14ac:dyDescent="0.2">
      <c r="A11" s="2471" t="s">
        <v>3940</v>
      </c>
      <c r="B11" s="2471"/>
      <c r="C11" s="2471"/>
      <c r="D11" s="2471"/>
      <c r="E11" s="2471"/>
      <c r="F11" s="2471"/>
      <c r="G11" s="2471"/>
      <c r="H11" s="2471"/>
      <c r="I11" s="2471"/>
    </row>
    <row r="12" spans="1:9" ht="50.1" customHeight="1" x14ac:dyDescent="0.2">
      <c r="A12" s="2471" t="s">
        <v>3944</v>
      </c>
      <c r="B12" s="2471"/>
      <c r="C12" s="2471"/>
      <c r="D12" s="2471"/>
      <c r="E12" s="2471"/>
      <c r="F12" s="2471"/>
      <c r="G12" s="2471"/>
      <c r="H12" s="2471"/>
      <c r="I12" s="2471"/>
    </row>
    <row r="13" spans="1:9" ht="50.1" customHeight="1" x14ac:dyDescent="0.2">
      <c r="A13" s="2488" t="s">
        <v>3945</v>
      </c>
      <c r="B13" s="2488"/>
      <c r="C13" s="2488"/>
      <c r="D13" s="2488"/>
      <c r="E13" s="2488"/>
      <c r="F13" s="2488"/>
      <c r="G13" s="2488"/>
      <c r="H13" s="2488"/>
      <c r="I13" s="2488"/>
    </row>
    <row r="14" spans="1:9" ht="50.1" customHeight="1" x14ac:dyDescent="0.2">
      <c r="A14" s="2471" t="s">
        <v>3941</v>
      </c>
      <c r="B14" s="2471"/>
      <c r="C14" s="2471"/>
      <c r="D14" s="2471"/>
      <c r="E14" s="2471"/>
      <c r="F14" s="2471"/>
      <c r="G14" s="2471"/>
      <c r="H14" s="2471"/>
      <c r="I14" s="2471"/>
    </row>
    <row r="15" spans="1:9" ht="50.1" customHeight="1" x14ac:dyDescent="0.2">
      <c r="A15" s="2471" t="s">
        <v>3942</v>
      </c>
      <c r="B15" s="2471"/>
      <c r="C15" s="2471"/>
      <c r="D15" s="2471"/>
      <c r="E15" s="2471"/>
      <c r="F15" s="2471"/>
      <c r="G15" s="2471"/>
      <c r="H15" s="2471"/>
      <c r="I15" s="2471"/>
    </row>
    <row r="16" spans="1:9" ht="50.1" customHeight="1" thickBot="1" x14ac:dyDescent="0.25">
      <c r="A16" s="615"/>
      <c r="B16" s="615"/>
      <c r="C16" s="615"/>
      <c r="D16" s="615"/>
    </row>
    <row r="17" spans="1:9" ht="50.1" customHeight="1" x14ac:dyDescent="0.2">
      <c r="A17" s="2474" t="s">
        <v>3939</v>
      </c>
      <c r="B17" s="2475"/>
      <c r="C17" s="2475"/>
      <c r="D17" s="2475"/>
      <c r="E17" s="2475"/>
      <c r="F17" s="2475"/>
      <c r="G17" s="2475"/>
      <c r="H17" s="2475"/>
      <c r="I17" s="2476"/>
    </row>
    <row r="18" spans="1:9" ht="30" customHeight="1" x14ac:dyDescent="0.2">
      <c r="A18" s="645">
        <v>1</v>
      </c>
      <c r="B18" s="13" t="s">
        <v>1569</v>
      </c>
      <c r="C18" s="983"/>
      <c r="D18" s="983"/>
      <c r="E18" s="983" t="s">
        <v>879</v>
      </c>
      <c r="F18" s="1914">
        <v>100000000</v>
      </c>
      <c r="G18" s="480">
        <v>7.0000000000000007E-2</v>
      </c>
      <c r="H18" s="1924"/>
      <c r="I18" s="2477"/>
    </row>
    <row r="19" spans="1:9" ht="30" customHeight="1" x14ac:dyDescent="0.2">
      <c r="A19" s="645">
        <v>2</v>
      </c>
      <c r="B19" s="13" t="s">
        <v>1579</v>
      </c>
      <c r="C19" s="983" t="s">
        <v>1574</v>
      </c>
      <c r="D19" s="983"/>
      <c r="E19" s="983" t="s">
        <v>879</v>
      </c>
      <c r="F19" s="1914">
        <v>20000000</v>
      </c>
      <c r="G19" s="480">
        <v>0.05</v>
      </c>
      <c r="H19" s="1924"/>
      <c r="I19" s="2477"/>
    </row>
    <row r="20" spans="1:9" ht="30" customHeight="1" x14ac:dyDescent="0.2">
      <c r="A20" s="645"/>
      <c r="B20" s="13" t="s">
        <v>1579</v>
      </c>
      <c r="C20" s="983" t="s">
        <v>3508</v>
      </c>
      <c r="D20" s="983" t="s">
        <v>3943</v>
      </c>
      <c r="E20" s="983" t="s">
        <v>1618</v>
      </c>
      <c r="F20" s="1914">
        <v>225000000</v>
      </c>
      <c r="G20" s="480">
        <v>7.0000000000000007E-2</v>
      </c>
      <c r="H20" s="1924"/>
      <c r="I20" s="2477"/>
    </row>
    <row r="21" spans="1:9" ht="30" customHeight="1" x14ac:dyDescent="0.2">
      <c r="A21" s="645">
        <v>3</v>
      </c>
      <c r="B21" s="117" t="s">
        <v>1570</v>
      </c>
      <c r="C21" s="1800" t="s">
        <v>1575</v>
      </c>
      <c r="D21" s="1800"/>
      <c r="E21" s="1800" t="s">
        <v>879</v>
      </c>
      <c r="F21" s="1923">
        <v>50000000</v>
      </c>
      <c r="G21" s="44">
        <v>0.05</v>
      </c>
      <c r="H21" s="1947" t="s">
        <v>3949</v>
      </c>
      <c r="I21" s="1987"/>
    </row>
    <row r="22" spans="1:9" ht="30" customHeight="1" x14ac:dyDescent="0.2">
      <c r="A22" s="645">
        <v>4</v>
      </c>
      <c r="B22" s="117" t="s">
        <v>1570</v>
      </c>
      <c r="C22" s="1800" t="s">
        <v>1576</v>
      </c>
      <c r="D22" s="1800"/>
      <c r="E22" s="1800" t="s">
        <v>879</v>
      </c>
      <c r="F22" s="1923">
        <v>60000000</v>
      </c>
      <c r="G22" s="44">
        <v>0.05</v>
      </c>
      <c r="H22" s="1947" t="s">
        <v>3949</v>
      </c>
      <c r="I22" s="1987"/>
    </row>
    <row r="23" spans="1:9" ht="30" customHeight="1" x14ac:dyDescent="0.2">
      <c r="A23" s="645">
        <v>5</v>
      </c>
      <c r="B23" s="13" t="s">
        <v>1571</v>
      </c>
      <c r="C23" s="983" t="s">
        <v>1577</v>
      </c>
      <c r="D23" s="983"/>
      <c r="E23" s="983" t="s">
        <v>879</v>
      </c>
      <c r="F23" s="1914">
        <v>100000000</v>
      </c>
      <c r="G23" s="480">
        <v>7.0000000000000007E-2</v>
      </c>
      <c r="H23" s="1924"/>
      <c r="I23" s="2477"/>
    </row>
    <row r="24" spans="1:9" ht="30" customHeight="1" x14ac:dyDescent="0.2">
      <c r="A24" s="645">
        <v>6</v>
      </c>
      <c r="B24" s="13" t="s">
        <v>1572</v>
      </c>
      <c r="C24" s="983" t="s">
        <v>839</v>
      </c>
      <c r="D24" s="983"/>
      <c r="E24" s="983" t="s">
        <v>879</v>
      </c>
      <c r="F24" s="1914">
        <v>100000000</v>
      </c>
      <c r="G24" s="480">
        <v>7.0000000000000007E-2</v>
      </c>
      <c r="H24" s="1924"/>
      <c r="I24" s="2477"/>
    </row>
    <row r="25" spans="1:9" ht="30" customHeight="1" x14ac:dyDescent="0.2">
      <c r="A25" s="645">
        <v>7</v>
      </c>
      <c r="B25" s="2483" t="s">
        <v>1377</v>
      </c>
      <c r="C25" s="2484" t="s">
        <v>3457</v>
      </c>
      <c r="D25" s="2484" t="s">
        <v>3148</v>
      </c>
      <c r="E25" s="2484" t="s">
        <v>879</v>
      </c>
      <c r="F25" s="2485">
        <v>50000000</v>
      </c>
      <c r="G25" s="2486"/>
      <c r="H25" s="2485">
        <v>80000000</v>
      </c>
      <c r="I25" s="2487" t="s">
        <v>3458</v>
      </c>
    </row>
    <row r="26" spans="1:9" ht="50.1" customHeight="1" thickBot="1" x14ac:dyDescent="0.25">
      <c r="A26" s="2478"/>
      <c r="B26" s="2479"/>
      <c r="C26" s="2479"/>
      <c r="D26" s="2479"/>
      <c r="E26" s="2480"/>
      <c r="F26" s="2480"/>
      <c r="G26" s="2480"/>
      <c r="H26" s="2480"/>
      <c r="I26" s="2481"/>
    </row>
  </sheetData>
  <mergeCells count="9">
    <mergeCell ref="A1:I1"/>
    <mergeCell ref="A11:I11"/>
    <mergeCell ref="A14:I14"/>
    <mergeCell ref="A12:I12"/>
    <mergeCell ref="A15:I15"/>
    <mergeCell ref="A17:I17"/>
    <mergeCell ref="A13:I13"/>
    <mergeCell ref="H21:I21"/>
    <mergeCell ref="H22:I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rightToLeft="1" topLeftCell="A19" zoomScale="70" zoomScaleNormal="70" workbookViewId="0">
      <selection activeCell="I32" sqref="I32"/>
    </sheetView>
  </sheetViews>
  <sheetFormatPr defaultRowHeight="14.25" x14ac:dyDescent="0.2"/>
  <cols>
    <col min="1" max="1" width="15.625" customWidth="1"/>
    <col min="2" max="2" width="22.5" customWidth="1"/>
    <col min="3" max="6" width="15.625" customWidth="1"/>
  </cols>
  <sheetData>
    <row r="1" spans="1:6" ht="50.1" customHeight="1" thickBot="1" x14ac:dyDescent="0.25">
      <c r="A1" s="1994" t="s">
        <v>1598</v>
      </c>
      <c r="B1" s="1995"/>
      <c r="C1" s="1995"/>
      <c r="D1" s="1995"/>
      <c r="E1" s="1995"/>
      <c r="F1" s="1996"/>
    </row>
    <row r="2" spans="1:6" ht="50.1" customHeight="1" x14ac:dyDescent="0.2">
      <c r="A2" s="490" t="s">
        <v>1596</v>
      </c>
      <c r="B2" s="491" t="s">
        <v>1592</v>
      </c>
      <c r="C2" s="491" t="s">
        <v>1056</v>
      </c>
      <c r="D2" s="491" t="s">
        <v>1593</v>
      </c>
      <c r="E2" s="491" t="s">
        <v>1594</v>
      </c>
      <c r="F2" s="492" t="s">
        <v>1595</v>
      </c>
    </row>
    <row r="3" spans="1:6" ht="30" customHeight="1" x14ac:dyDescent="0.2">
      <c r="A3" s="488" t="s">
        <v>1600</v>
      </c>
      <c r="B3" s="156">
        <v>179439560</v>
      </c>
      <c r="C3" s="464">
        <v>0.05</v>
      </c>
      <c r="D3" s="489">
        <f>B3*C3</f>
        <v>8971978</v>
      </c>
      <c r="E3" s="486">
        <f>B3+D3</f>
        <v>188411538</v>
      </c>
      <c r="F3" s="158">
        <v>3000000</v>
      </c>
    </row>
    <row r="4" spans="1:6" ht="30" customHeight="1" x14ac:dyDescent="0.2">
      <c r="A4" s="487" t="s">
        <v>1607</v>
      </c>
      <c r="B4" s="224">
        <f>E3-F3</f>
        <v>185411538</v>
      </c>
      <c r="C4" s="464">
        <v>0.05</v>
      </c>
      <c r="D4" s="474">
        <f>B4*C4</f>
        <v>9270576.9000000004</v>
      </c>
      <c r="E4" s="474">
        <f>B4+D4</f>
        <v>194682114.90000001</v>
      </c>
      <c r="F4" s="495">
        <v>6000000</v>
      </c>
    </row>
    <row r="5" spans="1:6" ht="30" customHeight="1" x14ac:dyDescent="0.2">
      <c r="A5" s="487" t="s">
        <v>1608</v>
      </c>
      <c r="B5" s="224">
        <f>E4-F4-1</f>
        <v>188682113.90000001</v>
      </c>
      <c r="C5" s="464">
        <v>0.05</v>
      </c>
      <c r="D5" s="474">
        <f>B5*C5</f>
        <v>9434105.6950000003</v>
      </c>
      <c r="E5" s="474">
        <f t="shared" ref="E5:E14" si="0">B5+D5</f>
        <v>198116219.595</v>
      </c>
      <c r="F5" s="495">
        <v>6000000</v>
      </c>
    </row>
    <row r="6" spans="1:6" ht="30" customHeight="1" x14ac:dyDescent="0.2">
      <c r="A6" s="487" t="s">
        <v>1609</v>
      </c>
      <c r="B6" s="224">
        <f t="shared" ref="B6" si="1">E5-F5-1</f>
        <v>192116218.595</v>
      </c>
      <c r="C6" s="464">
        <v>0.05</v>
      </c>
      <c r="D6" s="474">
        <f>B6*C6-1</f>
        <v>9605809.9297500011</v>
      </c>
      <c r="E6" s="474">
        <f t="shared" si="0"/>
        <v>201722028.52474999</v>
      </c>
      <c r="F6" s="495">
        <v>6000000</v>
      </c>
    </row>
    <row r="7" spans="1:6" ht="30" customHeight="1" x14ac:dyDescent="0.2">
      <c r="A7" s="487" t="s">
        <v>1609</v>
      </c>
      <c r="B7" s="1986" t="s">
        <v>1597</v>
      </c>
      <c r="C7" s="1948"/>
      <c r="D7" s="1948"/>
      <c r="E7" s="1949"/>
      <c r="F7" s="495">
        <v>10000000</v>
      </c>
    </row>
    <row r="8" spans="1:6" ht="30" customHeight="1" x14ac:dyDescent="0.2">
      <c r="A8" s="487" t="s">
        <v>1610</v>
      </c>
      <c r="B8" s="224">
        <v>185722029</v>
      </c>
      <c r="C8" s="464">
        <v>0.05</v>
      </c>
      <c r="D8" s="474">
        <f t="shared" ref="D8:D11" si="2">B8*C8</f>
        <v>9286101.4500000011</v>
      </c>
      <c r="E8" s="474">
        <f t="shared" si="0"/>
        <v>195008130.44999999</v>
      </c>
      <c r="F8" s="495">
        <v>6000000</v>
      </c>
    </row>
    <row r="9" spans="1:6" ht="30" customHeight="1" x14ac:dyDescent="0.2">
      <c r="A9" s="487" t="s">
        <v>1601</v>
      </c>
      <c r="B9" s="224">
        <f t="shared" ref="B9:B14" si="3">E8-F8-1+1</f>
        <v>189008130.44999999</v>
      </c>
      <c r="C9" s="464">
        <v>0.05</v>
      </c>
      <c r="D9" s="474">
        <f>B9*C9-1</f>
        <v>9450405.522499999</v>
      </c>
      <c r="E9" s="474">
        <f t="shared" si="0"/>
        <v>198458535.9725</v>
      </c>
      <c r="F9" s="495">
        <v>10000000</v>
      </c>
    </row>
    <row r="10" spans="1:6" ht="30" customHeight="1" x14ac:dyDescent="0.2">
      <c r="A10" s="487" t="s">
        <v>1602</v>
      </c>
      <c r="B10" s="224">
        <f t="shared" si="3"/>
        <v>188458535.9725</v>
      </c>
      <c r="C10" s="464">
        <v>0.05</v>
      </c>
      <c r="D10" s="474">
        <f>B10*C10-1</f>
        <v>9422925.7986249998</v>
      </c>
      <c r="E10" s="474">
        <f t="shared" si="0"/>
        <v>197881461.77112499</v>
      </c>
      <c r="F10" s="495">
        <v>10000000</v>
      </c>
    </row>
    <row r="11" spans="1:6" ht="30" customHeight="1" x14ac:dyDescent="0.2">
      <c r="A11" s="487" t="s">
        <v>1603</v>
      </c>
      <c r="B11" s="224">
        <f t="shared" si="3"/>
        <v>187881461.77112499</v>
      </c>
      <c r="C11" s="464">
        <v>0.05</v>
      </c>
      <c r="D11" s="474">
        <f t="shared" si="2"/>
        <v>9394073.0885562506</v>
      </c>
      <c r="E11" s="474">
        <f t="shared" si="0"/>
        <v>197275534.85968125</v>
      </c>
      <c r="F11" s="495">
        <v>10000000</v>
      </c>
    </row>
    <row r="12" spans="1:6" ht="30" customHeight="1" x14ac:dyDescent="0.2">
      <c r="A12" s="487" t="s">
        <v>1604</v>
      </c>
      <c r="B12" s="224">
        <f t="shared" si="3"/>
        <v>187275534.85968125</v>
      </c>
      <c r="C12" s="464">
        <v>0.05</v>
      </c>
      <c r="D12" s="474">
        <f>B12*C12-1</f>
        <v>9363775.7429840621</v>
      </c>
      <c r="E12" s="474">
        <f>B12+D12+60000000</f>
        <v>256639310.60266531</v>
      </c>
      <c r="F12" s="495">
        <v>0</v>
      </c>
    </row>
    <row r="13" spans="1:6" ht="30" customHeight="1" x14ac:dyDescent="0.2">
      <c r="A13" s="487" t="s">
        <v>1605</v>
      </c>
      <c r="B13" s="493">
        <f t="shared" si="3"/>
        <v>256639310.60266531</v>
      </c>
      <c r="C13" s="464">
        <v>0.05</v>
      </c>
      <c r="D13" s="474">
        <f>B13*C13-1</f>
        <v>12831964.530133266</v>
      </c>
      <c r="E13" s="474">
        <f>B13+D13+1</f>
        <v>269471276.13279855</v>
      </c>
      <c r="F13" s="495">
        <f>10000000</f>
        <v>10000000</v>
      </c>
    </row>
    <row r="14" spans="1:6" ht="30" customHeight="1" thickBot="1" x14ac:dyDescent="0.25">
      <c r="A14" s="494" t="s">
        <v>1606</v>
      </c>
      <c r="B14" s="455">
        <f t="shared" si="3"/>
        <v>259471276.13279855</v>
      </c>
      <c r="C14" s="209">
        <v>0.05</v>
      </c>
      <c r="D14" s="227">
        <f>B14*C14-1</f>
        <v>12973562.806639928</v>
      </c>
      <c r="E14" s="227">
        <f t="shared" si="0"/>
        <v>272444838.93943846</v>
      </c>
      <c r="F14" s="456">
        <v>10000000</v>
      </c>
    </row>
    <row r="17" spans="1:8" ht="15" thickBot="1" x14ac:dyDescent="0.25"/>
    <row r="18" spans="1:8" ht="50.1" customHeight="1" thickBot="1" x14ac:dyDescent="0.25">
      <c r="A18" s="1994" t="s">
        <v>1599</v>
      </c>
      <c r="B18" s="1995"/>
      <c r="C18" s="1995"/>
      <c r="D18" s="1995"/>
      <c r="E18" s="1995"/>
      <c r="F18" s="1996"/>
    </row>
    <row r="19" spans="1:8" ht="50.1" customHeight="1" x14ac:dyDescent="0.2">
      <c r="A19" s="490" t="s">
        <v>1596</v>
      </c>
      <c r="B19" s="491" t="s">
        <v>1592</v>
      </c>
      <c r="C19" s="491" t="s">
        <v>1056</v>
      </c>
      <c r="D19" s="491" t="s">
        <v>1593</v>
      </c>
      <c r="E19" s="491" t="s">
        <v>1594</v>
      </c>
      <c r="F19" s="492" t="s">
        <v>1595</v>
      </c>
    </row>
    <row r="20" spans="1:8" ht="30" customHeight="1" x14ac:dyDescent="0.2">
      <c r="A20" s="488" t="s">
        <v>1600</v>
      </c>
      <c r="B20" s="156">
        <v>179439560</v>
      </c>
      <c r="C20" s="464">
        <v>0.05</v>
      </c>
      <c r="D20" s="474">
        <f>B20*C20</f>
        <v>8971978</v>
      </c>
      <c r="E20" s="474">
        <f>B20+D20</f>
        <v>188411538</v>
      </c>
      <c r="F20" s="495">
        <v>3000000</v>
      </c>
    </row>
    <row r="21" spans="1:8" ht="30" customHeight="1" x14ac:dyDescent="0.2">
      <c r="A21" s="487" t="s">
        <v>1607</v>
      </c>
      <c r="B21" s="224">
        <f>E20-F20</f>
        <v>185411538</v>
      </c>
      <c r="C21" s="464">
        <v>0.05</v>
      </c>
      <c r="D21" s="474">
        <f t="shared" ref="D21:D23" si="4">B21*C21</f>
        <v>9270576.9000000004</v>
      </c>
      <c r="E21" s="474">
        <f t="shared" ref="E21:E23" si="5">B21+D21</f>
        <v>194682114.90000001</v>
      </c>
      <c r="F21" s="495">
        <v>6000000</v>
      </c>
    </row>
    <row r="22" spans="1:8" ht="30" customHeight="1" x14ac:dyDescent="0.2">
      <c r="A22" s="487" t="s">
        <v>1608</v>
      </c>
      <c r="B22" s="224">
        <f t="shared" ref="B22:B23" si="6">E21-F21</f>
        <v>188682114.90000001</v>
      </c>
      <c r="C22" s="464">
        <v>0.05</v>
      </c>
      <c r="D22" s="474">
        <f t="shared" si="4"/>
        <v>9434105.745000001</v>
      </c>
      <c r="E22" s="474">
        <f t="shared" si="5"/>
        <v>198116220.64500001</v>
      </c>
      <c r="F22" s="495">
        <v>6000000</v>
      </c>
    </row>
    <row r="23" spans="1:8" ht="30" customHeight="1" x14ac:dyDescent="0.2">
      <c r="A23" s="487" t="s">
        <v>1609</v>
      </c>
      <c r="B23" s="224">
        <f t="shared" si="6"/>
        <v>192116220.64500001</v>
      </c>
      <c r="C23" s="464">
        <v>0.05</v>
      </c>
      <c r="D23" s="474">
        <f t="shared" si="4"/>
        <v>9605811.0322500002</v>
      </c>
      <c r="E23" s="474">
        <f t="shared" si="5"/>
        <v>201722031.67725</v>
      </c>
      <c r="F23" s="495">
        <v>6000000</v>
      </c>
    </row>
    <row r="24" spans="1:8" ht="30" customHeight="1" x14ac:dyDescent="0.2">
      <c r="A24" s="487" t="s">
        <v>1609</v>
      </c>
      <c r="B24" s="1986" t="s">
        <v>1597</v>
      </c>
      <c r="C24" s="1948"/>
      <c r="D24" s="1948"/>
      <c r="E24" s="1949"/>
      <c r="F24" s="495">
        <v>10000000</v>
      </c>
    </row>
    <row r="25" spans="1:8" ht="30" customHeight="1" x14ac:dyDescent="0.2">
      <c r="A25" s="487" t="s">
        <v>1610</v>
      </c>
      <c r="B25" s="224">
        <f>E23-F23-F24</f>
        <v>185722031.67725</v>
      </c>
      <c r="C25" s="464">
        <v>0.05</v>
      </c>
      <c r="D25" s="474">
        <f>B25*C25</f>
        <v>9286101.5838625003</v>
      </c>
      <c r="E25" s="474">
        <f>B25+D25</f>
        <v>195008133.26111251</v>
      </c>
      <c r="F25" s="495">
        <v>6000000</v>
      </c>
    </row>
    <row r="26" spans="1:8" ht="30" customHeight="1" x14ac:dyDescent="0.2">
      <c r="A26" s="487" t="s">
        <v>1601</v>
      </c>
      <c r="B26" s="224">
        <f>E25-F25</f>
        <v>189008133.26111251</v>
      </c>
      <c r="C26" s="464">
        <v>0.05</v>
      </c>
      <c r="D26" s="474">
        <f t="shared" ref="D26:D31" si="7">B26*C26</f>
        <v>9450406.6630556267</v>
      </c>
      <c r="E26" s="474">
        <f t="shared" ref="E26:E31" si="8">B26+D26</f>
        <v>198458539.92416814</v>
      </c>
      <c r="F26" s="495">
        <v>10000000</v>
      </c>
    </row>
    <row r="27" spans="1:8" ht="30" customHeight="1" x14ac:dyDescent="0.2">
      <c r="A27" s="487" t="s">
        <v>1602</v>
      </c>
      <c r="B27" s="224">
        <f t="shared" ref="B27:B31" si="9">E26-F26</f>
        <v>188458539.92416814</v>
      </c>
      <c r="C27" s="464">
        <v>0.05</v>
      </c>
      <c r="D27" s="474">
        <f t="shared" si="7"/>
        <v>9422926.996208407</v>
      </c>
      <c r="E27" s="474">
        <f t="shared" si="8"/>
        <v>197881466.92037654</v>
      </c>
      <c r="F27" s="495">
        <v>10000000</v>
      </c>
    </row>
    <row r="28" spans="1:8" ht="30" customHeight="1" x14ac:dyDescent="0.2">
      <c r="A28" s="487" t="s">
        <v>1603</v>
      </c>
      <c r="B28" s="224">
        <f t="shared" si="9"/>
        <v>187881466.92037654</v>
      </c>
      <c r="C28" s="464">
        <v>0.05</v>
      </c>
      <c r="D28" s="474">
        <f t="shared" si="7"/>
        <v>9394073.3460188266</v>
      </c>
      <c r="E28" s="474">
        <f t="shared" si="8"/>
        <v>197275540.26639536</v>
      </c>
      <c r="F28" s="495">
        <v>10000000</v>
      </c>
    </row>
    <row r="29" spans="1:8" ht="30" customHeight="1" x14ac:dyDescent="0.2">
      <c r="A29" s="487" t="s">
        <v>1604</v>
      </c>
      <c r="B29" s="224">
        <f t="shared" si="9"/>
        <v>187275540.26639536</v>
      </c>
      <c r="C29" s="464">
        <v>0.05</v>
      </c>
      <c r="D29" s="474">
        <f t="shared" si="7"/>
        <v>9363777.013319768</v>
      </c>
      <c r="E29" s="474">
        <f>B29+D29+60000000</f>
        <v>256639317.27971512</v>
      </c>
      <c r="F29" s="495">
        <v>0</v>
      </c>
      <c r="G29" s="1992" t="s">
        <v>3466</v>
      </c>
      <c r="H29" s="1993"/>
    </row>
    <row r="30" spans="1:8" ht="30" customHeight="1" x14ac:dyDescent="0.2">
      <c r="A30" s="487" t="s">
        <v>1605</v>
      </c>
      <c r="B30" s="493">
        <f t="shared" si="9"/>
        <v>256639317.27971512</v>
      </c>
      <c r="C30" s="464">
        <v>0.05</v>
      </c>
      <c r="D30" s="474">
        <f t="shared" si="7"/>
        <v>12831965.863985756</v>
      </c>
      <c r="E30" s="474">
        <f>B30+D30</f>
        <v>269471283.1437009</v>
      </c>
      <c r="F30" s="495">
        <v>10000000</v>
      </c>
      <c r="G30" s="1992" t="s">
        <v>3467</v>
      </c>
      <c r="H30" s="1993"/>
    </row>
    <row r="31" spans="1:8" ht="30" customHeight="1" thickBot="1" x14ac:dyDescent="0.25">
      <c r="A31" s="494" t="s">
        <v>1606</v>
      </c>
      <c r="B31" s="493">
        <f t="shared" si="9"/>
        <v>259471283.1437009</v>
      </c>
      <c r="C31" s="209">
        <v>0.05</v>
      </c>
      <c r="D31" s="227">
        <f t="shared" si="7"/>
        <v>12973564.157185046</v>
      </c>
      <c r="E31" s="227">
        <f t="shared" si="8"/>
        <v>272444847.30088592</v>
      </c>
      <c r="F31" s="456">
        <v>10000000</v>
      </c>
    </row>
  </sheetData>
  <mergeCells count="6">
    <mergeCell ref="G30:H30"/>
    <mergeCell ref="B7:E7"/>
    <mergeCell ref="A1:F1"/>
    <mergeCell ref="A18:F18"/>
    <mergeCell ref="B24:E24"/>
    <mergeCell ref="G29:H2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rightToLeft="1" topLeftCell="A4" zoomScale="80" zoomScaleNormal="80" workbookViewId="0">
      <selection activeCell="H30" sqref="H30:H31"/>
    </sheetView>
  </sheetViews>
  <sheetFormatPr defaultRowHeight="14.25" x14ac:dyDescent="0.2"/>
  <cols>
    <col min="1" max="1" width="25.625" customWidth="1"/>
    <col min="2" max="3" width="22.5" customWidth="1"/>
    <col min="4" max="4" width="15.625" customWidth="1"/>
    <col min="5" max="5" width="16.5" customWidth="1"/>
    <col min="6" max="6" width="15.625" customWidth="1"/>
    <col min="7" max="7" width="16.875" customWidth="1"/>
    <col min="8" max="8" width="36.5" customWidth="1"/>
  </cols>
  <sheetData>
    <row r="1" spans="1:8" ht="50.1" customHeight="1" thickBot="1" x14ac:dyDescent="0.25">
      <c r="A1" s="1994" t="s">
        <v>2363</v>
      </c>
      <c r="B1" s="1995"/>
      <c r="C1" s="1995"/>
      <c r="D1" s="1995"/>
      <c r="E1" s="1995"/>
      <c r="F1" s="1995"/>
      <c r="G1" s="1995"/>
      <c r="H1" s="1996"/>
    </row>
    <row r="2" spans="1:8" ht="50.1" customHeight="1" x14ac:dyDescent="0.2">
      <c r="A2" s="490" t="s">
        <v>2364</v>
      </c>
      <c r="B2" s="491" t="s">
        <v>2371</v>
      </c>
      <c r="C2" s="491" t="s">
        <v>2372</v>
      </c>
      <c r="D2" s="491" t="s">
        <v>2380</v>
      </c>
      <c r="E2" s="798" t="s">
        <v>2381</v>
      </c>
      <c r="F2" s="491" t="s">
        <v>2382</v>
      </c>
      <c r="G2" s="491" t="s">
        <v>338</v>
      </c>
      <c r="H2" s="492" t="s">
        <v>271</v>
      </c>
    </row>
    <row r="3" spans="1:8" ht="50.1" customHeight="1" x14ac:dyDescent="0.2">
      <c r="A3" s="2008" t="s">
        <v>498</v>
      </c>
      <c r="B3" s="156">
        <v>130000000</v>
      </c>
      <c r="C3" s="796" t="s">
        <v>2390</v>
      </c>
      <c r="D3" s="156">
        <v>208000000</v>
      </c>
      <c r="E3" s="812"/>
      <c r="F3" s="811"/>
      <c r="G3" s="2010"/>
      <c r="H3" s="2006" t="s">
        <v>2388</v>
      </c>
    </row>
    <row r="4" spans="1:8" ht="50.1" customHeight="1" x14ac:dyDescent="0.2">
      <c r="A4" s="2009"/>
      <c r="B4" s="156">
        <v>130000000</v>
      </c>
      <c r="C4" s="796" t="s">
        <v>2390</v>
      </c>
      <c r="D4" s="156">
        <v>208000000</v>
      </c>
      <c r="E4" s="812"/>
      <c r="F4" s="811"/>
      <c r="G4" s="2011"/>
      <c r="H4" s="2007"/>
    </row>
    <row r="5" spans="1:8" ht="50.1" customHeight="1" x14ac:dyDescent="0.2">
      <c r="A5" s="173" t="s">
        <v>1709</v>
      </c>
      <c r="B5" s="156">
        <v>785000000</v>
      </c>
      <c r="C5" s="785" t="s">
        <v>2373</v>
      </c>
      <c r="D5" s="787">
        <f>B5*0.06</f>
        <v>47100000</v>
      </c>
      <c r="E5" s="787">
        <v>47100000</v>
      </c>
      <c r="F5" s="787">
        <v>0</v>
      </c>
      <c r="G5" s="173"/>
      <c r="H5" s="797"/>
    </row>
    <row r="6" spans="1:8" ht="30" customHeight="1" x14ac:dyDescent="0.2">
      <c r="A6" s="488" t="s">
        <v>2365</v>
      </c>
      <c r="B6" s="156">
        <v>275000000</v>
      </c>
      <c r="C6" s="785" t="s">
        <v>2373</v>
      </c>
      <c r="D6" s="776">
        <v>11550000</v>
      </c>
      <c r="E6" s="785">
        <f>B6*0.06</f>
        <v>16500000</v>
      </c>
      <c r="F6" s="790">
        <f>E6-D6</f>
        <v>4950000</v>
      </c>
      <c r="G6" s="779">
        <v>9157054132</v>
      </c>
      <c r="H6" s="795"/>
    </row>
    <row r="7" spans="1:8" ht="30" customHeight="1" x14ac:dyDescent="0.2">
      <c r="A7" s="800" t="s">
        <v>2133</v>
      </c>
      <c r="B7" s="224">
        <v>250000000</v>
      </c>
      <c r="C7" s="790" t="s">
        <v>2373</v>
      </c>
      <c r="D7" s="644">
        <f>B7*0.05</f>
        <v>12500000</v>
      </c>
      <c r="E7" s="15">
        <f>B7*0.065</f>
        <v>16250000</v>
      </c>
      <c r="F7" s="15">
        <f t="shared" ref="F7:F15" si="0">E7-D7</f>
        <v>3750000</v>
      </c>
      <c r="G7" s="785"/>
      <c r="H7" s="495"/>
    </row>
    <row r="8" spans="1:8" ht="30" customHeight="1" x14ac:dyDescent="0.2">
      <c r="A8" s="487" t="s">
        <v>2366</v>
      </c>
      <c r="B8" s="224">
        <v>400000000</v>
      </c>
      <c r="C8" s="778" t="s">
        <v>2373</v>
      </c>
      <c r="D8" s="776">
        <v>18000000</v>
      </c>
      <c r="E8" s="790">
        <f t="shared" ref="E8:E14" si="1">B8*0.06</f>
        <v>24000000</v>
      </c>
      <c r="F8" s="790">
        <f t="shared" si="0"/>
        <v>6000000</v>
      </c>
      <c r="G8" s="779">
        <v>9151163812</v>
      </c>
      <c r="H8" s="795"/>
    </row>
    <row r="9" spans="1:8" ht="30" customHeight="1" x14ac:dyDescent="0.2">
      <c r="A9" s="487" t="s">
        <v>2367</v>
      </c>
      <c r="B9" s="224">
        <v>490000000</v>
      </c>
      <c r="C9" s="778" t="s">
        <v>2373</v>
      </c>
      <c r="D9" s="776">
        <v>24500000</v>
      </c>
      <c r="E9" s="790">
        <f t="shared" si="1"/>
        <v>29400000</v>
      </c>
      <c r="F9" s="790">
        <f t="shared" si="0"/>
        <v>4900000</v>
      </c>
      <c r="G9" s="779"/>
      <c r="H9" s="795"/>
    </row>
    <row r="10" spans="1:8" ht="30" customHeight="1" x14ac:dyDescent="0.2">
      <c r="A10" s="487" t="s">
        <v>2368</v>
      </c>
      <c r="B10" s="224">
        <v>95000000</v>
      </c>
      <c r="C10" s="778" t="s">
        <v>2373</v>
      </c>
      <c r="D10" s="776">
        <v>1800000</v>
      </c>
      <c r="E10" s="790">
        <f t="shared" si="1"/>
        <v>5700000</v>
      </c>
      <c r="F10" s="790">
        <f t="shared" si="0"/>
        <v>3900000</v>
      </c>
      <c r="G10" s="779" t="s">
        <v>2374</v>
      </c>
      <c r="H10" s="795"/>
    </row>
    <row r="11" spans="1:8" ht="30" customHeight="1" x14ac:dyDescent="0.2">
      <c r="A11" s="487" t="s">
        <v>157</v>
      </c>
      <c r="B11" s="224">
        <v>260000000</v>
      </c>
      <c r="C11" s="778" t="s">
        <v>2373</v>
      </c>
      <c r="D11" s="776">
        <v>13000000</v>
      </c>
      <c r="E11" s="790">
        <f t="shared" si="1"/>
        <v>15600000</v>
      </c>
      <c r="F11" s="790">
        <f t="shared" si="0"/>
        <v>2600000</v>
      </c>
      <c r="G11" s="779" t="s">
        <v>2375</v>
      </c>
      <c r="H11" s="795"/>
    </row>
    <row r="12" spans="1:8" ht="30" customHeight="1" x14ac:dyDescent="0.2">
      <c r="A12" s="487" t="s">
        <v>230</v>
      </c>
      <c r="B12" s="224">
        <v>100000000</v>
      </c>
      <c r="C12" s="778" t="s">
        <v>2373</v>
      </c>
      <c r="D12" s="776">
        <v>4000000</v>
      </c>
      <c r="E12" s="790">
        <f t="shared" si="1"/>
        <v>6000000</v>
      </c>
      <c r="F12" s="790">
        <f t="shared" si="0"/>
        <v>2000000</v>
      </c>
      <c r="G12" s="779"/>
      <c r="H12" s="795"/>
    </row>
    <row r="13" spans="1:8" ht="30" customHeight="1" x14ac:dyDescent="0.2">
      <c r="A13" s="487" t="s">
        <v>2369</v>
      </c>
      <c r="B13" s="224">
        <v>160000000</v>
      </c>
      <c r="C13" s="778" t="s">
        <v>2373</v>
      </c>
      <c r="D13" s="776">
        <v>6400000</v>
      </c>
      <c r="E13" s="790">
        <f t="shared" si="1"/>
        <v>9600000</v>
      </c>
      <c r="F13" s="790">
        <f t="shared" si="0"/>
        <v>3200000</v>
      </c>
      <c r="G13" s="779" t="s">
        <v>2376</v>
      </c>
      <c r="H13" s="795"/>
    </row>
    <row r="14" spans="1:8" ht="30" customHeight="1" x14ac:dyDescent="0.2">
      <c r="A14" s="487" t="s">
        <v>2370</v>
      </c>
      <c r="B14" s="224">
        <v>150000000</v>
      </c>
      <c r="C14" s="778" t="s">
        <v>2373</v>
      </c>
      <c r="D14" s="776">
        <v>6000000</v>
      </c>
      <c r="E14" s="790">
        <f t="shared" si="1"/>
        <v>9000000</v>
      </c>
      <c r="F14" s="790">
        <f t="shared" si="0"/>
        <v>3000000</v>
      </c>
      <c r="G14" s="779" t="s">
        <v>2377</v>
      </c>
      <c r="H14" s="795"/>
    </row>
    <row r="15" spans="1:8" ht="30" customHeight="1" x14ac:dyDescent="0.2">
      <c r="A15" s="801" t="s">
        <v>498</v>
      </c>
      <c r="B15" s="486">
        <v>80000000</v>
      </c>
      <c r="C15" s="784" t="s">
        <v>2373</v>
      </c>
      <c r="D15" s="792">
        <v>3200000</v>
      </c>
      <c r="E15" s="784">
        <f>B15*0.06</f>
        <v>4800000</v>
      </c>
      <c r="F15" s="784">
        <f t="shared" si="0"/>
        <v>1600000</v>
      </c>
      <c r="G15" s="791">
        <v>9154435809</v>
      </c>
      <c r="H15" s="799" t="s">
        <v>2379</v>
      </c>
    </row>
    <row r="16" spans="1:8" ht="30" customHeight="1" x14ac:dyDescent="0.2">
      <c r="A16" s="263" t="s">
        <v>2383</v>
      </c>
      <c r="B16" s="790">
        <v>0</v>
      </c>
      <c r="C16" s="790"/>
      <c r="D16" s="790">
        <v>3000000</v>
      </c>
      <c r="E16" s="790">
        <v>0</v>
      </c>
      <c r="F16" s="790">
        <v>0</v>
      </c>
      <c r="G16" s="424"/>
      <c r="H16" s="424"/>
    </row>
    <row r="17" spans="1:8" ht="30" customHeight="1" x14ac:dyDescent="0.2">
      <c r="A17" s="263" t="s">
        <v>2384</v>
      </c>
      <c r="B17" s="790">
        <v>0</v>
      </c>
      <c r="C17" s="790"/>
      <c r="D17" s="790">
        <v>0</v>
      </c>
      <c r="E17" s="790">
        <v>0</v>
      </c>
      <c r="F17" s="790">
        <v>5000000</v>
      </c>
      <c r="G17" s="424"/>
      <c r="H17" s="424"/>
    </row>
    <row r="18" spans="1:8" ht="30" customHeight="1" x14ac:dyDescent="0.2">
      <c r="A18" s="263" t="s">
        <v>903</v>
      </c>
      <c r="B18" s="15">
        <f>SUM(B5:B17)</f>
        <v>3045000000</v>
      </c>
      <c r="C18" s="790"/>
      <c r="D18" s="15">
        <f>SUM(D5:D17)</f>
        <v>151050000</v>
      </c>
      <c r="E18" s="790">
        <f>SUM(E5:E17)</f>
        <v>183950000</v>
      </c>
      <c r="F18" s="802">
        <f>SUM(F5:F17)</f>
        <v>40900000</v>
      </c>
      <c r="G18" s="424"/>
      <c r="H18" s="424"/>
    </row>
    <row r="19" spans="1:8" ht="30" customHeight="1" x14ac:dyDescent="0.2">
      <c r="A19" s="263" t="s">
        <v>2385</v>
      </c>
      <c r="B19" s="1947">
        <f>F18+D5</f>
        <v>88000000</v>
      </c>
      <c r="C19" s="1948"/>
      <c r="D19" s="1948"/>
      <c r="E19" s="1948"/>
      <c r="F19" s="1948"/>
      <c r="G19" s="1949"/>
      <c r="H19" s="424"/>
    </row>
    <row r="20" spans="1:8" ht="30" customHeight="1" x14ac:dyDescent="0.2">
      <c r="A20" s="803" t="s">
        <v>2386</v>
      </c>
      <c r="B20" s="1947">
        <v>15600000</v>
      </c>
      <c r="C20" s="1948"/>
      <c r="D20" s="1948"/>
      <c r="E20" s="1948"/>
      <c r="F20" s="1948"/>
      <c r="G20" s="1949"/>
      <c r="H20" s="790"/>
    </row>
    <row r="21" spans="1:8" ht="30" customHeight="1" x14ac:dyDescent="0.2">
      <c r="A21" s="803" t="s">
        <v>2387</v>
      </c>
      <c r="B21" s="1999">
        <f>B19+B20</f>
        <v>103600000</v>
      </c>
      <c r="C21" s="1999"/>
      <c r="D21" s="1999"/>
      <c r="E21" s="1999"/>
      <c r="F21" s="1999"/>
      <c r="G21" s="1999"/>
      <c r="H21" s="21" t="s">
        <v>2388</v>
      </c>
    </row>
    <row r="22" spans="1:8" ht="30" customHeight="1" x14ac:dyDescent="0.2">
      <c r="A22" s="2000" t="s">
        <v>2389</v>
      </c>
      <c r="B22" s="2001"/>
      <c r="C22" s="2001"/>
      <c r="D22" s="2001"/>
      <c r="E22" s="2001"/>
      <c r="F22" s="2001"/>
      <c r="G22" s="2001"/>
      <c r="H22" s="2002"/>
    </row>
    <row r="23" spans="1:8" ht="30" customHeight="1" x14ac:dyDescent="0.2">
      <c r="A23" s="2003"/>
      <c r="B23" s="2004"/>
      <c r="C23" s="2004"/>
      <c r="D23" s="2004"/>
      <c r="E23" s="2004"/>
      <c r="F23" s="2004"/>
      <c r="G23" s="2004"/>
      <c r="H23" s="2005"/>
    </row>
    <row r="26" spans="1:8" ht="15" thickBot="1" x14ac:dyDescent="0.25"/>
    <row r="27" spans="1:8" ht="50.1" customHeight="1" thickBot="1" x14ac:dyDescent="0.25">
      <c r="A27" s="1994"/>
      <c r="B27" s="1995"/>
      <c r="C27" s="1995"/>
      <c r="D27" s="1995"/>
      <c r="E27" s="1995"/>
      <c r="F27" s="1995"/>
      <c r="G27" s="1995"/>
      <c r="H27" s="1996"/>
    </row>
    <row r="28" spans="1:8" ht="50.1" customHeight="1" x14ac:dyDescent="0.2">
      <c r="A28" s="490"/>
      <c r="B28" s="491"/>
      <c r="C28" s="491"/>
      <c r="D28" s="491"/>
      <c r="E28" s="491"/>
      <c r="F28" s="491"/>
      <c r="G28" s="491"/>
      <c r="H28" s="492"/>
    </row>
    <row r="29" spans="1:8" ht="30" customHeight="1" x14ac:dyDescent="0.2">
      <c r="A29" s="488"/>
      <c r="B29" s="156"/>
      <c r="C29" s="776"/>
      <c r="D29" s="775"/>
      <c r="E29" s="778"/>
      <c r="F29" s="778"/>
      <c r="G29" s="778"/>
      <c r="H29" s="495"/>
    </row>
    <row r="30" spans="1:8" ht="30" customHeight="1" x14ac:dyDescent="0.2">
      <c r="A30" s="1997" t="s">
        <v>498</v>
      </c>
      <c r="B30" s="497">
        <v>130000000</v>
      </c>
      <c r="C30" s="786" t="s">
        <v>2378</v>
      </c>
      <c r="D30" s="646">
        <v>208000000</v>
      </c>
      <c r="E30" s="786">
        <f t="shared" ref="E30:E31" si="2">B30*0.06</f>
        <v>7800000</v>
      </c>
      <c r="F30" s="786"/>
      <c r="G30" s="778"/>
      <c r="H30" s="2006" t="s">
        <v>2388</v>
      </c>
    </row>
    <row r="31" spans="1:8" ht="30" customHeight="1" x14ac:dyDescent="0.2">
      <c r="A31" s="1998"/>
      <c r="B31" s="497">
        <v>130000000</v>
      </c>
      <c r="C31" s="786" t="s">
        <v>2378</v>
      </c>
      <c r="D31" s="646">
        <v>208000000</v>
      </c>
      <c r="E31" s="786">
        <f t="shared" si="2"/>
        <v>7800000</v>
      </c>
      <c r="F31" s="786"/>
      <c r="G31" s="778"/>
      <c r="H31" s="2007"/>
    </row>
    <row r="32" spans="1:8" ht="30" customHeight="1" x14ac:dyDescent="0.2">
      <c r="A32" s="487"/>
      <c r="B32" s="224"/>
      <c r="C32" s="783"/>
      <c r="D32" s="789"/>
      <c r="E32" s="778"/>
      <c r="F32" s="778"/>
      <c r="G32" s="778"/>
      <c r="H32" s="495"/>
    </row>
    <row r="33" spans="1:8" ht="30" customHeight="1" x14ac:dyDescent="0.2">
      <c r="A33" s="487"/>
      <c r="B33" s="156"/>
      <c r="C33" s="787"/>
      <c r="D33" s="788"/>
      <c r="E33" s="790"/>
      <c r="F33" s="790"/>
      <c r="G33" s="790"/>
      <c r="H33" s="495"/>
    </row>
    <row r="34" spans="1:8" ht="30" customHeight="1" x14ac:dyDescent="0.2">
      <c r="A34" s="487"/>
      <c r="B34" s="156"/>
      <c r="C34" s="787"/>
      <c r="D34" s="788"/>
      <c r="E34" s="790"/>
      <c r="F34" s="790"/>
      <c r="G34" s="790"/>
      <c r="H34" s="495"/>
    </row>
    <row r="35" spans="1:8" ht="30" customHeight="1" x14ac:dyDescent="0.2">
      <c r="A35" s="487"/>
      <c r="B35" s="156"/>
      <c r="C35" s="787"/>
      <c r="D35" s="788"/>
      <c r="E35" s="790"/>
      <c r="F35" s="790"/>
      <c r="G35" s="790"/>
      <c r="H35" s="495"/>
    </row>
    <row r="36" spans="1:8" ht="30" customHeight="1" x14ac:dyDescent="0.2">
      <c r="A36" s="487"/>
      <c r="B36" s="156"/>
      <c r="C36" s="787"/>
      <c r="D36" s="788"/>
      <c r="E36" s="790"/>
      <c r="F36" s="790"/>
      <c r="G36" s="790"/>
      <c r="H36" s="495"/>
    </row>
    <row r="37" spans="1:8" ht="37.5" customHeight="1" x14ac:dyDescent="0.2">
      <c r="A37" s="487"/>
      <c r="B37" s="156"/>
      <c r="C37" s="787"/>
      <c r="D37" s="788"/>
      <c r="E37" s="790"/>
      <c r="F37" s="790"/>
      <c r="G37" s="790"/>
      <c r="H37" s="495"/>
    </row>
    <row r="38" spans="1:8" ht="30" customHeight="1" thickBot="1" x14ac:dyDescent="0.25">
      <c r="A38" s="494"/>
      <c r="B38" s="767"/>
      <c r="C38" s="768"/>
      <c r="D38" s="209"/>
      <c r="E38" s="227"/>
      <c r="F38" s="227"/>
      <c r="G38" s="227"/>
      <c r="H38" s="769"/>
    </row>
  </sheetData>
  <mergeCells count="11">
    <mergeCell ref="A1:H1"/>
    <mergeCell ref="A27:H27"/>
    <mergeCell ref="A30:A31"/>
    <mergeCell ref="B19:G19"/>
    <mergeCell ref="B20:G20"/>
    <mergeCell ref="B21:G21"/>
    <mergeCell ref="A22:H23"/>
    <mergeCell ref="H30:H31"/>
    <mergeCell ref="A3:A4"/>
    <mergeCell ref="H3:H4"/>
    <mergeCell ref="G3:G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rightToLeft="1" workbookViewId="0">
      <selection activeCell="C17" sqref="C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A1" s="200"/>
      <c r="B1" s="1929" t="s">
        <v>54</v>
      </c>
      <c r="C1" s="1930"/>
      <c r="D1" s="1931"/>
    </row>
    <row r="2" spans="1:4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</row>
    <row r="3" spans="1:4" ht="30" customHeight="1" thickBot="1" x14ac:dyDescent="0.25">
      <c r="A3" s="197">
        <v>1</v>
      </c>
      <c r="B3" s="198">
        <v>1350000000</v>
      </c>
      <c r="C3" s="199">
        <v>7.0000000000000007E-2</v>
      </c>
      <c r="D3" s="162">
        <v>96600000</v>
      </c>
    </row>
    <row r="4" spans="1:4" ht="30" customHeight="1" x14ac:dyDescent="0.2">
      <c r="A4" s="194"/>
      <c r="B4" s="211"/>
      <c r="C4" s="215"/>
      <c r="D4" s="211"/>
    </row>
    <row r="5" spans="1:4" s="196" customFormat="1" ht="30" customHeight="1" thickBot="1" x14ac:dyDescent="0.25">
      <c r="A5" s="193"/>
      <c r="B5" s="194"/>
      <c r="C5" s="195"/>
      <c r="D5" s="194"/>
    </row>
    <row r="6" spans="1:4" s="196" customFormat="1" ht="30" customHeight="1" thickBot="1" x14ac:dyDescent="0.25">
      <c r="A6" s="1961" t="s">
        <v>1058</v>
      </c>
      <c r="B6" s="1962"/>
      <c r="C6" s="1962"/>
      <c r="D6" s="1963"/>
    </row>
    <row r="7" spans="1:4" s="196" customFormat="1" ht="30" customHeight="1" x14ac:dyDescent="0.2">
      <c r="A7" s="194"/>
      <c r="B7" s="194"/>
      <c r="C7" s="194"/>
      <c r="D7" s="194"/>
    </row>
    <row r="8" spans="1:4" s="196" customFormat="1" ht="30" customHeight="1" thickBot="1" x14ac:dyDescent="0.25">
      <c r="A8" s="1964"/>
      <c r="B8" s="1964"/>
      <c r="C8" s="1964"/>
      <c r="D8" s="1964"/>
    </row>
    <row r="9" spans="1:4" s="196" customFormat="1" ht="30" customHeight="1" thickBot="1" x14ac:dyDescent="0.25">
      <c r="A9" s="1961" t="s">
        <v>1059</v>
      </c>
      <c r="B9" s="1962"/>
      <c r="C9" s="1962"/>
      <c r="D9" s="1963"/>
    </row>
    <row r="10" spans="1:4" s="196" customFormat="1" ht="30" customHeight="1" x14ac:dyDescent="0.2">
      <c r="A10" s="211"/>
      <c r="B10" s="211"/>
      <c r="C10" s="211"/>
      <c r="D10" s="211"/>
    </row>
    <row r="11" spans="1:4" s="196" customFormat="1" ht="30" customHeight="1" thickBot="1" x14ac:dyDescent="0.25">
      <c r="A11" s="194"/>
      <c r="B11" s="194"/>
      <c r="C11" s="194"/>
      <c r="D11" s="194"/>
    </row>
    <row r="12" spans="1:4" s="196" customFormat="1" ht="30" customHeight="1" x14ac:dyDescent="0.2">
      <c r="A12" s="2012" t="s">
        <v>2420</v>
      </c>
      <c r="B12" s="2013"/>
      <c r="C12" s="2013"/>
      <c r="D12" s="2014"/>
    </row>
    <row r="13" spans="1:4" s="196" customFormat="1" ht="30" customHeight="1" thickBot="1" x14ac:dyDescent="0.25">
      <c r="A13" s="2015"/>
      <c r="B13" s="2016"/>
      <c r="C13" s="2016"/>
      <c r="D13" s="2017"/>
    </row>
    <row r="14" spans="1:4" s="196" customFormat="1" ht="30" customHeight="1" x14ac:dyDescent="0.2">
      <c r="A14" s="211"/>
      <c r="B14" s="211"/>
      <c r="C14" s="211"/>
      <c r="D14" s="211"/>
    </row>
    <row r="15" spans="1:4" s="196" customFormat="1" ht="30" customHeight="1" thickBot="1" x14ac:dyDescent="0.25">
      <c r="A15" s="212"/>
      <c r="B15" s="212"/>
      <c r="C15" s="213"/>
      <c r="D15" s="212"/>
    </row>
    <row r="16" spans="1:4" ht="50.1" customHeight="1" x14ac:dyDescent="0.2">
      <c r="A16" s="201" t="s">
        <v>0</v>
      </c>
      <c r="B16" s="154" t="s">
        <v>906</v>
      </c>
      <c r="C16" s="8" t="s">
        <v>1056</v>
      </c>
      <c r="D16" s="155" t="s">
        <v>1057</v>
      </c>
    </row>
    <row r="17" spans="1:4" ht="30" customHeight="1" thickBot="1" x14ac:dyDescent="0.25">
      <c r="A17" s="207">
        <v>1</v>
      </c>
      <c r="B17" s="208">
        <v>1500000000</v>
      </c>
      <c r="C17" s="209">
        <v>7.0000000000000007E-2</v>
      </c>
      <c r="D17" s="210">
        <f>B17*C17</f>
        <v>105000000.00000001</v>
      </c>
    </row>
    <row r="18" spans="1:4" ht="30" customHeight="1" x14ac:dyDescent="0.2">
      <c r="A18" s="193"/>
      <c r="B18" s="194"/>
      <c r="C18" s="214"/>
      <c r="D18" s="194"/>
    </row>
    <row r="19" spans="1:4" ht="30" customHeight="1" thickBot="1" x14ac:dyDescent="0.25">
      <c r="A19" s="194"/>
      <c r="B19" s="194"/>
      <c r="C19" s="214"/>
      <c r="D19" s="194"/>
    </row>
    <row r="20" spans="1:4" ht="30" customHeight="1" x14ac:dyDescent="0.2">
      <c r="A20" s="2012" t="s">
        <v>1060</v>
      </c>
      <c r="B20" s="2013"/>
      <c r="C20" s="2013"/>
      <c r="D20" s="2014"/>
    </row>
    <row r="21" spans="1:4" ht="30" customHeight="1" thickBot="1" x14ac:dyDescent="0.25">
      <c r="A21" s="2015"/>
      <c r="B21" s="2016"/>
      <c r="C21" s="2016"/>
      <c r="D21" s="2017"/>
    </row>
    <row r="22" spans="1:4" ht="30" customHeight="1" x14ac:dyDescent="0.2">
      <c r="A22" s="194"/>
      <c r="B22" s="194"/>
      <c r="C22" s="214"/>
      <c r="D22" s="194"/>
    </row>
    <row r="23" spans="1:4" ht="30" customHeight="1" thickBot="1" x14ac:dyDescent="0.25">
      <c r="A23" s="194"/>
      <c r="B23" s="194"/>
      <c r="C23" s="214"/>
      <c r="D23" s="194"/>
    </row>
    <row r="24" spans="1:4" ht="30" customHeight="1" x14ac:dyDescent="0.2">
      <c r="A24" s="2012" t="s">
        <v>1061</v>
      </c>
      <c r="B24" s="2013"/>
      <c r="C24" s="2013"/>
      <c r="D24" s="2014"/>
    </row>
    <row r="25" spans="1:4" ht="30" customHeight="1" thickBot="1" x14ac:dyDescent="0.25">
      <c r="A25" s="2015"/>
      <c r="B25" s="2016"/>
      <c r="C25" s="2016"/>
      <c r="D25" s="2017"/>
    </row>
    <row r="26" spans="1:4" ht="30" customHeight="1" thickBot="1" x14ac:dyDescent="0.25">
      <c r="A26" s="194"/>
      <c r="B26" s="194"/>
      <c r="C26" s="214"/>
      <c r="D26" s="194"/>
    </row>
    <row r="27" spans="1:4" ht="30" customHeight="1" x14ac:dyDescent="0.2">
      <c r="A27" s="2012" t="s">
        <v>2418</v>
      </c>
      <c r="B27" s="2013"/>
      <c r="C27" s="2013"/>
      <c r="D27" s="2014"/>
    </row>
    <row r="28" spans="1:4" ht="30" customHeight="1" thickBot="1" x14ac:dyDescent="0.25">
      <c r="A28" s="2015"/>
      <c r="B28" s="2016"/>
      <c r="C28" s="2016"/>
      <c r="D28" s="2017"/>
    </row>
    <row r="29" spans="1:4" ht="30" customHeight="1" thickBot="1" x14ac:dyDescent="0.25">
      <c r="A29" s="486"/>
      <c r="B29" s="822"/>
      <c r="C29" s="822"/>
      <c r="D29" s="826"/>
    </row>
    <row r="30" spans="1:4" ht="30" customHeight="1" x14ac:dyDescent="0.2">
      <c r="A30" s="2012" t="s">
        <v>2419</v>
      </c>
      <c r="B30" s="2013"/>
      <c r="C30" s="2013"/>
      <c r="D30" s="2014"/>
    </row>
    <row r="31" spans="1:4" ht="30" customHeight="1" thickBot="1" x14ac:dyDescent="0.25">
      <c r="A31" s="2015"/>
      <c r="B31" s="2016"/>
      <c r="C31" s="2016"/>
      <c r="D31" s="2017"/>
    </row>
    <row r="32" spans="1:4" ht="30" customHeight="1" x14ac:dyDescent="0.2">
      <c r="A32" s="822"/>
      <c r="B32" s="822"/>
      <c r="C32" s="822"/>
      <c r="D32" s="822"/>
    </row>
    <row r="33" spans="1:4" ht="30" customHeight="1" x14ac:dyDescent="0.2">
      <c r="A33" s="1964" t="s">
        <v>2421</v>
      </c>
      <c r="B33" s="1964"/>
      <c r="C33" s="1964"/>
      <c r="D33" s="1964"/>
    </row>
    <row r="34" spans="1:4" ht="30" customHeight="1" x14ac:dyDescent="0.2">
      <c r="A34" s="824"/>
      <c r="B34" s="824"/>
      <c r="C34" s="824"/>
      <c r="D34" s="824"/>
    </row>
    <row r="35" spans="1:4" ht="30" customHeight="1" x14ac:dyDescent="0.2">
      <c r="A35" s="2018" t="s">
        <v>2417</v>
      </c>
      <c r="B35" s="2019"/>
      <c r="C35" s="2019"/>
      <c r="D35" s="2019"/>
    </row>
    <row r="36" spans="1:4" ht="30" customHeight="1" x14ac:dyDescent="0.2">
      <c r="A36" s="822"/>
      <c r="B36" s="822"/>
      <c r="C36" s="822"/>
      <c r="D36" s="822"/>
    </row>
    <row r="37" spans="1:4" ht="30" customHeight="1" x14ac:dyDescent="0.2">
      <c r="A37" s="822"/>
      <c r="B37" s="822"/>
      <c r="C37" s="822"/>
      <c r="D37" s="822"/>
    </row>
  </sheetData>
  <mergeCells count="11">
    <mergeCell ref="B1:D1"/>
    <mergeCell ref="A6:D6"/>
    <mergeCell ref="A9:D9"/>
    <mergeCell ref="A12:D13"/>
    <mergeCell ref="A8:D8"/>
    <mergeCell ref="A27:D28"/>
    <mergeCell ref="A30:D31"/>
    <mergeCell ref="A35:D35"/>
    <mergeCell ref="A20:D21"/>
    <mergeCell ref="A24:D25"/>
    <mergeCell ref="A33:D3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rightToLeft="1" topLeftCell="A10" workbookViewId="0">
      <selection activeCell="F18" sqref="F18"/>
    </sheetView>
  </sheetViews>
  <sheetFormatPr defaultRowHeight="14.25" x14ac:dyDescent="0.2"/>
  <cols>
    <col min="1" max="1" width="15.625" style="5" customWidth="1"/>
    <col min="2" max="2" width="33.625" customWidth="1"/>
    <col min="3" max="5" width="15.75" customWidth="1"/>
    <col min="6" max="6" width="30.625" customWidth="1"/>
  </cols>
  <sheetData>
    <row r="1" spans="1:6" ht="50.1" customHeight="1" thickBot="1" x14ac:dyDescent="0.25">
      <c r="A1" s="200"/>
      <c r="B1" s="1929" t="s">
        <v>1067</v>
      </c>
      <c r="C1" s="1930"/>
      <c r="D1" s="1930"/>
      <c r="E1" s="1930"/>
      <c r="F1" s="1931"/>
    </row>
    <row r="2" spans="1:6" ht="50.1" customHeight="1" x14ac:dyDescent="0.2">
      <c r="A2" s="201" t="s">
        <v>0</v>
      </c>
      <c r="B2" s="154" t="s">
        <v>906</v>
      </c>
      <c r="C2" s="8" t="s">
        <v>274</v>
      </c>
      <c r="D2" s="225" t="s">
        <v>5</v>
      </c>
      <c r="E2" s="225" t="s">
        <v>282</v>
      </c>
      <c r="F2" s="155" t="s">
        <v>1066</v>
      </c>
    </row>
    <row r="3" spans="1:6" ht="30" customHeight="1" x14ac:dyDescent="0.2">
      <c r="A3" s="204">
        <v>1</v>
      </c>
      <c r="B3" s="224" t="s">
        <v>1062</v>
      </c>
      <c r="C3" s="6">
        <v>150000000</v>
      </c>
      <c r="D3" s="104"/>
      <c r="E3" s="104">
        <v>7500000</v>
      </c>
      <c r="F3" s="2020">
        <f>E3+E6+E7+E8</f>
        <v>24400000</v>
      </c>
    </row>
    <row r="4" spans="1:6" ht="30" customHeight="1" x14ac:dyDescent="0.2">
      <c r="A4" s="205">
        <v>2</v>
      </c>
      <c r="B4" s="497" t="s">
        <v>1063</v>
      </c>
      <c r="C4" s="469">
        <v>115000000</v>
      </c>
      <c r="D4" s="498"/>
      <c r="E4" s="498">
        <v>5750000</v>
      </c>
      <c r="F4" s="2021"/>
    </row>
    <row r="5" spans="1:6" ht="30" customHeight="1" x14ac:dyDescent="0.2">
      <c r="A5" s="485"/>
      <c r="B5" s="2026" t="s">
        <v>1583</v>
      </c>
      <c r="C5" s="2027"/>
      <c r="D5" s="2027"/>
      <c r="E5" s="2028"/>
      <c r="F5" s="2021"/>
    </row>
    <row r="6" spans="1:6" ht="30" customHeight="1" x14ac:dyDescent="0.2">
      <c r="A6" s="485"/>
      <c r="B6" s="224" t="s">
        <v>1063</v>
      </c>
      <c r="C6" s="474">
        <v>120000000</v>
      </c>
      <c r="D6" s="496"/>
      <c r="E6" s="470">
        <v>6000000</v>
      </c>
      <c r="F6" s="2021"/>
    </row>
    <row r="7" spans="1:6" ht="30" customHeight="1" x14ac:dyDescent="0.2">
      <c r="A7" s="204">
        <v>3</v>
      </c>
      <c r="B7" s="224" t="s">
        <v>1064</v>
      </c>
      <c r="C7" s="6">
        <f>85000000+45000000</f>
        <v>130000000</v>
      </c>
      <c r="D7" s="104"/>
      <c r="E7" s="104">
        <v>7400000</v>
      </c>
      <c r="F7" s="2021"/>
    </row>
    <row r="8" spans="1:6" ht="30" customHeight="1" thickBot="1" x14ac:dyDescent="0.25">
      <c r="A8" s="226">
        <v>4</v>
      </c>
      <c r="B8" s="206" t="s">
        <v>1065</v>
      </c>
      <c r="C8" s="227">
        <v>50000000</v>
      </c>
      <c r="D8" s="228"/>
      <c r="E8" s="228">
        <v>3500000</v>
      </c>
      <c r="F8" s="2022"/>
    </row>
    <row r="9" spans="1:6" ht="30" customHeight="1" x14ac:dyDescent="0.2">
      <c r="A9" s="202"/>
      <c r="C9" s="202"/>
      <c r="D9" s="202"/>
      <c r="E9" s="202"/>
    </row>
    <row r="10" spans="1:6" ht="30" customHeight="1" x14ac:dyDescent="0.2">
      <c r="A10" s="202"/>
      <c r="B10" s="202"/>
      <c r="C10" s="202"/>
      <c r="D10" s="202"/>
      <c r="E10" s="202"/>
      <c r="F10" s="202"/>
    </row>
    <row r="11" spans="1:6" ht="30" customHeight="1" thickBot="1" x14ac:dyDescent="0.25">
      <c r="A11" s="202"/>
      <c r="C11" s="202"/>
      <c r="D11" s="202"/>
      <c r="E11" s="202"/>
    </row>
    <row r="12" spans="1:6" ht="50.1" customHeight="1" thickBot="1" x14ac:dyDescent="0.25">
      <c r="A12" s="200"/>
      <c r="B12" s="1929" t="s">
        <v>1068</v>
      </c>
      <c r="C12" s="1930"/>
      <c r="D12" s="1930"/>
      <c r="E12" s="1930"/>
      <c r="F12" s="1931"/>
    </row>
    <row r="13" spans="1:6" ht="50.1" customHeight="1" x14ac:dyDescent="0.2">
      <c r="A13" s="201" t="s">
        <v>0</v>
      </c>
      <c r="B13" s="154" t="s">
        <v>906</v>
      </c>
      <c r="C13" s="8" t="s">
        <v>274</v>
      </c>
      <c r="D13" s="225" t="s">
        <v>5</v>
      </c>
      <c r="E13" s="225" t="s">
        <v>282</v>
      </c>
      <c r="F13" s="155" t="s">
        <v>1066</v>
      </c>
    </row>
    <row r="14" spans="1:6" ht="30" customHeight="1" thickBot="1" x14ac:dyDescent="0.25">
      <c r="A14" s="204">
        <v>1</v>
      </c>
      <c r="B14" s="224" t="s">
        <v>1069</v>
      </c>
      <c r="C14" s="6">
        <v>70000000</v>
      </c>
      <c r="D14" s="209">
        <v>5.5E-2</v>
      </c>
      <c r="E14" s="104">
        <v>3500000</v>
      </c>
      <c r="F14" s="2023">
        <f>E14+E15+E16+E17</f>
        <v>20410000</v>
      </c>
    </row>
    <row r="15" spans="1:6" ht="30" customHeight="1" thickBot="1" x14ac:dyDescent="0.25">
      <c r="A15" s="205">
        <v>2</v>
      </c>
      <c r="B15" s="224" t="s">
        <v>1070</v>
      </c>
      <c r="C15" s="6">
        <v>140000000</v>
      </c>
      <c r="D15" s="209">
        <v>5.5E-2</v>
      </c>
      <c r="E15" s="104">
        <v>7000000</v>
      </c>
      <c r="F15" s="2024"/>
    </row>
    <row r="16" spans="1:6" ht="30" customHeight="1" thickBot="1" x14ac:dyDescent="0.25">
      <c r="A16" s="485"/>
      <c r="B16" s="224" t="s">
        <v>1065</v>
      </c>
      <c r="C16" s="1773">
        <v>63000000</v>
      </c>
      <c r="D16" s="209">
        <v>5.5E-2</v>
      </c>
      <c r="E16" s="1772">
        <v>4410000</v>
      </c>
      <c r="F16" s="2024"/>
    </row>
    <row r="17" spans="1:6" ht="30" customHeight="1" thickBot="1" x14ac:dyDescent="0.25">
      <c r="A17" s="204">
        <v>3</v>
      </c>
      <c r="B17" s="224" t="s">
        <v>3756</v>
      </c>
      <c r="C17" s="6">
        <v>100000000</v>
      </c>
      <c r="D17" s="209">
        <v>5.5E-2</v>
      </c>
      <c r="E17" s="104">
        <v>5500000</v>
      </c>
      <c r="F17" s="2025"/>
    </row>
    <row r="18" spans="1:6" x14ac:dyDescent="0.2">
      <c r="C18" s="445"/>
    </row>
  </sheetData>
  <mergeCells count="5">
    <mergeCell ref="B1:F1"/>
    <mergeCell ref="F3:F8"/>
    <mergeCell ref="B12:F12"/>
    <mergeCell ref="F14:F17"/>
    <mergeCell ref="B5:E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"/>
  <sheetViews>
    <sheetView rightToLeft="1" topLeftCell="A52" workbookViewId="0">
      <selection activeCell="C14" sqref="C14"/>
    </sheetView>
  </sheetViews>
  <sheetFormatPr defaultRowHeight="14.25" x14ac:dyDescent="0.2"/>
  <cols>
    <col min="1" max="1" width="5.75" style="5" customWidth="1"/>
    <col min="2" max="4" width="20.625" customWidth="1"/>
    <col min="5" max="5" width="23.625" style="5" customWidth="1"/>
    <col min="6" max="6" width="11.75" customWidth="1"/>
    <col min="7" max="7" width="39.875" customWidth="1"/>
  </cols>
  <sheetData>
    <row r="1" spans="1:13" ht="50.1" customHeight="1" thickBot="1" x14ac:dyDescent="0.25">
      <c r="A1" s="1929" t="s">
        <v>3985</v>
      </c>
      <c r="B1" s="1930"/>
      <c r="C1" s="1930"/>
      <c r="D1" s="1930"/>
      <c r="E1" s="1930"/>
      <c r="F1" s="1930"/>
      <c r="G1" s="1931"/>
    </row>
    <row r="2" spans="1:13" ht="50.1" customHeight="1" x14ac:dyDescent="0.2">
      <c r="A2" s="2493" t="s">
        <v>0</v>
      </c>
      <c r="B2" s="8" t="s">
        <v>3950</v>
      </c>
      <c r="C2" s="8" t="s">
        <v>3951</v>
      </c>
      <c r="D2" s="8" t="s">
        <v>3952</v>
      </c>
      <c r="E2" s="1" t="s">
        <v>3953</v>
      </c>
      <c r="F2" s="2" t="s">
        <v>3954</v>
      </c>
      <c r="G2" s="2" t="s">
        <v>271</v>
      </c>
    </row>
    <row r="3" spans="1:13" ht="30" customHeight="1" x14ac:dyDescent="0.2">
      <c r="A3" s="2500">
        <v>1</v>
      </c>
      <c r="B3" s="1915" t="s">
        <v>3957</v>
      </c>
      <c r="C3" s="1920">
        <v>500000000</v>
      </c>
      <c r="D3" s="1915" t="s">
        <v>3965</v>
      </c>
      <c r="E3" s="1920" t="s">
        <v>3973</v>
      </c>
      <c r="F3" s="2494" t="s">
        <v>3974</v>
      </c>
      <c r="G3" s="2495"/>
    </row>
    <row r="4" spans="1:13" ht="30" customHeight="1" x14ac:dyDescent="0.2">
      <c r="A4" s="2500">
        <v>2</v>
      </c>
      <c r="B4" s="1915" t="s">
        <v>3958</v>
      </c>
      <c r="C4" s="1920">
        <v>2000000000</v>
      </c>
      <c r="D4" s="1915" t="s">
        <v>3966</v>
      </c>
      <c r="E4" s="1920" t="s">
        <v>3973</v>
      </c>
      <c r="F4" s="2494" t="s">
        <v>3975</v>
      </c>
      <c r="G4" s="2495"/>
    </row>
    <row r="5" spans="1:13" ht="30" customHeight="1" x14ac:dyDescent="0.2">
      <c r="A5" s="2500">
        <v>3</v>
      </c>
      <c r="B5" s="1915" t="s">
        <v>3959</v>
      </c>
      <c r="C5" s="1920">
        <v>1520000000</v>
      </c>
      <c r="D5" s="1915" t="s">
        <v>3967</v>
      </c>
      <c r="E5" s="1920" t="s">
        <v>3973</v>
      </c>
      <c r="F5" s="2494" t="s">
        <v>3974</v>
      </c>
      <c r="G5" s="2495"/>
    </row>
    <row r="6" spans="1:13" ht="30" customHeight="1" x14ac:dyDescent="0.2">
      <c r="A6" s="2500">
        <v>4</v>
      </c>
      <c r="B6" s="1915" t="s">
        <v>3960</v>
      </c>
      <c r="C6" s="1920">
        <v>655000000</v>
      </c>
      <c r="D6" s="1915" t="s">
        <v>3968</v>
      </c>
      <c r="E6" s="1920" t="s">
        <v>3973</v>
      </c>
      <c r="F6" s="2494" t="s">
        <v>3974</v>
      </c>
      <c r="G6" s="2495"/>
    </row>
    <row r="7" spans="1:13" ht="30" customHeight="1" x14ac:dyDescent="0.2">
      <c r="A7" s="2500">
        <v>5</v>
      </c>
      <c r="B7" s="1915" t="s">
        <v>3961</v>
      </c>
      <c r="C7" s="1920">
        <v>490000000</v>
      </c>
      <c r="D7" s="1915" t="s">
        <v>3969</v>
      </c>
      <c r="E7" s="1920" t="s">
        <v>3973</v>
      </c>
      <c r="F7" s="2494" t="s">
        <v>3975</v>
      </c>
      <c r="G7" s="2495"/>
    </row>
    <row r="8" spans="1:13" ht="30" customHeight="1" x14ac:dyDescent="0.2">
      <c r="A8" s="2500">
        <v>6</v>
      </c>
      <c r="B8" s="1915" t="s">
        <v>3610</v>
      </c>
      <c r="C8" s="1920">
        <v>1050000000</v>
      </c>
      <c r="D8" s="1915" t="s">
        <v>3970</v>
      </c>
      <c r="E8" s="1920" t="s">
        <v>3973</v>
      </c>
      <c r="F8" s="2494" t="s">
        <v>3975</v>
      </c>
      <c r="G8" s="2495"/>
    </row>
    <row r="9" spans="1:13" ht="30" customHeight="1" x14ac:dyDescent="0.2">
      <c r="A9" s="2500">
        <v>7</v>
      </c>
      <c r="B9" s="1915" t="s">
        <v>3962</v>
      </c>
      <c r="C9" s="1920">
        <v>1370000000</v>
      </c>
      <c r="D9" s="1915" t="s">
        <v>3971</v>
      </c>
      <c r="E9" s="1920" t="s">
        <v>3973</v>
      </c>
      <c r="F9" s="2494" t="s">
        <v>3955</v>
      </c>
      <c r="G9" s="2495"/>
    </row>
    <row r="10" spans="1:13" ht="30" customHeight="1" x14ac:dyDescent="0.2">
      <c r="A10" s="2500">
        <v>8</v>
      </c>
      <c r="B10" s="1915" t="s">
        <v>3963</v>
      </c>
      <c r="C10" s="1920">
        <v>2600000000</v>
      </c>
      <c r="D10" s="1915" t="s">
        <v>3972</v>
      </c>
      <c r="E10" s="1920" t="s">
        <v>3973</v>
      </c>
      <c r="F10" s="2494" t="s">
        <v>1223</v>
      </c>
      <c r="G10" s="2495"/>
    </row>
    <row r="11" spans="1:13" ht="30" customHeight="1" x14ac:dyDescent="0.2">
      <c r="A11" s="2500">
        <v>9</v>
      </c>
      <c r="B11" s="1799" t="s">
        <v>3568</v>
      </c>
      <c r="C11" s="1922">
        <v>1000000000</v>
      </c>
      <c r="D11" s="1799">
        <v>595471</v>
      </c>
      <c r="E11" s="1922" t="s">
        <v>3973</v>
      </c>
      <c r="F11" s="2522" t="s">
        <v>3956</v>
      </c>
      <c r="G11" s="2496"/>
    </row>
    <row r="12" spans="1:13" ht="30" customHeight="1" x14ac:dyDescent="0.2">
      <c r="A12" s="2500">
        <v>10</v>
      </c>
      <c r="B12" s="1799" t="s">
        <v>3964</v>
      </c>
      <c r="C12" s="1922">
        <v>500000000</v>
      </c>
      <c r="D12" s="1799">
        <v>174155</v>
      </c>
      <c r="E12" s="1922" t="s">
        <v>3973</v>
      </c>
      <c r="F12" s="2522" t="s">
        <v>3956</v>
      </c>
      <c r="G12" s="2496"/>
    </row>
    <row r="13" spans="1:13" ht="30" customHeight="1" thickBot="1" x14ac:dyDescent="0.25">
      <c r="A13" s="2501"/>
      <c r="B13" s="2497" t="s">
        <v>3976</v>
      </c>
      <c r="C13" s="1981">
        <f>SUM(C3:C12)</f>
        <v>11685000000</v>
      </c>
      <c r="D13" s="2516"/>
      <c r="E13" s="2516"/>
      <c r="F13" s="1982"/>
      <c r="G13" s="2505"/>
    </row>
    <row r="14" spans="1:13" ht="18" x14ac:dyDescent="0.2">
      <c r="A14" s="193"/>
      <c r="B14" s="195"/>
      <c r="C14" s="195"/>
      <c r="D14" s="195"/>
      <c r="E14" s="1913"/>
      <c r="F14" s="2498"/>
      <c r="G14" s="2499"/>
    </row>
    <row r="15" spans="1:13" ht="18.75" thickBot="1" x14ac:dyDescent="0.25">
      <c r="A15" s="193"/>
      <c r="B15" s="195"/>
      <c r="C15" s="195"/>
      <c r="D15" s="195"/>
      <c r="E15" s="1913"/>
      <c r="F15" s="2498"/>
      <c r="G15" s="2499"/>
    </row>
    <row r="16" spans="1:13" ht="39.950000000000003" customHeight="1" thickBot="1" x14ac:dyDescent="0.25">
      <c r="A16" s="2506" t="s">
        <v>3978</v>
      </c>
      <c r="B16" s="2507"/>
      <c r="C16" s="2507"/>
      <c r="D16" s="2507"/>
      <c r="E16" s="2507"/>
      <c r="F16" s="2507"/>
      <c r="G16" s="2508"/>
      <c r="H16" s="2510"/>
      <c r="I16" s="2510"/>
      <c r="J16" s="2510"/>
      <c r="K16" s="2510"/>
      <c r="L16" s="2510"/>
      <c r="M16" s="2510"/>
    </row>
    <row r="17" spans="1:7" ht="18" customHeight="1" x14ac:dyDescent="0.2">
      <c r="A17" s="2513" t="s">
        <v>3977</v>
      </c>
      <c r="B17" s="2509"/>
      <c r="C17" s="2509"/>
      <c r="D17" s="2509"/>
      <c r="E17" s="2509"/>
      <c r="F17" s="2509"/>
      <c r="G17" s="2514"/>
    </row>
    <row r="18" spans="1:7" ht="18" customHeight="1" thickBot="1" x14ac:dyDescent="0.25">
      <c r="A18" s="2511"/>
      <c r="B18" s="2512"/>
      <c r="C18" s="2512"/>
      <c r="D18" s="2512"/>
      <c r="E18" s="2512"/>
      <c r="F18" s="2512"/>
      <c r="G18" s="2515"/>
    </row>
    <row r="19" spans="1:7" x14ac:dyDescent="0.2">
      <c r="A19" s="2513" t="s">
        <v>3979</v>
      </c>
      <c r="B19" s="2509"/>
      <c r="C19" s="2509"/>
      <c r="D19" s="2509"/>
      <c r="E19" s="2509"/>
      <c r="F19" s="2509"/>
      <c r="G19" s="2514"/>
    </row>
    <row r="20" spans="1:7" ht="15" thickBot="1" x14ac:dyDescent="0.25">
      <c r="A20" s="2511"/>
      <c r="B20" s="2512"/>
      <c r="C20" s="2512"/>
      <c r="D20" s="2512"/>
      <c r="E20" s="2512"/>
      <c r="F20" s="2512"/>
      <c r="G20" s="2515"/>
    </row>
    <row r="21" spans="1:7" x14ac:dyDescent="0.2">
      <c r="A21" s="193"/>
      <c r="B21" s="193"/>
      <c r="C21" s="193"/>
      <c r="D21" s="193"/>
      <c r="E21" s="193"/>
      <c r="F21" s="193"/>
      <c r="G21" s="193"/>
    </row>
    <row r="22" spans="1:7" x14ac:dyDescent="0.2">
      <c r="A22" s="193"/>
      <c r="B22" s="193"/>
      <c r="C22" s="193"/>
      <c r="D22" s="193"/>
      <c r="E22" s="193"/>
      <c r="F22" s="193"/>
      <c r="G22" s="193"/>
    </row>
    <row r="23" spans="1:7" ht="18.75" thickBot="1" x14ac:dyDescent="0.25">
      <c r="A23" s="193"/>
      <c r="B23" s="195"/>
      <c r="C23" s="195"/>
      <c r="D23" s="195"/>
      <c r="E23" s="1913"/>
      <c r="F23" s="2498"/>
      <c r="G23" s="2499"/>
    </row>
    <row r="24" spans="1:7" ht="50.1" customHeight="1" thickBot="1" x14ac:dyDescent="0.25">
      <c r="A24" s="1929" t="s">
        <v>3986</v>
      </c>
      <c r="B24" s="1930"/>
      <c r="C24" s="1930"/>
      <c r="D24" s="1930"/>
      <c r="E24" s="1930"/>
      <c r="F24" s="1930"/>
      <c r="G24" s="1931"/>
    </row>
    <row r="25" spans="1:7" ht="50.1" customHeight="1" x14ac:dyDescent="0.2">
      <c r="A25" s="2493" t="s">
        <v>0</v>
      </c>
      <c r="B25" s="8" t="s">
        <v>3950</v>
      </c>
      <c r="C25" s="8" t="s">
        <v>3951</v>
      </c>
      <c r="D25" s="8" t="s">
        <v>3952</v>
      </c>
      <c r="E25" s="1" t="s">
        <v>3953</v>
      </c>
      <c r="F25" s="2" t="s">
        <v>3954</v>
      </c>
      <c r="G25" s="2" t="s">
        <v>271</v>
      </c>
    </row>
    <row r="26" spans="1:7" ht="30" customHeight="1" x14ac:dyDescent="0.2">
      <c r="A26" s="2500">
        <v>1</v>
      </c>
      <c r="B26" s="1915" t="s">
        <v>3957</v>
      </c>
      <c r="C26" s="1920">
        <v>500000000</v>
      </c>
      <c r="D26" s="1915" t="s">
        <v>3965</v>
      </c>
      <c r="E26" s="1920" t="s">
        <v>3973</v>
      </c>
      <c r="F26" s="2494" t="s">
        <v>3974</v>
      </c>
      <c r="G26" s="2495"/>
    </row>
    <row r="27" spans="1:7" ht="30" customHeight="1" x14ac:dyDescent="0.2">
      <c r="A27" s="2500">
        <v>2</v>
      </c>
      <c r="B27" s="1915" t="s">
        <v>3958</v>
      </c>
      <c r="C27" s="1920">
        <v>2000000000</v>
      </c>
      <c r="D27" s="1915" t="s">
        <v>3966</v>
      </c>
      <c r="E27" s="1920" t="s">
        <v>3973</v>
      </c>
      <c r="F27" s="2494" t="s">
        <v>3975</v>
      </c>
      <c r="G27" s="2495"/>
    </row>
    <row r="28" spans="1:7" ht="30" customHeight="1" x14ac:dyDescent="0.2">
      <c r="A28" s="2500">
        <v>3</v>
      </c>
      <c r="B28" s="1915" t="s">
        <v>3959</v>
      </c>
      <c r="C28" s="1920">
        <v>1520000000</v>
      </c>
      <c r="D28" s="1915" t="s">
        <v>3967</v>
      </c>
      <c r="E28" s="1920" t="s">
        <v>3973</v>
      </c>
      <c r="F28" s="2494" t="s">
        <v>3974</v>
      </c>
      <c r="G28" s="2495"/>
    </row>
    <row r="29" spans="1:7" ht="30" customHeight="1" x14ac:dyDescent="0.2">
      <c r="A29" s="2500">
        <v>4</v>
      </c>
      <c r="B29" s="1915" t="s">
        <v>3960</v>
      </c>
      <c r="C29" s="1920">
        <v>655000000</v>
      </c>
      <c r="D29" s="1915" t="s">
        <v>3968</v>
      </c>
      <c r="E29" s="1920" t="s">
        <v>3973</v>
      </c>
      <c r="F29" s="2494" t="s">
        <v>3974</v>
      </c>
      <c r="G29" s="2495"/>
    </row>
    <row r="30" spans="1:7" ht="30" customHeight="1" x14ac:dyDescent="0.2">
      <c r="A30" s="2500">
        <v>5</v>
      </c>
      <c r="B30" s="1915" t="s">
        <v>3961</v>
      </c>
      <c r="C30" s="1920">
        <v>490000000</v>
      </c>
      <c r="D30" s="1915" t="s">
        <v>3969</v>
      </c>
      <c r="E30" s="1920" t="s">
        <v>3973</v>
      </c>
      <c r="F30" s="2494" t="s">
        <v>3975</v>
      </c>
      <c r="G30" s="2495"/>
    </row>
    <row r="31" spans="1:7" ht="30" customHeight="1" x14ac:dyDescent="0.2">
      <c r="A31" s="2500">
        <v>6</v>
      </c>
      <c r="B31" s="1915" t="s">
        <v>3610</v>
      </c>
      <c r="C31" s="1920">
        <v>1050000000</v>
      </c>
      <c r="D31" s="1915" t="s">
        <v>3970</v>
      </c>
      <c r="E31" s="1920" t="s">
        <v>3973</v>
      </c>
      <c r="F31" s="2494" t="s">
        <v>3975</v>
      </c>
      <c r="G31" s="2495"/>
    </row>
    <row r="32" spans="1:7" ht="30" customHeight="1" x14ac:dyDescent="0.2">
      <c r="A32" s="2500">
        <v>7</v>
      </c>
      <c r="B32" s="1915" t="s">
        <v>3962</v>
      </c>
      <c r="C32" s="1920">
        <v>1370000000</v>
      </c>
      <c r="D32" s="1915" t="s">
        <v>3971</v>
      </c>
      <c r="E32" s="1920" t="s">
        <v>3973</v>
      </c>
      <c r="F32" s="2494" t="s">
        <v>3955</v>
      </c>
      <c r="G32" s="2495"/>
    </row>
    <row r="33" spans="1:13" ht="30" customHeight="1" x14ac:dyDescent="0.2">
      <c r="A33" s="2500">
        <v>8</v>
      </c>
      <c r="B33" s="1915" t="s">
        <v>3963</v>
      </c>
      <c r="C33" s="1920">
        <v>2600000000</v>
      </c>
      <c r="D33" s="1915" t="s">
        <v>3972</v>
      </c>
      <c r="E33" s="1920" t="s">
        <v>3973</v>
      </c>
      <c r="F33" s="2494" t="s">
        <v>1223</v>
      </c>
      <c r="G33" s="2495"/>
    </row>
    <row r="34" spans="1:13" ht="30" customHeight="1" x14ac:dyDescent="0.2">
      <c r="A34" s="2500">
        <v>9</v>
      </c>
      <c r="B34" s="1799"/>
      <c r="C34" s="1922">
        <v>1050000000</v>
      </c>
      <c r="D34" s="1799">
        <v>174155</v>
      </c>
      <c r="E34" s="1922" t="s">
        <v>3973</v>
      </c>
      <c r="F34" s="2522" t="s">
        <v>3956</v>
      </c>
      <c r="G34" s="2496"/>
    </row>
    <row r="35" spans="1:13" ht="30" customHeight="1" thickBot="1" x14ac:dyDescent="0.25">
      <c r="A35" s="2501"/>
      <c r="B35" s="2497" t="s">
        <v>3984</v>
      </c>
      <c r="C35" s="1981">
        <f>SUM(C26:C34)</f>
        <v>11235000000</v>
      </c>
      <c r="D35" s="2516"/>
      <c r="E35" s="2516"/>
      <c r="F35" s="1982"/>
      <c r="G35" s="2505"/>
    </row>
    <row r="36" spans="1:13" ht="18" x14ac:dyDescent="0.2">
      <c r="A36" s="193"/>
      <c r="B36" s="195"/>
      <c r="C36" s="195"/>
      <c r="D36" s="195"/>
      <c r="E36" s="1913"/>
      <c r="F36" s="2498"/>
      <c r="G36" s="2499"/>
    </row>
    <row r="37" spans="1:13" ht="18.75" thickBot="1" x14ac:dyDescent="0.25">
      <c r="A37" s="193"/>
      <c r="B37" s="195"/>
      <c r="C37" s="195"/>
      <c r="D37" s="195"/>
      <c r="E37" s="1913"/>
      <c r="F37" s="2498"/>
      <c r="G37" s="2499"/>
    </row>
    <row r="38" spans="1:13" ht="39.950000000000003" customHeight="1" thickBot="1" x14ac:dyDescent="0.25">
      <c r="A38" s="2506" t="s">
        <v>3980</v>
      </c>
      <c r="B38" s="2507"/>
      <c r="C38" s="2507"/>
      <c r="D38" s="2507"/>
      <c r="E38" s="2507"/>
      <c r="F38" s="2507"/>
      <c r="G38" s="2508"/>
      <c r="H38" s="2510"/>
      <c r="I38" s="2510"/>
      <c r="J38" s="2510"/>
      <c r="K38" s="2510"/>
      <c r="L38" s="2510"/>
      <c r="M38" s="2510"/>
    </row>
    <row r="39" spans="1:13" ht="39.950000000000003" customHeight="1" thickBot="1" x14ac:dyDescent="0.25">
      <c r="A39" s="2506" t="s">
        <v>3981</v>
      </c>
      <c r="B39" s="2507"/>
      <c r="C39" s="2507"/>
      <c r="D39" s="2507"/>
      <c r="E39" s="2507"/>
      <c r="F39" s="2507"/>
      <c r="G39" s="2508"/>
      <c r="H39" s="2510"/>
      <c r="I39" s="2510"/>
      <c r="J39" s="2510"/>
      <c r="K39" s="2510"/>
      <c r="L39" s="2510"/>
      <c r="M39" s="2510"/>
    </row>
    <row r="40" spans="1:13" ht="39.950000000000003" customHeight="1" thickBot="1" x14ac:dyDescent="0.25">
      <c r="A40" s="2506" t="s">
        <v>3982</v>
      </c>
      <c r="B40" s="2507"/>
      <c r="C40" s="2507"/>
      <c r="D40" s="2507"/>
      <c r="E40" s="2507"/>
      <c r="F40" s="2507"/>
      <c r="G40" s="2508"/>
      <c r="H40" s="2510"/>
      <c r="I40" s="2510"/>
      <c r="J40" s="2510"/>
      <c r="K40" s="2510"/>
      <c r="L40" s="2510"/>
      <c r="M40" s="2510"/>
    </row>
    <row r="41" spans="1:13" ht="18" x14ac:dyDescent="0.2">
      <c r="A41" s="193"/>
      <c r="B41" s="195"/>
      <c r="C41" s="195"/>
      <c r="D41" s="195"/>
      <c r="E41" s="1913"/>
      <c r="F41" s="2498"/>
      <c r="G41" s="2499"/>
    </row>
    <row r="42" spans="1:13" ht="18" x14ac:dyDescent="0.2">
      <c r="A42" s="193"/>
      <c r="B42" s="195"/>
      <c r="C42" s="195"/>
      <c r="D42" s="195"/>
      <c r="E42" s="1913"/>
      <c r="F42" s="2498"/>
      <c r="G42" s="2499"/>
    </row>
    <row r="43" spans="1:13" ht="18.75" thickBot="1" x14ac:dyDescent="0.25">
      <c r="A43" s="193"/>
      <c r="B43" s="195"/>
      <c r="C43" s="195"/>
      <c r="D43" s="195"/>
      <c r="E43" s="1913"/>
      <c r="F43" s="2498"/>
      <c r="G43" s="2499"/>
    </row>
    <row r="44" spans="1:13" ht="50.1" customHeight="1" thickBot="1" x14ac:dyDescent="0.25">
      <c r="A44" s="1929" t="s">
        <v>3987</v>
      </c>
      <c r="B44" s="1930"/>
      <c r="C44" s="1930"/>
      <c r="D44" s="1930"/>
      <c r="E44" s="1930"/>
      <c r="F44" s="1930"/>
      <c r="G44" s="1931"/>
    </row>
    <row r="45" spans="1:13" ht="50.1" customHeight="1" x14ac:dyDescent="0.2">
      <c r="A45" s="2493" t="s">
        <v>0</v>
      </c>
      <c r="B45" s="8" t="s">
        <v>3950</v>
      </c>
      <c r="C45" s="8" t="s">
        <v>3951</v>
      </c>
      <c r="D45" s="8" t="s">
        <v>3952</v>
      </c>
      <c r="E45" s="1" t="s">
        <v>3953</v>
      </c>
      <c r="F45" s="2" t="s">
        <v>3954</v>
      </c>
      <c r="G45" s="2" t="s">
        <v>271</v>
      </c>
    </row>
    <row r="46" spans="1:13" ht="30" customHeight="1" x14ac:dyDescent="0.2">
      <c r="A46" s="2500">
        <v>1</v>
      </c>
      <c r="B46" s="1915" t="s">
        <v>3957</v>
      </c>
      <c r="C46" s="1920">
        <v>500000000</v>
      </c>
      <c r="D46" s="1915" t="s">
        <v>3965</v>
      </c>
      <c r="E46" s="1920" t="s">
        <v>3973</v>
      </c>
      <c r="F46" s="2494" t="s">
        <v>3974</v>
      </c>
      <c r="G46" s="2495"/>
    </row>
    <row r="47" spans="1:13" ht="30" customHeight="1" x14ac:dyDescent="0.2">
      <c r="A47" s="2500">
        <v>2</v>
      </c>
      <c r="B47" s="1915" t="s">
        <v>3958</v>
      </c>
      <c r="C47" s="1920">
        <v>2000000000</v>
      </c>
      <c r="D47" s="1915" t="s">
        <v>3966</v>
      </c>
      <c r="E47" s="1920" t="s">
        <v>3973</v>
      </c>
      <c r="F47" s="2494" t="s">
        <v>3975</v>
      </c>
      <c r="G47" s="2495"/>
    </row>
    <row r="48" spans="1:13" ht="30" customHeight="1" x14ac:dyDescent="0.2">
      <c r="A48" s="2500">
        <v>3</v>
      </c>
      <c r="B48" s="1915" t="s">
        <v>3959</v>
      </c>
      <c r="C48" s="1920">
        <v>1520000000</v>
      </c>
      <c r="D48" s="1915" t="s">
        <v>3967</v>
      </c>
      <c r="E48" s="1920" t="s">
        <v>3973</v>
      </c>
      <c r="F48" s="2494" t="s">
        <v>3974</v>
      </c>
      <c r="G48" s="2495"/>
    </row>
    <row r="49" spans="1:7" ht="30" customHeight="1" x14ac:dyDescent="0.2">
      <c r="A49" s="2500">
        <v>4</v>
      </c>
      <c r="B49" s="1915" t="s">
        <v>3960</v>
      </c>
      <c r="C49" s="1920">
        <v>655000000</v>
      </c>
      <c r="D49" s="1915" t="s">
        <v>3968</v>
      </c>
      <c r="E49" s="1920" t="s">
        <v>3973</v>
      </c>
      <c r="F49" s="2494" t="s">
        <v>3974</v>
      </c>
      <c r="G49" s="2495"/>
    </row>
    <row r="50" spans="1:7" ht="30" customHeight="1" x14ac:dyDescent="0.2">
      <c r="A50" s="2500">
        <v>5</v>
      </c>
      <c r="B50" s="1915" t="s">
        <v>3961</v>
      </c>
      <c r="C50" s="1920">
        <v>490000000</v>
      </c>
      <c r="D50" s="1915" t="s">
        <v>3969</v>
      </c>
      <c r="E50" s="1920" t="s">
        <v>3973</v>
      </c>
      <c r="F50" s="2494" t="s">
        <v>3975</v>
      </c>
      <c r="G50" s="2495"/>
    </row>
    <row r="51" spans="1:7" ht="30" customHeight="1" x14ac:dyDescent="0.2">
      <c r="A51" s="2500">
        <v>6</v>
      </c>
      <c r="B51" s="1915" t="s">
        <v>3610</v>
      </c>
      <c r="C51" s="1920">
        <v>1050000000</v>
      </c>
      <c r="D51" s="1915" t="s">
        <v>3970</v>
      </c>
      <c r="E51" s="1920" t="s">
        <v>3973</v>
      </c>
      <c r="F51" s="2494" t="s">
        <v>3975</v>
      </c>
      <c r="G51" s="2495"/>
    </row>
    <row r="52" spans="1:7" ht="30" customHeight="1" x14ac:dyDescent="0.2">
      <c r="A52" s="2500">
        <v>7</v>
      </c>
      <c r="B52" s="1915" t="s">
        <v>3962</v>
      </c>
      <c r="C52" s="1920">
        <v>1370000000</v>
      </c>
      <c r="D52" s="1915" t="s">
        <v>3971</v>
      </c>
      <c r="E52" s="1920" t="s">
        <v>3973</v>
      </c>
      <c r="F52" s="2494" t="s">
        <v>3955</v>
      </c>
      <c r="G52" s="2495"/>
    </row>
    <row r="53" spans="1:7" ht="30" customHeight="1" x14ac:dyDescent="0.2">
      <c r="A53" s="2500">
        <v>8</v>
      </c>
      <c r="B53" s="1915" t="s">
        <v>3963</v>
      </c>
      <c r="C53" s="1920">
        <v>2600000000</v>
      </c>
      <c r="D53" s="1915" t="s">
        <v>3972</v>
      </c>
      <c r="E53" s="1920" t="s">
        <v>3973</v>
      </c>
      <c r="F53" s="2494" t="s">
        <v>1223</v>
      </c>
      <c r="G53" s="2495"/>
    </row>
    <row r="54" spans="1:7" ht="30" customHeight="1" x14ac:dyDescent="0.2">
      <c r="A54" s="2500">
        <v>9</v>
      </c>
      <c r="B54" s="1915" t="s">
        <v>3988</v>
      </c>
      <c r="C54" s="1920">
        <v>2730000000</v>
      </c>
      <c r="D54" s="1915" t="s">
        <v>3989</v>
      </c>
      <c r="E54" s="1920" t="s">
        <v>3973</v>
      </c>
      <c r="F54" s="2494"/>
      <c r="G54" s="2496"/>
    </row>
    <row r="55" spans="1:7" ht="30" customHeight="1" thickBot="1" x14ac:dyDescent="0.25">
      <c r="A55" s="2501"/>
      <c r="B55" s="2497" t="s">
        <v>3983</v>
      </c>
      <c r="C55" s="2502">
        <f>SUM(C46:C54)</f>
        <v>12915000000</v>
      </c>
      <c r="D55" s="2503"/>
      <c r="E55" s="2503"/>
      <c r="F55" s="2504"/>
      <c r="G55" s="2505"/>
    </row>
    <row r="56" spans="1:7" ht="18" x14ac:dyDescent="0.2">
      <c r="A56" s="193"/>
      <c r="B56" s="195"/>
      <c r="C56" s="195"/>
      <c r="D56" s="195"/>
      <c r="E56" s="1913"/>
      <c r="F56" s="2498"/>
      <c r="G56" s="2499"/>
    </row>
    <row r="57" spans="1:7" ht="18" x14ac:dyDescent="0.2">
      <c r="A57" s="193"/>
      <c r="B57" s="195"/>
      <c r="C57" s="195"/>
      <c r="D57" s="195"/>
      <c r="E57" s="1913"/>
      <c r="F57" s="2498"/>
      <c r="G57" s="2499"/>
    </row>
    <row r="58" spans="1:7" ht="18" x14ac:dyDescent="0.2">
      <c r="A58" s="193"/>
      <c r="B58" s="195"/>
      <c r="C58" s="195"/>
      <c r="D58" s="195"/>
      <c r="E58" s="1913"/>
      <c r="F58" s="2498"/>
      <c r="G58" s="2499"/>
    </row>
    <row r="59" spans="1:7" ht="18" x14ac:dyDescent="0.2">
      <c r="A59" s="193"/>
      <c r="B59" s="195"/>
      <c r="C59" s="195"/>
      <c r="D59" s="195"/>
      <c r="E59" s="1913"/>
      <c r="F59" s="2498"/>
      <c r="G59" s="2499"/>
    </row>
    <row r="60" spans="1:7" ht="18" x14ac:dyDescent="0.2">
      <c r="A60" s="193"/>
      <c r="B60" s="195"/>
      <c r="C60" s="195"/>
      <c r="D60" s="195"/>
      <c r="E60" s="1913"/>
      <c r="F60" s="2498"/>
      <c r="G60" s="2499"/>
    </row>
    <row r="61" spans="1:7" ht="18" x14ac:dyDescent="0.2">
      <c r="A61" s="193"/>
      <c r="B61" s="195"/>
      <c r="C61" s="195"/>
      <c r="D61" s="195"/>
      <c r="E61" s="1913"/>
      <c r="F61" s="2498"/>
      <c r="G61" s="2499"/>
    </row>
    <row r="62" spans="1:7" ht="18" x14ac:dyDescent="0.2">
      <c r="A62" s="193"/>
      <c r="B62" s="195"/>
      <c r="C62" s="195"/>
      <c r="D62" s="195"/>
      <c r="E62" s="1913"/>
      <c r="F62" s="2498"/>
      <c r="G62" s="2499"/>
    </row>
    <row r="63" spans="1:7" ht="18" x14ac:dyDescent="0.2">
      <c r="A63" s="193"/>
      <c r="B63" s="195"/>
      <c r="C63" s="195"/>
      <c r="D63" s="195"/>
      <c r="E63" s="1913"/>
      <c r="F63" s="2498"/>
      <c r="G63" s="2499"/>
    </row>
    <row r="64" spans="1:7" ht="18" x14ac:dyDescent="0.2">
      <c r="A64" s="193"/>
      <c r="B64" s="195"/>
      <c r="C64" s="195"/>
      <c r="D64" s="195"/>
      <c r="E64" s="1913"/>
      <c r="F64" s="2498"/>
      <c r="G64" s="2499"/>
    </row>
    <row r="65" spans="1:7" ht="18" x14ac:dyDescent="0.2">
      <c r="A65" s="193"/>
      <c r="B65" s="195"/>
      <c r="C65" s="195"/>
      <c r="D65" s="195"/>
      <c r="E65" s="1913"/>
      <c r="F65" s="2498"/>
      <c r="G65" s="2499"/>
    </row>
    <row r="66" spans="1:7" ht="18" x14ac:dyDescent="0.2">
      <c r="A66" s="193"/>
      <c r="B66" s="195"/>
      <c r="C66" s="195"/>
      <c r="D66" s="195"/>
      <c r="E66" s="1913"/>
      <c r="F66" s="2498"/>
      <c r="G66" s="2499"/>
    </row>
    <row r="67" spans="1:7" ht="18" x14ac:dyDescent="0.2">
      <c r="A67" s="193"/>
      <c r="B67" s="195"/>
      <c r="C67" s="195"/>
      <c r="D67" s="195"/>
      <c r="E67" s="1913"/>
      <c r="F67" s="2498"/>
      <c r="G67" s="2499"/>
    </row>
    <row r="68" spans="1:7" ht="18" x14ac:dyDescent="0.2">
      <c r="A68" s="193"/>
      <c r="B68" s="195"/>
      <c r="C68" s="195"/>
      <c r="D68" s="195"/>
      <c r="E68" s="1913"/>
      <c r="F68" s="2498"/>
      <c r="G68" s="2499"/>
    </row>
    <row r="69" spans="1:7" ht="18" x14ac:dyDescent="0.2">
      <c r="A69" s="193"/>
      <c r="B69" s="195"/>
      <c r="C69" s="195"/>
      <c r="D69" s="195"/>
      <c r="E69" s="1913"/>
      <c r="F69" s="2498"/>
      <c r="G69" s="2499"/>
    </row>
    <row r="70" spans="1:7" ht="18" x14ac:dyDescent="0.2">
      <c r="A70" s="193"/>
      <c r="B70" s="195"/>
      <c r="C70" s="195"/>
      <c r="D70" s="195"/>
      <c r="E70" s="1913"/>
      <c r="F70" s="2498"/>
      <c r="G70" s="2499"/>
    </row>
    <row r="71" spans="1:7" ht="18" x14ac:dyDescent="0.2">
      <c r="A71" s="193"/>
      <c r="B71" s="195"/>
      <c r="C71" s="195"/>
      <c r="D71" s="195"/>
      <c r="E71" s="1913"/>
      <c r="F71" s="2498"/>
      <c r="G71" s="2499"/>
    </row>
    <row r="72" spans="1:7" ht="18" x14ac:dyDescent="0.2">
      <c r="A72" s="193"/>
      <c r="B72" s="195"/>
      <c r="C72" s="195"/>
      <c r="D72" s="195"/>
      <c r="E72" s="1913"/>
      <c r="F72" s="2498"/>
      <c r="G72" s="2499"/>
    </row>
    <row r="73" spans="1:7" ht="18" x14ac:dyDescent="0.2">
      <c r="A73" s="193"/>
      <c r="B73" s="195"/>
      <c r="C73" s="195"/>
      <c r="D73" s="195"/>
      <c r="E73" s="1913"/>
      <c r="F73" s="2498"/>
      <c r="G73" s="2499"/>
    </row>
    <row r="74" spans="1:7" ht="18" x14ac:dyDescent="0.2">
      <c r="A74" s="193"/>
      <c r="B74" s="195"/>
      <c r="C74" s="195"/>
      <c r="D74" s="195"/>
      <c r="E74" s="1913"/>
      <c r="F74" s="2498"/>
      <c r="G74" s="2499"/>
    </row>
    <row r="75" spans="1:7" ht="18" x14ac:dyDescent="0.2">
      <c r="A75" s="193"/>
      <c r="B75" s="195"/>
      <c r="C75" s="195"/>
      <c r="D75" s="195"/>
      <c r="E75" s="1913"/>
      <c r="F75" s="2498"/>
      <c r="G75" s="2499"/>
    </row>
    <row r="76" spans="1:7" ht="18" x14ac:dyDescent="0.2">
      <c r="A76" s="193"/>
      <c r="B76" s="195"/>
      <c r="C76" s="195"/>
      <c r="D76" s="195"/>
      <c r="E76" s="1913"/>
      <c r="F76" s="2498"/>
      <c r="G76" s="2499"/>
    </row>
    <row r="77" spans="1:7" ht="18" x14ac:dyDescent="0.2">
      <c r="A77" s="193"/>
      <c r="B77" s="195"/>
      <c r="C77" s="195"/>
      <c r="D77" s="195"/>
      <c r="E77" s="1913"/>
      <c r="F77" s="2498"/>
      <c r="G77" s="2499"/>
    </row>
    <row r="78" spans="1:7" ht="18" x14ac:dyDescent="0.2">
      <c r="A78" s="193"/>
      <c r="B78" s="195"/>
      <c r="C78" s="195"/>
      <c r="D78" s="195"/>
      <c r="E78" s="1913"/>
      <c r="F78" s="2498"/>
      <c r="G78" s="2499"/>
    </row>
    <row r="79" spans="1:7" ht="18" x14ac:dyDescent="0.2">
      <c r="A79" s="193"/>
      <c r="B79" s="195"/>
      <c r="C79" s="195"/>
      <c r="D79" s="195"/>
      <c r="E79" s="1913"/>
      <c r="F79" s="2498"/>
      <c r="G79" s="2499"/>
    </row>
    <row r="80" spans="1:7" ht="18" x14ac:dyDescent="0.2">
      <c r="A80" s="193"/>
      <c r="B80" s="195"/>
      <c r="C80" s="195"/>
      <c r="D80" s="195"/>
      <c r="E80" s="1913"/>
      <c r="F80" s="2498"/>
      <c r="G80" s="2499"/>
    </row>
    <row r="81" spans="1:7" ht="18" x14ac:dyDescent="0.2">
      <c r="A81" s="193"/>
      <c r="B81" s="195"/>
      <c r="C81" s="195"/>
      <c r="D81" s="195"/>
      <c r="E81" s="1913"/>
      <c r="F81" s="2498"/>
      <c r="G81" s="2499"/>
    </row>
    <row r="82" spans="1:7" ht="18" x14ac:dyDescent="0.2">
      <c r="A82" s="193"/>
      <c r="B82" s="195"/>
      <c r="C82" s="195"/>
      <c r="D82" s="195"/>
      <c r="E82" s="1913"/>
      <c r="F82" s="2498"/>
      <c r="G82" s="2499"/>
    </row>
    <row r="83" spans="1:7" ht="18" x14ac:dyDescent="0.2">
      <c r="A83" s="193"/>
      <c r="B83" s="195"/>
      <c r="C83" s="195"/>
      <c r="D83" s="195"/>
      <c r="E83" s="1913"/>
      <c r="F83" s="2498"/>
      <c r="G83" s="2499"/>
    </row>
    <row r="84" spans="1:7" ht="18" x14ac:dyDescent="0.2">
      <c r="A84" s="193"/>
      <c r="B84" s="195"/>
      <c r="C84" s="195"/>
      <c r="D84" s="195"/>
      <c r="E84" s="1913"/>
      <c r="F84" s="2498"/>
      <c r="G84" s="2499"/>
    </row>
    <row r="85" spans="1:7" ht="18" x14ac:dyDescent="0.2">
      <c r="A85" s="193"/>
      <c r="B85" s="195"/>
      <c r="C85" s="195"/>
      <c r="D85" s="195"/>
      <c r="E85" s="1913"/>
      <c r="F85" s="2498"/>
      <c r="G85" s="2499"/>
    </row>
    <row r="86" spans="1:7" ht="18" x14ac:dyDescent="0.2">
      <c r="A86" s="193"/>
      <c r="B86" s="195"/>
      <c r="C86" s="195"/>
      <c r="D86" s="195"/>
      <c r="E86" s="1913"/>
      <c r="F86" s="2498"/>
      <c r="G86" s="2499"/>
    </row>
    <row r="87" spans="1:7" ht="18" x14ac:dyDescent="0.2">
      <c r="A87" s="193"/>
      <c r="B87" s="195"/>
      <c r="C87" s="195"/>
      <c r="D87" s="195"/>
      <c r="E87" s="1913"/>
      <c r="F87" s="2498"/>
      <c r="G87" s="2499"/>
    </row>
    <row r="88" spans="1:7" ht="18" x14ac:dyDescent="0.2">
      <c r="A88" s="193"/>
      <c r="B88" s="195"/>
      <c r="C88" s="195"/>
      <c r="D88" s="195"/>
      <c r="E88" s="1913"/>
      <c r="F88" s="2498"/>
      <c r="G88" s="2499"/>
    </row>
    <row r="89" spans="1:7" ht="18" x14ac:dyDescent="0.2">
      <c r="A89" s="193"/>
      <c r="B89" s="195"/>
      <c r="C89" s="195"/>
      <c r="D89" s="195"/>
      <c r="E89" s="1913"/>
      <c r="F89" s="2498"/>
      <c r="G89" s="2499"/>
    </row>
    <row r="90" spans="1:7" ht="18" x14ac:dyDescent="0.2">
      <c r="A90" s="193"/>
      <c r="B90" s="195"/>
      <c r="C90" s="195"/>
      <c r="D90" s="195"/>
      <c r="E90" s="1913"/>
      <c r="F90" s="2498"/>
      <c r="G90" s="2499"/>
    </row>
    <row r="91" spans="1:7" ht="18" x14ac:dyDescent="0.2">
      <c r="A91" s="193"/>
      <c r="B91" s="195"/>
      <c r="C91" s="195"/>
      <c r="D91" s="195"/>
      <c r="E91" s="1913"/>
      <c r="F91" s="2498"/>
      <c r="G91" s="2499"/>
    </row>
    <row r="92" spans="1:7" ht="18" x14ac:dyDescent="0.2">
      <c r="A92" s="193"/>
      <c r="B92" s="195"/>
      <c r="C92" s="195"/>
      <c r="D92" s="195"/>
      <c r="E92" s="1913"/>
      <c r="F92" s="2498"/>
      <c r="G92" s="2499"/>
    </row>
    <row r="93" spans="1:7" ht="18" x14ac:dyDescent="0.2">
      <c r="A93" s="193"/>
      <c r="B93" s="195"/>
      <c r="C93" s="195"/>
      <c r="D93" s="195"/>
      <c r="E93" s="1913"/>
      <c r="F93" s="2498"/>
      <c r="G93" s="2499"/>
    </row>
    <row r="94" spans="1:7" ht="18" x14ac:dyDescent="0.2">
      <c r="A94" s="193"/>
      <c r="B94" s="195"/>
      <c r="C94" s="195"/>
      <c r="D94" s="195"/>
      <c r="E94" s="1913"/>
      <c r="F94" s="2498"/>
      <c r="G94" s="2499"/>
    </row>
    <row r="95" spans="1:7" ht="18" x14ac:dyDescent="0.2">
      <c r="A95" s="193"/>
      <c r="B95" s="195"/>
      <c r="C95" s="195"/>
      <c r="D95" s="195"/>
      <c r="E95" s="1913"/>
      <c r="F95" s="2498"/>
      <c r="G95" s="2499"/>
    </row>
    <row r="96" spans="1:7" ht="18" x14ac:dyDescent="0.2">
      <c r="A96" s="193"/>
      <c r="B96" s="195"/>
      <c r="C96" s="195"/>
      <c r="D96" s="195"/>
      <c r="E96" s="1913"/>
      <c r="F96" s="2498"/>
      <c r="G96" s="2499"/>
    </row>
    <row r="97" spans="1:7" ht="18" x14ac:dyDescent="0.2">
      <c r="A97" s="193"/>
      <c r="B97" s="195"/>
      <c r="C97" s="195"/>
      <c r="D97" s="195"/>
      <c r="E97" s="1913"/>
      <c r="F97" s="2498"/>
      <c r="G97" s="2499"/>
    </row>
    <row r="98" spans="1:7" ht="18" x14ac:dyDescent="0.2">
      <c r="A98" s="193"/>
      <c r="B98" s="195"/>
      <c r="C98" s="195"/>
      <c r="D98" s="195"/>
      <c r="E98" s="1913"/>
      <c r="F98" s="2498"/>
      <c r="G98" s="2499"/>
    </row>
    <row r="99" spans="1:7" ht="18" x14ac:dyDescent="0.2">
      <c r="A99" s="193"/>
      <c r="B99" s="195"/>
      <c r="C99" s="195"/>
      <c r="D99" s="195"/>
      <c r="E99" s="1913"/>
      <c r="F99" s="2498"/>
      <c r="G99" s="2499"/>
    </row>
    <row r="100" spans="1:7" ht="18" x14ac:dyDescent="0.2">
      <c r="A100" s="193"/>
      <c r="B100" s="195"/>
      <c r="C100" s="195"/>
      <c r="D100" s="195"/>
      <c r="E100" s="1913"/>
      <c r="F100" s="2498"/>
      <c r="G100" s="2499"/>
    </row>
    <row r="101" spans="1:7" ht="18" x14ac:dyDescent="0.2">
      <c r="A101" s="193"/>
      <c r="B101" s="195"/>
      <c r="C101" s="195"/>
      <c r="D101" s="195"/>
      <c r="E101" s="1913"/>
      <c r="F101" s="2498"/>
      <c r="G101" s="2499"/>
    </row>
    <row r="102" spans="1:7" ht="18" x14ac:dyDescent="0.2">
      <c r="A102" s="193"/>
      <c r="B102" s="195"/>
      <c r="C102" s="195"/>
      <c r="D102" s="195"/>
      <c r="E102" s="1913"/>
      <c r="F102" s="2498"/>
      <c r="G102" s="2499"/>
    </row>
    <row r="103" spans="1:7" ht="18" x14ac:dyDescent="0.2">
      <c r="A103" s="193"/>
      <c r="B103" s="195"/>
      <c r="C103" s="195"/>
      <c r="D103" s="195"/>
      <c r="E103" s="1913"/>
      <c r="F103" s="2498"/>
      <c r="G103" s="2499"/>
    </row>
    <row r="104" spans="1:7" ht="18" x14ac:dyDescent="0.2">
      <c r="A104" s="193"/>
      <c r="B104" s="195"/>
      <c r="C104" s="195"/>
      <c r="D104" s="195"/>
      <c r="E104" s="1913"/>
      <c r="F104" s="2498"/>
      <c r="G104" s="2499"/>
    </row>
    <row r="105" spans="1:7" ht="18" x14ac:dyDescent="0.2">
      <c r="A105" s="193"/>
      <c r="B105" s="195"/>
      <c r="C105" s="195"/>
      <c r="D105" s="195"/>
      <c r="E105" s="1913"/>
      <c r="F105" s="2498"/>
      <c r="G105" s="2499"/>
    </row>
    <row r="106" spans="1:7" ht="18" x14ac:dyDescent="0.2">
      <c r="A106" s="193"/>
      <c r="B106" s="195"/>
      <c r="C106" s="195"/>
      <c r="D106" s="195"/>
      <c r="E106" s="1913"/>
      <c r="F106" s="2498"/>
      <c r="G106" s="2499"/>
    </row>
    <row r="107" spans="1:7" ht="18" x14ac:dyDescent="0.2">
      <c r="A107" s="193"/>
      <c r="B107" s="195"/>
      <c r="C107" s="195"/>
      <c r="D107" s="195"/>
      <c r="E107" s="1913"/>
      <c r="F107" s="2498"/>
      <c r="G107" s="2499"/>
    </row>
    <row r="108" spans="1:7" ht="18" x14ac:dyDescent="0.2">
      <c r="A108" s="193"/>
      <c r="B108" s="195"/>
      <c r="C108" s="195"/>
      <c r="D108" s="195"/>
      <c r="E108" s="1913"/>
      <c r="F108" s="2498"/>
      <c r="G108" s="2499"/>
    </row>
    <row r="109" spans="1:7" ht="18" x14ac:dyDescent="0.2">
      <c r="A109" s="193"/>
      <c r="B109" s="195"/>
      <c r="C109" s="195"/>
      <c r="D109" s="195"/>
      <c r="E109" s="1913"/>
      <c r="F109" s="2498"/>
      <c r="G109" s="2499"/>
    </row>
    <row r="110" spans="1:7" ht="18" x14ac:dyDescent="0.2">
      <c r="A110" s="193"/>
      <c r="B110" s="195"/>
      <c r="C110" s="195"/>
      <c r="D110" s="195"/>
      <c r="E110" s="1913"/>
      <c r="F110" s="2498"/>
      <c r="G110" s="2499"/>
    </row>
    <row r="111" spans="1:7" ht="18" x14ac:dyDescent="0.2">
      <c r="A111" s="193"/>
      <c r="B111" s="195"/>
      <c r="C111" s="195"/>
      <c r="D111" s="195"/>
      <c r="E111" s="1913"/>
      <c r="F111" s="2498"/>
      <c r="G111" s="2499"/>
    </row>
    <row r="112" spans="1:7" ht="18" x14ac:dyDescent="0.2">
      <c r="A112" s="193"/>
      <c r="B112" s="195"/>
      <c r="C112" s="195"/>
      <c r="D112" s="195"/>
      <c r="E112" s="1913"/>
      <c r="F112" s="2498"/>
      <c r="G112" s="2499"/>
    </row>
    <row r="113" spans="1:7" ht="18" x14ac:dyDescent="0.2">
      <c r="A113" s="193"/>
      <c r="B113" s="195"/>
      <c r="C113" s="195"/>
      <c r="D113" s="195"/>
      <c r="E113" s="1913"/>
      <c r="F113" s="2498"/>
      <c r="G113" s="2499"/>
    </row>
    <row r="114" spans="1:7" ht="18" x14ac:dyDescent="0.2">
      <c r="A114" s="193"/>
      <c r="B114" s="195"/>
      <c r="C114" s="195"/>
      <c r="D114" s="195"/>
      <c r="E114" s="1913"/>
      <c r="F114" s="2498"/>
      <c r="G114" s="2499"/>
    </row>
    <row r="115" spans="1:7" ht="18" x14ac:dyDescent="0.2">
      <c r="A115" s="193"/>
      <c r="B115" s="195"/>
      <c r="C115" s="195"/>
      <c r="D115" s="195"/>
      <c r="E115" s="1913"/>
      <c r="F115" s="2498"/>
      <c r="G115" s="2499"/>
    </row>
    <row r="116" spans="1:7" ht="18" x14ac:dyDescent="0.2">
      <c r="A116" s="193"/>
      <c r="B116" s="195"/>
      <c r="C116" s="195"/>
      <c r="D116" s="195"/>
      <c r="E116" s="1913"/>
      <c r="F116" s="2498"/>
      <c r="G116" s="2499"/>
    </row>
    <row r="117" spans="1:7" ht="18" x14ac:dyDescent="0.2">
      <c r="A117" s="193"/>
      <c r="B117" s="195"/>
      <c r="C117" s="195"/>
      <c r="D117" s="195"/>
      <c r="E117" s="1913"/>
      <c r="F117" s="2498"/>
      <c r="G117" s="2499"/>
    </row>
    <row r="118" spans="1:7" ht="18" x14ac:dyDescent="0.2">
      <c r="A118" s="193"/>
      <c r="B118" s="195"/>
      <c r="C118" s="195"/>
      <c r="D118" s="195"/>
      <c r="E118" s="1913"/>
      <c r="F118" s="2498"/>
      <c r="G118" s="2499"/>
    </row>
    <row r="119" spans="1:7" ht="18" x14ac:dyDescent="0.2">
      <c r="A119" s="193"/>
      <c r="B119" s="195"/>
      <c r="C119" s="195"/>
      <c r="D119" s="195"/>
      <c r="E119" s="1913"/>
      <c r="F119" s="2498"/>
      <c r="G119" s="2499"/>
    </row>
    <row r="120" spans="1:7" ht="18" x14ac:dyDescent="0.2">
      <c r="A120" s="193"/>
      <c r="B120" s="195"/>
      <c r="C120" s="195"/>
      <c r="D120" s="195"/>
      <c r="E120" s="1913"/>
      <c r="F120" s="2498"/>
      <c r="G120" s="2499"/>
    </row>
    <row r="121" spans="1:7" ht="18" x14ac:dyDescent="0.2">
      <c r="A121" s="193"/>
      <c r="B121" s="195"/>
      <c r="C121" s="195"/>
      <c r="D121" s="195"/>
      <c r="E121" s="1913"/>
      <c r="F121" s="2498"/>
      <c r="G121" s="2499"/>
    </row>
    <row r="122" spans="1:7" ht="18" x14ac:dyDescent="0.2">
      <c r="A122" s="193"/>
      <c r="B122" s="195"/>
      <c r="C122" s="195"/>
      <c r="D122" s="195"/>
      <c r="E122" s="1913"/>
      <c r="F122" s="2498"/>
      <c r="G122" s="2499"/>
    </row>
    <row r="123" spans="1:7" ht="18" x14ac:dyDescent="0.2">
      <c r="A123" s="193"/>
      <c r="B123" s="195"/>
      <c r="C123" s="195"/>
      <c r="D123" s="195"/>
      <c r="E123" s="1913"/>
      <c r="F123" s="2498"/>
      <c r="G123" s="2499"/>
    </row>
    <row r="124" spans="1:7" ht="18" x14ac:dyDescent="0.2">
      <c r="A124" s="193"/>
      <c r="B124" s="195"/>
      <c r="C124" s="195"/>
      <c r="D124" s="195"/>
      <c r="E124" s="1913"/>
      <c r="F124" s="2498"/>
      <c r="G124" s="2499"/>
    </row>
    <row r="125" spans="1:7" ht="18" x14ac:dyDescent="0.2">
      <c r="A125" s="193"/>
      <c r="B125" s="195"/>
      <c r="C125" s="195"/>
      <c r="D125" s="195"/>
      <c r="E125" s="1913"/>
      <c r="F125" s="2498"/>
      <c r="G125" s="2499"/>
    </row>
    <row r="126" spans="1:7" ht="18" x14ac:dyDescent="0.2">
      <c r="A126" s="193"/>
      <c r="B126" s="195"/>
      <c r="C126" s="195"/>
      <c r="D126" s="195"/>
      <c r="E126" s="1913"/>
      <c r="F126" s="2498"/>
      <c r="G126" s="2499"/>
    </row>
    <row r="127" spans="1:7" ht="18" x14ac:dyDescent="0.2">
      <c r="A127" s="193"/>
      <c r="B127" s="195"/>
      <c r="C127" s="195"/>
      <c r="D127" s="195"/>
      <c r="E127" s="1913"/>
      <c r="F127" s="2498"/>
      <c r="G127" s="2499"/>
    </row>
    <row r="128" spans="1:7" ht="18" x14ac:dyDescent="0.2">
      <c r="A128" s="193"/>
      <c r="B128" s="195"/>
      <c r="C128" s="195"/>
      <c r="D128" s="195"/>
      <c r="E128" s="1913"/>
      <c r="F128" s="2498"/>
      <c r="G128" s="2499"/>
    </row>
    <row r="129" spans="1:7" ht="18" x14ac:dyDescent="0.2">
      <c r="A129" s="193"/>
      <c r="B129" s="195"/>
      <c r="C129" s="195"/>
      <c r="D129" s="195"/>
      <c r="E129" s="1913"/>
      <c r="F129" s="2498"/>
      <c r="G129" s="2499"/>
    </row>
    <row r="130" spans="1:7" ht="18" x14ac:dyDescent="0.2">
      <c r="A130" s="193"/>
      <c r="B130" s="195"/>
      <c r="C130" s="195"/>
      <c r="D130" s="195"/>
      <c r="E130" s="1913"/>
      <c r="F130" s="2498"/>
      <c r="G130" s="2499"/>
    </row>
    <row r="131" spans="1:7" ht="18" x14ac:dyDescent="0.2">
      <c r="A131" s="193"/>
      <c r="B131" s="195"/>
      <c r="C131" s="195"/>
      <c r="D131" s="195"/>
      <c r="E131" s="1913"/>
      <c r="F131" s="2498"/>
      <c r="G131" s="2499"/>
    </row>
    <row r="132" spans="1:7" ht="18" x14ac:dyDescent="0.2">
      <c r="A132" s="193"/>
      <c r="B132" s="195"/>
      <c r="C132" s="195"/>
      <c r="D132" s="195"/>
      <c r="E132" s="1913"/>
      <c r="F132" s="2498"/>
      <c r="G132" s="2499"/>
    </row>
    <row r="133" spans="1:7" ht="18" x14ac:dyDescent="0.2">
      <c r="A133" s="193"/>
      <c r="B133" s="195"/>
      <c r="C133" s="195"/>
      <c r="D133" s="195"/>
      <c r="E133" s="1913"/>
      <c r="F133" s="2498"/>
      <c r="G133" s="2499"/>
    </row>
    <row r="134" spans="1:7" ht="18" x14ac:dyDescent="0.2">
      <c r="A134" s="193"/>
      <c r="B134" s="195"/>
      <c r="C134" s="195"/>
      <c r="D134" s="195"/>
      <c r="E134" s="1913"/>
      <c r="F134" s="2498"/>
      <c r="G134" s="2499"/>
    </row>
    <row r="135" spans="1:7" ht="18" x14ac:dyDescent="0.2">
      <c r="A135" s="193"/>
      <c r="B135" s="195"/>
      <c r="C135" s="195"/>
      <c r="D135" s="195"/>
      <c r="E135" s="1913"/>
      <c r="F135" s="2498"/>
      <c r="G135" s="2499"/>
    </row>
    <row r="136" spans="1:7" ht="18" x14ac:dyDescent="0.2">
      <c r="A136" s="193"/>
      <c r="B136" s="195"/>
      <c r="C136" s="195"/>
      <c r="D136" s="195"/>
      <c r="E136" s="1913"/>
      <c r="F136" s="2498"/>
      <c r="G136" s="2499"/>
    </row>
    <row r="137" spans="1:7" ht="18" x14ac:dyDescent="0.2">
      <c r="A137" s="193"/>
      <c r="B137" s="195"/>
      <c r="C137" s="195"/>
      <c r="D137" s="195"/>
      <c r="E137" s="1913"/>
      <c r="F137" s="2498"/>
      <c r="G137" s="2499"/>
    </row>
    <row r="138" spans="1:7" ht="18" x14ac:dyDescent="0.2">
      <c r="A138" s="193"/>
      <c r="B138" s="195"/>
      <c r="C138" s="195"/>
      <c r="D138" s="195"/>
      <c r="E138" s="1913"/>
      <c r="F138" s="2498"/>
      <c r="G138" s="2499"/>
    </row>
    <row r="139" spans="1:7" ht="18" x14ac:dyDescent="0.2">
      <c r="A139" s="193"/>
      <c r="B139" s="195"/>
      <c r="C139" s="195"/>
      <c r="D139" s="195"/>
      <c r="E139" s="1913"/>
      <c r="F139" s="2498"/>
      <c r="G139" s="2499"/>
    </row>
    <row r="140" spans="1:7" ht="18" x14ac:dyDescent="0.2">
      <c r="A140" s="193"/>
      <c r="B140" s="195"/>
      <c r="C140" s="195"/>
      <c r="D140" s="195"/>
      <c r="E140" s="1913"/>
      <c r="F140" s="2498"/>
      <c r="G140" s="2499"/>
    </row>
    <row r="141" spans="1:7" ht="18" x14ac:dyDescent="0.2">
      <c r="A141" s="193"/>
      <c r="B141" s="195"/>
      <c r="C141" s="195"/>
      <c r="D141" s="195"/>
      <c r="E141" s="1913"/>
      <c r="F141" s="2498"/>
      <c r="G141" s="2499"/>
    </row>
    <row r="142" spans="1:7" ht="18" x14ac:dyDescent="0.2">
      <c r="A142" s="193"/>
      <c r="B142" s="195"/>
      <c r="C142" s="195"/>
      <c r="D142" s="195"/>
      <c r="E142" s="1913"/>
      <c r="F142" s="2498"/>
      <c r="G142" s="2499"/>
    </row>
    <row r="143" spans="1:7" ht="18" x14ac:dyDescent="0.2">
      <c r="A143" s="193"/>
      <c r="B143" s="195"/>
      <c r="C143" s="195"/>
      <c r="D143" s="195"/>
      <c r="E143" s="1913"/>
      <c r="F143" s="2498"/>
      <c r="G143" s="2499"/>
    </row>
    <row r="144" spans="1:7" ht="18" x14ac:dyDescent="0.2">
      <c r="A144" s="193"/>
      <c r="B144" s="195"/>
      <c r="C144" s="195"/>
      <c r="D144" s="195"/>
      <c r="E144" s="1913"/>
      <c r="F144" s="2498"/>
      <c r="G144" s="2499"/>
    </row>
    <row r="145" spans="1:7" ht="18" x14ac:dyDescent="0.2">
      <c r="A145" s="193"/>
      <c r="B145" s="195"/>
      <c r="C145" s="195"/>
      <c r="D145" s="195"/>
      <c r="E145" s="1913"/>
      <c r="F145" s="2498"/>
      <c r="G145" s="2499"/>
    </row>
    <row r="146" spans="1:7" ht="18" x14ac:dyDescent="0.2">
      <c r="A146" s="193"/>
      <c r="B146" s="195"/>
      <c r="C146" s="195"/>
      <c r="D146" s="195"/>
      <c r="E146" s="1913"/>
      <c r="F146" s="2498"/>
      <c r="G146" s="2499"/>
    </row>
  </sheetData>
  <mergeCells count="12">
    <mergeCell ref="C35:F35"/>
    <mergeCell ref="A38:G38"/>
    <mergeCell ref="A39:G39"/>
    <mergeCell ref="A40:G40"/>
    <mergeCell ref="C55:F55"/>
    <mergeCell ref="A1:G1"/>
    <mergeCell ref="A24:G24"/>
    <mergeCell ref="A44:G44"/>
    <mergeCell ref="C13:F13"/>
    <mergeCell ref="A16:G16"/>
    <mergeCell ref="A17:G18"/>
    <mergeCell ref="A19:G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rightToLeft="1" topLeftCell="A24" zoomScale="80" zoomScaleNormal="80" workbookViewId="0">
      <selection activeCell="C33" sqref="C33"/>
    </sheetView>
  </sheetViews>
  <sheetFormatPr defaultRowHeight="14.25" x14ac:dyDescent="0.2"/>
  <cols>
    <col min="1" max="1" width="5.75" style="5" customWidth="1"/>
    <col min="2" max="2" width="33.625" customWidth="1"/>
    <col min="3" max="5" width="15.75" customWidth="1"/>
    <col min="6" max="6" width="20.75" style="5" customWidth="1"/>
    <col min="7" max="7" width="11.75" customWidth="1"/>
    <col min="8" max="8" width="20.75" customWidth="1"/>
    <col min="9" max="9" width="30" customWidth="1"/>
    <col min="10" max="10" width="84" customWidth="1"/>
  </cols>
  <sheetData>
    <row r="1" spans="1:10" ht="50.1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880</v>
      </c>
      <c r="F1" s="1" t="s">
        <v>274</v>
      </c>
      <c r="G1" s="1" t="s">
        <v>5</v>
      </c>
      <c r="H1" s="1" t="s">
        <v>1041</v>
      </c>
      <c r="I1" s="10" t="s">
        <v>918</v>
      </c>
      <c r="J1" s="2" t="s">
        <v>271</v>
      </c>
    </row>
    <row r="2" spans="1:10" ht="30" customHeight="1" x14ac:dyDescent="0.2">
      <c r="A2" s="2031">
        <v>1</v>
      </c>
      <c r="B2" s="2029" t="s">
        <v>118</v>
      </c>
      <c r="C2" s="556" t="s">
        <v>877</v>
      </c>
      <c r="D2" s="556" t="s">
        <v>878</v>
      </c>
      <c r="E2" s="556" t="s">
        <v>879</v>
      </c>
      <c r="F2" s="559">
        <v>8000000</v>
      </c>
      <c r="G2" s="480"/>
      <c r="H2" s="559">
        <v>12800000</v>
      </c>
      <c r="I2" s="560" t="s">
        <v>930</v>
      </c>
      <c r="J2" s="569" t="s">
        <v>1897</v>
      </c>
    </row>
    <row r="3" spans="1:10" ht="30" customHeight="1" x14ac:dyDescent="0.2">
      <c r="A3" s="2034"/>
      <c r="B3" s="2033"/>
      <c r="C3" s="558" t="s">
        <v>1898</v>
      </c>
      <c r="D3" s="558" t="s">
        <v>1899</v>
      </c>
      <c r="E3" s="558" t="s">
        <v>879</v>
      </c>
      <c r="F3" s="557">
        <v>15500000</v>
      </c>
      <c r="G3" s="562"/>
      <c r="H3" s="557">
        <v>25000000</v>
      </c>
      <c r="I3" s="561" t="s">
        <v>1900</v>
      </c>
      <c r="J3" s="569"/>
    </row>
    <row r="4" spans="1:10" ht="30" customHeight="1" x14ac:dyDescent="0.2">
      <c r="A4" s="2032"/>
      <c r="B4" s="2030"/>
      <c r="C4" s="558" t="s">
        <v>922</v>
      </c>
      <c r="D4" s="558" t="s">
        <v>921</v>
      </c>
      <c r="E4" s="558" t="s">
        <v>881</v>
      </c>
      <c r="F4" s="557">
        <v>1000000</v>
      </c>
      <c r="G4" s="562"/>
      <c r="H4" s="557">
        <v>24000000</v>
      </c>
      <c r="I4" s="561" t="s">
        <v>1901</v>
      </c>
      <c r="J4" s="569"/>
    </row>
    <row r="5" spans="1:10" ht="30" customHeight="1" x14ac:dyDescent="0.2">
      <c r="A5" s="2031">
        <v>2</v>
      </c>
      <c r="B5" s="2029" t="s">
        <v>159</v>
      </c>
      <c r="C5" s="141" t="s">
        <v>920</v>
      </c>
      <c r="D5" s="141" t="s">
        <v>919</v>
      </c>
      <c r="E5" s="141" t="s">
        <v>881</v>
      </c>
      <c r="F5" s="135">
        <v>10000000</v>
      </c>
      <c r="G5" s="20"/>
      <c r="H5" s="135">
        <v>250000000</v>
      </c>
      <c r="I5" s="140" t="s">
        <v>931</v>
      </c>
      <c r="J5" s="26"/>
    </row>
    <row r="6" spans="1:10" ht="30" customHeight="1" x14ac:dyDescent="0.2">
      <c r="A6" s="2032"/>
      <c r="B6" s="2030"/>
      <c r="C6" s="556" t="s">
        <v>922</v>
      </c>
      <c r="D6" s="556" t="s">
        <v>921</v>
      </c>
      <c r="E6" s="556" t="s">
        <v>881</v>
      </c>
      <c r="F6" s="559">
        <v>1000000</v>
      </c>
      <c r="G6" s="480"/>
      <c r="H6" s="559">
        <v>24000000</v>
      </c>
      <c r="I6" s="570" t="s">
        <v>932</v>
      </c>
      <c r="J6" s="569" t="s">
        <v>1902</v>
      </c>
    </row>
    <row r="7" spans="1:10" ht="30" customHeight="1" x14ac:dyDescent="0.2">
      <c r="A7" s="4">
        <v>3</v>
      </c>
      <c r="B7" s="22" t="s">
        <v>925</v>
      </c>
      <c r="C7" s="151" t="s">
        <v>926</v>
      </c>
      <c r="D7" s="151" t="s">
        <v>927</v>
      </c>
      <c r="E7" s="151" t="s">
        <v>928</v>
      </c>
      <c r="F7" s="135">
        <v>177000000</v>
      </c>
      <c r="G7" s="20"/>
      <c r="H7" s="135">
        <v>900000000</v>
      </c>
      <c r="I7" s="150" t="s">
        <v>929</v>
      </c>
      <c r="J7" s="26"/>
    </row>
    <row r="8" spans="1:10" ht="30" customHeight="1" x14ac:dyDescent="0.2">
      <c r="A8" s="4">
        <v>4</v>
      </c>
      <c r="B8" s="22" t="s">
        <v>1039</v>
      </c>
      <c r="C8" s="12"/>
      <c r="D8" s="186" t="s">
        <v>1042</v>
      </c>
      <c r="E8" s="7"/>
      <c r="F8" s="135"/>
      <c r="G8" s="20"/>
      <c r="H8" s="135">
        <v>63000000</v>
      </c>
      <c r="I8" s="183" t="s">
        <v>1040</v>
      </c>
      <c r="J8" s="33"/>
    </row>
    <row r="9" spans="1:10" ht="30" customHeight="1" x14ac:dyDescent="0.2">
      <c r="A9" s="2031">
        <v>5</v>
      </c>
      <c r="B9" s="2029" t="s">
        <v>111</v>
      </c>
      <c r="C9" s="12"/>
      <c r="D9" s="186" t="s">
        <v>1043</v>
      </c>
      <c r="E9" s="7"/>
      <c r="F9" s="135">
        <v>200000000</v>
      </c>
      <c r="G9" s="20"/>
      <c r="H9" s="135">
        <v>272000000</v>
      </c>
      <c r="I9" s="183" t="s">
        <v>1044</v>
      </c>
      <c r="J9" s="33"/>
    </row>
    <row r="10" spans="1:10" ht="30" customHeight="1" x14ac:dyDescent="0.2">
      <c r="A10" s="2034"/>
      <c r="B10" s="2033"/>
      <c r="C10" s="12"/>
      <c r="D10" s="186" t="s">
        <v>1045</v>
      </c>
      <c r="E10" s="7"/>
      <c r="F10" s="135">
        <v>117200000</v>
      </c>
      <c r="G10" s="20"/>
      <c r="H10" s="135">
        <v>160000000</v>
      </c>
      <c r="I10" s="183" t="s">
        <v>1046</v>
      </c>
      <c r="J10" s="33"/>
    </row>
    <row r="11" spans="1:10" ht="30" customHeight="1" x14ac:dyDescent="0.2">
      <c r="A11" s="2032"/>
      <c r="B11" s="2030"/>
      <c r="C11" s="12"/>
      <c r="D11" s="186" t="s">
        <v>1047</v>
      </c>
      <c r="E11" s="7"/>
      <c r="F11" s="135">
        <v>310000000</v>
      </c>
      <c r="G11" s="20"/>
      <c r="H11" s="135">
        <v>573000000</v>
      </c>
      <c r="I11" s="183" t="s">
        <v>1048</v>
      </c>
      <c r="J11" s="33"/>
    </row>
    <row r="12" spans="1:10" ht="30" customHeight="1" x14ac:dyDescent="0.2">
      <c r="A12" s="2031">
        <v>6</v>
      </c>
      <c r="B12" s="2029" t="s">
        <v>1049</v>
      </c>
      <c r="C12" s="444" t="s">
        <v>1052</v>
      </c>
      <c r="D12" s="444" t="s">
        <v>1050</v>
      </c>
      <c r="E12" s="444" t="s">
        <v>928</v>
      </c>
      <c r="F12" s="958">
        <v>111000000</v>
      </c>
      <c r="G12" s="959"/>
      <c r="H12" s="958">
        <v>555000000</v>
      </c>
      <c r="I12" s="960" t="s">
        <v>1051</v>
      </c>
      <c r="J12" s="33" t="s">
        <v>2569</v>
      </c>
    </row>
    <row r="13" spans="1:10" ht="30" customHeight="1" x14ac:dyDescent="0.2">
      <c r="A13" s="2032"/>
      <c r="B13" s="2030"/>
      <c r="C13" s="936" t="s">
        <v>2549</v>
      </c>
      <c r="D13" s="936" t="s">
        <v>2571</v>
      </c>
      <c r="E13" s="936" t="s">
        <v>1227</v>
      </c>
      <c r="F13" s="935">
        <v>250000000</v>
      </c>
      <c r="G13" s="943"/>
      <c r="H13" s="935">
        <v>1500000000</v>
      </c>
      <c r="I13" s="24" t="s">
        <v>2570</v>
      </c>
      <c r="J13" s="33"/>
    </row>
    <row r="14" spans="1:10" ht="30" customHeight="1" x14ac:dyDescent="0.2">
      <c r="A14" s="2031">
        <v>7</v>
      </c>
      <c r="B14" s="2029" t="s">
        <v>173</v>
      </c>
      <c r="C14" s="262" t="s">
        <v>1229</v>
      </c>
      <c r="D14" s="262" t="s">
        <v>1228</v>
      </c>
      <c r="E14" s="262" t="s">
        <v>881</v>
      </c>
      <c r="F14" s="259">
        <v>30000000</v>
      </c>
      <c r="G14" s="20"/>
      <c r="H14" s="259">
        <v>730000000</v>
      </c>
      <c r="I14" s="24" t="s">
        <v>1230</v>
      </c>
      <c r="J14" s="33"/>
    </row>
    <row r="15" spans="1:10" ht="30" customHeight="1" x14ac:dyDescent="0.2">
      <c r="A15" s="2032"/>
      <c r="B15" s="2030"/>
      <c r="C15" s="262" t="s">
        <v>1233</v>
      </c>
      <c r="D15" s="262" t="s">
        <v>1232</v>
      </c>
      <c r="E15" s="262" t="s">
        <v>1227</v>
      </c>
      <c r="F15" s="259">
        <v>28000000</v>
      </c>
      <c r="G15" s="20"/>
      <c r="H15" s="259">
        <v>140000000</v>
      </c>
      <c r="I15" s="24" t="s">
        <v>1231</v>
      </c>
      <c r="J15" s="33"/>
    </row>
    <row r="16" spans="1:10" ht="30" customHeight="1" x14ac:dyDescent="0.2">
      <c r="A16" s="2031">
        <v>8</v>
      </c>
      <c r="B16" s="2029" t="s">
        <v>3938</v>
      </c>
      <c r="C16" s="262" t="s">
        <v>1238</v>
      </c>
      <c r="D16" s="262" t="s">
        <v>1236</v>
      </c>
      <c r="E16" s="262" t="s">
        <v>879</v>
      </c>
      <c r="F16" s="259">
        <v>100000000</v>
      </c>
      <c r="G16" s="20"/>
      <c r="H16" s="259">
        <v>162000000</v>
      </c>
      <c r="I16" s="24" t="s">
        <v>1237</v>
      </c>
      <c r="J16" s="33"/>
    </row>
    <row r="17" spans="1:10" ht="30" customHeight="1" x14ac:dyDescent="0.2">
      <c r="A17" s="2034"/>
      <c r="B17" s="2033"/>
      <c r="C17" s="262" t="s">
        <v>1239</v>
      </c>
      <c r="D17" s="262" t="s">
        <v>1240</v>
      </c>
      <c r="E17" s="262" t="s">
        <v>879</v>
      </c>
      <c r="F17" s="259">
        <v>15000000</v>
      </c>
      <c r="G17" s="20"/>
      <c r="H17" s="259">
        <v>24500000</v>
      </c>
      <c r="I17" s="24" t="s">
        <v>1241</v>
      </c>
      <c r="J17" s="33"/>
    </row>
    <row r="18" spans="1:10" ht="30" customHeight="1" x14ac:dyDescent="0.2">
      <c r="A18" s="2034"/>
      <c r="B18" s="2033"/>
      <c r="C18" s="262" t="s">
        <v>1243</v>
      </c>
      <c r="D18" s="262" t="s">
        <v>1242</v>
      </c>
      <c r="E18" s="262" t="s">
        <v>881</v>
      </c>
      <c r="F18" s="259">
        <v>15000000</v>
      </c>
      <c r="G18" s="20"/>
      <c r="H18" s="259">
        <v>240000000</v>
      </c>
      <c r="I18" s="24" t="s">
        <v>1244</v>
      </c>
      <c r="J18" s="33"/>
    </row>
    <row r="19" spans="1:10" ht="30" customHeight="1" x14ac:dyDescent="0.2">
      <c r="A19" s="2034"/>
      <c r="B19" s="2033"/>
      <c r="C19" s="1915" t="s">
        <v>3827</v>
      </c>
      <c r="D19" s="248"/>
      <c r="E19" s="1915" t="s">
        <v>3935</v>
      </c>
      <c r="F19" s="1920">
        <v>20000000</v>
      </c>
      <c r="G19" s="1919"/>
      <c r="H19" s="1922"/>
      <c r="I19" s="1801"/>
      <c r="J19" s="1921" t="s">
        <v>3936</v>
      </c>
    </row>
    <row r="20" spans="1:10" ht="30" customHeight="1" x14ac:dyDescent="0.2">
      <c r="A20" s="2032"/>
      <c r="B20" s="2030"/>
      <c r="C20" s="1915"/>
      <c r="D20" s="248"/>
      <c r="E20" s="1915" t="s">
        <v>2147</v>
      </c>
      <c r="F20" s="1920">
        <v>10000000</v>
      </c>
      <c r="G20" s="1919"/>
      <c r="H20" s="1920"/>
      <c r="I20" s="499"/>
      <c r="J20" s="1921" t="s">
        <v>3936</v>
      </c>
    </row>
    <row r="21" spans="1:10" ht="30" customHeight="1" x14ac:dyDescent="0.2">
      <c r="A21" s="4">
        <v>9</v>
      </c>
      <c r="B21" s="282" t="s">
        <v>1286</v>
      </c>
      <c r="C21" s="285" t="s">
        <v>1238</v>
      </c>
      <c r="D21" s="285" t="s">
        <v>1236</v>
      </c>
      <c r="E21" s="285" t="s">
        <v>879</v>
      </c>
      <c r="F21" s="284">
        <v>11000000</v>
      </c>
      <c r="G21" s="20"/>
      <c r="H21" s="284">
        <v>17600000</v>
      </c>
      <c r="I21" s="24" t="s">
        <v>1287</v>
      </c>
      <c r="J21" s="33"/>
    </row>
    <row r="22" spans="1:10" ht="30" customHeight="1" x14ac:dyDescent="0.2">
      <c r="A22" s="4">
        <v>10</v>
      </c>
      <c r="B22" s="283" t="s">
        <v>1288</v>
      </c>
      <c r="C22" s="285" t="s">
        <v>1290</v>
      </c>
      <c r="D22" s="285" t="s">
        <v>1289</v>
      </c>
      <c r="E22" s="285" t="s">
        <v>881</v>
      </c>
      <c r="F22" s="284">
        <v>10000000</v>
      </c>
      <c r="G22" s="20"/>
      <c r="H22" s="284">
        <v>240000000</v>
      </c>
      <c r="I22" s="24" t="s">
        <v>1291</v>
      </c>
      <c r="J22" s="33"/>
    </row>
    <row r="23" spans="1:10" ht="30" customHeight="1" x14ac:dyDescent="0.2">
      <c r="A23" s="4">
        <v>11</v>
      </c>
      <c r="B23" s="45" t="s">
        <v>1261</v>
      </c>
      <c r="C23" s="9"/>
      <c r="D23" s="416" t="s">
        <v>1263</v>
      </c>
      <c r="E23" s="411" t="s">
        <v>1260</v>
      </c>
      <c r="F23" s="411">
        <v>130000000</v>
      </c>
      <c r="G23" s="20"/>
      <c r="H23" s="411">
        <v>154000000</v>
      </c>
      <c r="I23" s="24" t="s">
        <v>1262</v>
      </c>
      <c r="J23" s="33"/>
    </row>
    <row r="24" spans="1:10" ht="30" customHeight="1" x14ac:dyDescent="0.2">
      <c r="A24" s="2031">
        <v>12</v>
      </c>
      <c r="B24" s="2029" t="s">
        <v>1563</v>
      </c>
      <c r="C24" s="415"/>
      <c r="D24" s="415"/>
      <c r="E24" s="415" t="s">
        <v>928</v>
      </c>
      <c r="F24" s="411">
        <v>20000000</v>
      </c>
      <c r="G24" s="20"/>
      <c r="H24" s="411">
        <v>100000000</v>
      </c>
      <c r="I24" s="454" t="s">
        <v>1564</v>
      </c>
      <c r="J24" s="33"/>
    </row>
    <row r="25" spans="1:10" ht="30" customHeight="1" x14ac:dyDescent="0.2">
      <c r="A25" s="2032"/>
      <c r="B25" s="2030"/>
      <c r="C25" s="415"/>
      <c r="D25" s="415"/>
      <c r="E25" s="415" t="s">
        <v>879</v>
      </c>
      <c r="F25" s="411">
        <v>30000000</v>
      </c>
      <c r="G25" s="20"/>
      <c r="H25" s="411">
        <v>50000000</v>
      </c>
      <c r="I25" s="24"/>
      <c r="J25" s="33"/>
    </row>
    <row r="26" spans="1:10" ht="30" customHeight="1" x14ac:dyDescent="0.2">
      <c r="A26" s="4">
        <v>13</v>
      </c>
      <c r="B26" s="436" t="s">
        <v>1565</v>
      </c>
      <c r="C26" s="415" t="s">
        <v>1566</v>
      </c>
      <c r="D26" s="415"/>
      <c r="E26" s="415" t="s">
        <v>879</v>
      </c>
      <c r="F26" s="411">
        <v>350000000</v>
      </c>
      <c r="G26" s="20"/>
      <c r="H26" s="411">
        <v>650000000</v>
      </c>
      <c r="I26" s="24"/>
      <c r="J26" s="33"/>
    </row>
    <row r="27" spans="1:10" ht="30" customHeight="1" x14ac:dyDescent="0.2">
      <c r="A27" s="4">
        <v>14</v>
      </c>
      <c r="B27" s="1524" t="s">
        <v>1569</v>
      </c>
      <c r="C27" s="1525" t="s">
        <v>1573</v>
      </c>
      <c r="D27" s="1525"/>
      <c r="E27" s="1525" t="s">
        <v>879</v>
      </c>
      <c r="F27" s="1496">
        <v>100000000</v>
      </c>
      <c r="G27" s="20">
        <v>5.5E-2</v>
      </c>
      <c r="H27" s="460">
        <v>167000000</v>
      </c>
      <c r="I27" s="24"/>
      <c r="J27" s="33"/>
    </row>
    <row r="28" spans="1:10" ht="30" customHeight="1" x14ac:dyDescent="0.2">
      <c r="A28" s="693">
        <v>15</v>
      </c>
      <c r="B28" s="1524" t="s">
        <v>1579</v>
      </c>
      <c r="C28" s="1525" t="s">
        <v>1574</v>
      </c>
      <c r="D28" s="1525"/>
      <c r="E28" s="1525" t="s">
        <v>879</v>
      </c>
      <c r="F28" s="1496">
        <v>20000000</v>
      </c>
      <c r="G28" s="20">
        <v>0.05</v>
      </c>
      <c r="H28" s="460"/>
      <c r="I28" s="24"/>
      <c r="J28" s="33"/>
    </row>
    <row r="29" spans="1:10" ht="30" customHeight="1" x14ac:dyDescent="0.2">
      <c r="A29" s="693">
        <v>16</v>
      </c>
      <c r="B29" s="1524" t="s">
        <v>1570</v>
      </c>
      <c r="C29" s="1525" t="s">
        <v>1575</v>
      </c>
      <c r="D29" s="1525"/>
      <c r="E29" s="1525" t="s">
        <v>879</v>
      </c>
      <c r="F29" s="1496">
        <v>50000000</v>
      </c>
      <c r="G29" s="20">
        <v>0.05</v>
      </c>
      <c r="H29" s="460"/>
      <c r="I29" s="24"/>
      <c r="J29" s="33"/>
    </row>
    <row r="30" spans="1:10" ht="30" customHeight="1" x14ac:dyDescent="0.2">
      <c r="A30" s="693">
        <v>17</v>
      </c>
      <c r="B30" s="1524" t="s">
        <v>1570</v>
      </c>
      <c r="C30" s="1525" t="s">
        <v>1576</v>
      </c>
      <c r="D30" s="1525"/>
      <c r="E30" s="1525" t="s">
        <v>879</v>
      </c>
      <c r="F30" s="1496">
        <v>60000000</v>
      </c>
      <c r="G30" s="20">
        <v>0.05</v>
      </c>
      <c r="H30" s="460"/>
      <c r="I30" s="24"/>
      <c r="J30" s="33"/>
    </row>
    <row r="31" spans="1:10" ht="30" customHeight="1" x14ac:dyDescent="0.2">
      <c r="A31" s="693">
        <v>18</v>
      </c>
      <c r="B31" s="1524" t="s">
        <v>1571</v>
      </c>
      <c r="C31" s="1525" t="s">
        <v>1577</v>
      </c>
      <c r="D31" s="1525"/>
      <c r="E31" s="1525" t="s">
        <v>879</v>
      </c>
      <c r="F31" s="1496">
        <v>100000000</v>
      </c>
      <c r="G31" s="20">
        <v>7.0000000000000007E-2</v>
      </c>
      <c r="H31" s="460"/>
      <c r="I31" s="24"/>
      <c r="J31" s="33"/>
    </row>
    <row r="32" spans="1:10" ht="30" customHeight="1" x14ac:dyDescent="0.2">
      <c r="A32" s="693">
        <v>19</v>
      </c>
      <c r="B32" s="1524" t="s">
        <v>1572</v>
      </c>
      <c r="C32" s="1525" t="s">
        <v>839</v>
      </c>
      <c r="D32" s="1525"/>
      <c r="E32" s="1525" t="s">
        <v>879</v>
      </c>
      <c r="F32" s="1496">
        <v>100000000</v>
      </c>
      <c r="G32" s="20">
        <v>7.0000000000000007E-2</v>
      </c>
      <c r="H32" s="460"/>
      <c r="I32" s="24"/>
      <c r="J32" s="33"/>
    </row>
    <row r="33" spans="1:10" ht="30" customHeight="1" x14ac:dyDescent="0.2">
      <c r="A33" s="1506"/>
      <c r="B33" s="1524" t="s">
        <v>1377</v>
      </c>
      <c r="C33" s="1525" t="s">
        <v>3457</v>
      </c>
      <c r="D33" s="1525" t="s">
        <v>3148</v>
      </c>
      <c r="E33" s="1525" t="s">
        <v>879</v>
      </c>
      <c r="F33" s="1496">
        <v>50000000</v>
      </c>
      <c r="G33" s="1504"/>
      <c r="H33" s="1478">
        <v>80000000</v>
      </c>
      <c r="I33" s="24" t="s">
        <v>3458</v>
      </c>
      <c r="J33" s="33"/>
    </row>
    <row r="34" spans="1:10" ht="30" customHeight="1" x14ac:dyDescent="0.2">
      <c r="A34" s="4">
        <v>20</v>
      </c>
      <c r="B34" s="458" t="s">
        <v>222</v>
      </c>
      <c r="C34" s="468" t="s">
        <v>1585</v>
      </c>
      <c r="D34" s="468" t="s">
        <v>1584</v>
      </c>
      <c r="E34" s="468" t="s">
        <v>879</v>
      </c>
      <c r="F34" s="460">
        <v>57000000</v>
      </c>
      <c r="G34" s="20"/>
      <c r="H34" s="460">
        <v>128000000</v>
      </c>
      <c r="I34" s="24" t="s">
        <v>1586</v>
      </c>
      <c r="J34" s="33"/>
    </row>
    <row r="35" spans="1:10" ht="30" customHeight="1" x14ac:dyDescent="0.2">
      <c r="A35" s="2031">
        <v>21</v>
      </c>
      <c r="B35" s="2029" t="s">
        <v>1619</v>
      </c>
      <c r="C35" s="2046" t="s">
        <v>1477</v>
      </c>
      <c r="D35" s="2046" t="s">
        <v>1620</v>
      </c>
      <c r="E35" s="2046" t="s">
        <v>1618</v>
      </c>
      <c r="F35" s="2040">
        <v>100000000</v>
      </c>
      <c r="G35" s="2037"/>
      <c r="H35" s="2040">
        <v>130000000</v>
      </c>
      <c r="I35" s="465" t="s">
        <v>1621</v>
      </c>
      <c r="J35" s="33"/>
    </row>
    <row r="36" spans="1:10" ht="30" customHeight="1" x14ac:dyDescent="0.2">
      <c r="A36" s="2034"/>
      <c r="B36" s="2033"/>
      <c r="C36" s="2047"/>
      <c r="D36" s="2047"/>
      <c r="E36" s="2047"/>
      <c r="F36" s="2041"/>
      <c r="G36" s="2038"/>
      <c r="H36" s="2041"/>
      <c r="I36" s="465" t="s">
        <v>1622</v>
      </c>
      <c r="J36" s="33"/>
    </row>
    <row r="37" spans="1:10" ht="30" customHeight="1" x14ac:dyDescent="0.2">
      <c r="A37" s="2032"/>
      <c r="B37" s="2030"/>
      <c r="C37" s="2048"/>
      <c r="D37" s="2048"/>
      <c r="E37" s="2048"/>
      <c r="F37" s="2042"/>
      <c r="G37" s="2039"/>
      <c r="H37" s="2042"/>
      <c r="I37" s="465" t="s">
        <v>1623</v>
      </c>
      <c r="J37" s="33"/>
    </row>
    <row r="38" spans="1:10" ht="30" customHeight="1" x14ac:dyDescent="0.2">
      <c r="A38" s="4">
        <v>22</v>
      </c>
      <c r="B38" s="458" t="s">
        <v>1624</v>
      </c>
      <c r="C38" s="468" t="s">
        <v>1477</v>
      </c>
      <c r="D38" s="468" t="s">
        <v>1625</v>
      </c>
      <c r="E38" s="468" t="s">
        <v>1626</v>
      </c>
      <c r="F38" s="460">
        <v>60000000</v>
      </c>
      <c r="G38" s="462"/>
      <c r="H38" s="460">
        <v>100000000</v>
      </c>
      <c r="I38" s="499" t="s">
        <v>1627</v>
      </c>
      <c r="J38" s="33"/>
    </row>
    <row r="39" spans="1:10" ht="30" customHeight="1" x14ac:dyDescent="0.2">
      <c r="A39" s="2031">
        <v>23</v>
      </c>
      <c r="B39" s="2057" t="s">
        <v>1728</v>
      </c>
      <c r="C39" s="2053" t="s">
        <v>1742</v>
      </c>
      <c r="D39" s="2053" t="s">
        <v>1691</v>
      </c>
      <c r="E39" s="2053" t="s">
        <v>1618</v>
      </c>
      <c r="F39" s="2055">
        <v>85000000</v>
      </c>
      <c r="G39" s="2049"/>
      <c r="H39" s="2055" t="s">
        <v>1739</v>
      </c>
      <c r="I39" s="528" t="s">
        <v>1740</v>
      </c>
      <c r="J39" s="2035" t="s">
        <v>1729</v>
      </c>
    </row>
    <row r="40" spans="1:10" ht="30" customHeight="1" x14ac:dyDescent="0.2">
      <c r="A40" s="2032"/>
      <c r="B40" s="2058"/>
      <c r="C40" s="2054"/>
      <c r="D40" s="2054"/>
      <c r="E40" s="2054"/>
      <c r="F40" s="2056"/>
      <c r="G40" s="2050"/>
      <c r="H40" s="2056"/>
      <c r="I40" s="528" t="s">
        <v>1741</v>
      </c>
      <c r="J40" s="2036"/>
    </row>
    <row r="41" spans="1:10" ht="30" customHeight="1" x14ac:dyDescent="0.2">
      <c r="A41" s="2031">
        <v>24</v>
      </c>
      <c r="B41" s="2029" t="s">
        <v>185</v>
      </c>
      <c r="C41" s="2046" t="s">
        <v>1691</v>
      </c>
      <c r="D41" s="2046" t="s">
        <v>1747</v>
      </c>
      <c r="E41" s="2046" t="s">
        <v>1618</v>
      </c>
      <c r="F41" s="2040">
        <v>85000000</v>
      </c>
      <c r="G41" s="2037"/>
      <c r="H41" s="2040" t="s">
        <v>1743</v>
      </c>
      <c r="I41" s="499" t="s">
        <v>1745</v>
      </c>
      <c r="J41" s="2043"/>
    </row>
    <row r="42" spans="1:10" ht="30" customHeight="1" x14ac:dyDescent="0.2">
      <c r="A42" s="2034"/>
      <c r="B42" s="2033"/>
      <c r="C42" s="2047"/>
      <c r="D42" s="2047"/>
      <c r="E42" s="2047"/>
      <c r="F42" s="2041"/>
      <c r="G42" s="2038"/>
      <c r="H42" s="2041"/>
      <c r="I42" s="499" t="s">
        <v>1746</v>
      </c>
      <c r="J42" s="2044"/>
    </row>
    <row r="43" spans="1:10" ht="30" customHeight="1" x14ac:dyDescent="0.2">
      <c r="A43" s="2032"/>
      <c r="B43" s="2030"/>
      <c r="C43" s="2048"/>
      <c r="D43" s="2048"/>
      <c r="E43" s="2048"/>
      <c r="F43" s="2042"/>
      <c r="G43" s="2039"/>
      <c r="H43" s="2042"/>
      <c r="I43" s="499" t="s">
        <v>1744</v>
      </c>
      <c r="J43" s="2045"/>
    </row>
    <row r="44" spans="1:10" ht="30" customHeight="1" x14ac:dyDescent="0.2">
      <c r="A44" s="508">
        <v>25</v>
      </c>
      <c r="B44" s="507" t="s">
        <v>1755</v>
      </c>
      <c r="C44" s="511"/>
      <c r="D44" s="511"/>
      <c r="E44" s="511"/>
      <c r="F44" s="510"/>
      <c r="G44" s="509"/>
      <c r="H44" s="510"/>
      <c r="I44" s="499"/>
      <c r="J44" s="513"/>
    </row>
    <row r="45" spans="1:10" ht="30" customHeight="1" x14ac:dyDescent="0.2">
      <c r="A45" s="508">
        <v>26</v>
      </c>
      <c r="B45" s="507" t="s">
        <v>1781</v>
      </c>
      <c r="C45" s="511" t="s">
        <v>1783</v>
      </c>
      <c r="D45" s="511"/>
      <c r="E45" s="511"/>
      <c r="F45" s="510">
        <v>20000000</v>
      </c>
      <c r="G45" s="509"/>
      <c r="H45" s="510"/>
      <c r="I45" s="499" t="s">
        <v>1784</v>
      </c>
      <c r="J45" s="513"/>
    </row>
    <row r="46" spans="1:10" ht="30" customHeight="1" x14ac:dyDescent="0.2">
      <c r="A46" s="692">
        <v>27</v>
      </c>
      <c r="B46" s="507" t="s">
        <v>1782</v>
      </c>
      <c r="C46" s="511"/>
      <c r="D46" s="511"/>
      <c r="E46" s="511"/>
      <c r="F46" s="510">
        <v>16000000</v>
      </c>
      <c r="G46" s="509"/>
      <c r="H46" s="510"/>
      <c r="I46" s="499" t="s">
        <v>1784</v>
      </c>
      <c r="J46" s="513"/>
    </row>
    <row r="47" spans="1:10" ht="30" customHeight="1" x14ac:dyDescent="0.2">
      <c r="A47" s="692">
        <v>28</v>
      </c>
      <c r="B47" s="507" t="s">
        <v>1959</v>
      </c>
      <c r="C47" s="511" t="s">
        <v>1988</v>
      </c>
      <c r="D47" s="511" t="s">
        <v>1987</v>
      </c>
      <c r="E47" s="511" t="s">
        <v>881</v>
      </c>
      <c r="F47" s="510">
        <v>200000000</v>
      </c>
      <c r="G47" s="509"/>
      <c r="H47" s="510">
        <v>4800000000</v>
      </c>
      <c r="I47" s="499" t="s">
        <v>1986</v>
      </c>
      <c r="J47" s="513"/>
    </row>
    <row r="48" spans="1:10" ht="30" customHeight="1" x14ac:dyDescent="0.2">
      <c r="A48" s="2031">
        <v>27</v>
      </c>
      <c r="B48" s="2029" t="s">
        <v>1965</v>
      </c>
      <c r="C48" s="511" t="s">
        <v>1966</v>
      </c>
      <c r="D48" s="511" t="s">
        <v>1968</v>
      </c>
      <c r="E48" s="511" t="s">
        <v>1227</v>
      </c>
      <c r="F48" s="510">
        <v>5000000</v>
      </c>
      <c r="G48" s="509"/>
      <c r="H48" s="510">
        <v>25000000</v>
      </c>
      <c r="I48" s="499" t="s">
        <v>1967</v>
      </c>
      <c r="J48" s="513"/>
    </row>
    <row r="49" spans="1:10" ht="30" customHeight="1" x14ac:dyDescent="0.2">
      <c r="A49" s="2034"/>
      <c r="B49" s="2033"/>
      <c r="C49" s="511" t="s">
        <v>1969</v>
      </c>
      <c r="D49" s="511"/>
      <c r="E49" s="511" t="s">
        <v>879</v>
      </c>
      <c r="F49" s="510"/>
      <c r="G49" s="509"/>
      <c r="H49" s="510"/>
      <c r="I49" s="499"/>
      <c r="J49" s="513"/>
    </row>
    <row r="50" spans="1:10" ht="30" customHeight="1" x14ac:dyDescent="0.2">
      <c r="A50" s="2034"/>
      <c r="B50" s="2033"/>
      <c r="C50" s="511" t="s">
        <v>1970</v>
      </c>
      <c r="D50" s="511" t="s">
        <v>1971</v>
      </c>
      <c r="E50" s="511" t="s">
        <v>1227</v>
      </c>
      <c r="F50" s="510">
        <v>5000000</v>
      </c>
      <c r="G50" s="509"/>
      <c r="H50" s="510"/>
      <c r="I50" s="499"/>
      <c r="J50" s="513"/>
    </row>
    <row r="51" spans="1:10" ht="30" customHeight="1" x14ac:dyDescent="0.2">
      <c r="A51" s="2034"/>
      <c r="B51" s="2033"/>
      <c r="C51" s="576"/>
      <c r="D51" s="576" t="s">
        <v>1972</v>
      </c>
      <c r="E51" s="576" t="s">
        <v>1227</v>
      </c>
      <c r="F51" s="575">
        <v>5000000</v>
      </c>
      <c r="G51" s="573"/>
      <c r="H51" s="575"/>
      <c r="I51" s="499"/>
      <c r="J51" s="577"/>
    </row>
    <row r="52" spans="1:10" ht="30" customHeight="1" x14ac:dyDescent="0.2">
      <c r="A52" s="2034"/>
      <c r="B52" s="2033"/>
      <c r="C52" s="576" t="s">
        <v>329</v>
      </c>
      <c r="D52" s="576"/>
      <c r="E52" s="576" t="s">
        <v>879</v>
      </c>
      <c r="F52" s="575">
        <v>2000000</v>
      </c>
      <c r="G52" s="573"/>
      <c r="H52" s="575"/>
      <c r="I52" s="499" t="s">
        <v>1973</v>
      </c>
      <c r="J52" s="577"/>
    </row>
    <row r="53" spans="1:10" ht="30" customHeight="1" x14ac:dyDescent="0.2">
      <c r="A53" s="2032"/>
      <c r="B53" s="2030"/>
      <c r="C53" s="576"/>
      <c r="D53" s="576"/>
      <c r="E53" s="576" t="s">
        <v>879</v>
      </c>
      <c r="F53" s="575">
        <v>3000000</v>
      </c>
      <c r="G53" s="573"/>
      <c r="H53" s="575"/>
      <c r="I53" s="499" t="s">
        <v>1973</v>
      </c>
      <c r="J53" s="577"/>
    </row>
    <row r="54" spans="1:10" ht="30" customHeight="1" x14ac:dyDescent="0.2">
      <c r="A54" s="2031">
        <v>28</v>
      </c>
      <c r="B54" s="2029" t="s">
        <v>253</v>
      </c>
      <c r="C54" s="576" t="s">
        <v>1898</v>
      </c>
      <c r="D54" s="576" t="s">
        <v>2003</v>
      </c>
      <c r="E54" s="576" t="s">
        <v>1618</v>
      </c>
      <c r="F54" s="575">
        <v>18000000</v>
      </c>
      <c r="G54" s="573"/>
      <c r="H54" s="575">
        <v>24000000</v>
      </c>
      <c r="I54" s="499" t="s">
        <v>2004</v>
      </c>
      <c r="J54" s="577"/>
    </row>
    <row r="55" spans="1:10" ht="30" customHeight="1" x14ac:dyDescent="0.2">
      <c r="A55" s="2034"/>
      <c r="B55" s="2033"/>
      <c r="C55" s="2046" t="s">
        <v>2068</v>
      </c>
      <c r="D55" s="2046"/>
      <c r="E55" s="857" t="s">
        <v>879</v>
      </c>
      <c r="F55" s="2040">
        <v>20000000</v>
      </c>
      <c r="G55" s="855"/>
      <c r="H55" s="856">
        <v>34000000</v>
      </c>
      <c r="I55" s="2043" t="s">
        <v>2474</v>
      </c>
      <c r="J55" s="2051" t="s">
        <v>2473</v>
      </c>
    </row>
    <row r="56" spans="1:10" ht="30" customHeight="1" x14ac:dyDescent="0.2">
      <c r="A56" s="2032"/>
      <c r="B56" s="2030"/>
      <c r="C56" s="2048"/>
      <c r="D56" s="2048"/>
      <c r="E56" s="857" t="s">
        <v>1618</v>
      </c>
      <c r="F56" s="2042"/>
      <c r="G56" s="855"/>
      <c r="H56" s="856">
        <v>27000000</v>
      </c>
      <c r="I56" s="2045"/>
      <c r="J56" s="2052"/>
    </row>
    <row r="57" spans="1:10" ht="30" customHeight="1" x14ac:dyDescent="0.2">
      <c r="A57" s="595">
        <v>29</v>
      </c>
      <c r="B57" s="594" t="s">
        <v>262</v>
      </c>
      <c r="C57" s="596"/>
      <c r="D57" s="596"/>
      <c r="E57" s="596"/>
      <c r="F57" s="597"/>
      <c r="G57" s="598"/>
      <c r="H57" s="597"/>
      <c r="I57" s="499"/>
      <c r="J57" s="599"/>
    </row>
    <row r="58" spans="1:10" ht="30" customHeight="1" x14ac:dyDescent="0.2">
      <c r="A58" s="2031">
        <v>30</v>
      </c>
      <c r="B58" s="2029" t="s">
        <v>189</v>
      </c>
      <c r="C58" s="2046" t="s">
        <v>2005</v>
      </c>
      <c r="D58" s="248" t="s">
        <v>2040</v>
      </c>
      <c r="E58" s="2046" t="s">
        <v>2038</v>
      </c>
      <c r="F58" s="647">
        <v>200000000</v>
      </c>
      <c r="G58" s="648">
        <v>6.5000000000000002E-2</v>
      </c>
      <c r="H58" s="647">
        <v>328500000</v>
      </c>
      <c r="I58" s="499" t="s">
        <v>2064</v>
      </c>
      <c r="J58" s="649" t="s">
        <v>2039</v>
      </c>
    </row>
    <row r="59" spans="1:10" ht="30" customHeight="1" x14ac:dyDescent="0.2">
      <c r="A59" s="2032"/>
      <c r="B59" s="2030"/>
      <c r="C59" s="2048"/>
      <c r="D59" s="248" t="s">
        <v>2063</v>
      </c>
      <c r="E59" s="2048"/>
      <c r="F59" s="647">
        <v>100000000</v>
      </c>
      <c r="G59" s="648">
        <v>6.5000000000000002E-2</v>
      </c>
      <c r="H59" s="647">
        <v>100000000</v>
      </c>
      <c r="I59" s="499" t="s">
        <v>2062</v>
      </c>
      <c r="J59" s="649" t="s">
        <v>1223</v>
      </c>
    </row>
    <row r="60" spans="1:10" ht="30" customHeight="1" x14ac:dyDescent="0.2">
      <c r="A60" s="654">
        <v>31</v>
      </c>
      <c r="B60" s="653" t="s">
        <v>2037</v>
      </c>
      <c r="C60" s="659"/>
      <c r="D60" s="248" t="s">
        <v>2066</v>
      </c>
      <c r="E60" s="659"/>
      <c r="F60" s="658">
        <v>700000000</v>
      </c>
      <c r="G60" s="656"/>
      <c r="H60" s="658">
        <v>2000000000</v>
      </c>
      <c r="I60" s="499" t="s">
        <v>2065</v>
      </c>
      <c r="J60" s="662"/>
    </row>
    <row r="61" spans="1:10" ht="30" customHeight="1" x14ac:dyDescent="0.2">
      <c r="A61" s="692">
        <v>32</v>
      </c>
      <c r="B61" s="22" t="s">
        <v>262</v>
      </c>
      <c r="C61" s="659"/>
      <c r="D61" s="248"/>
      <c r="E61" s="659" t="s">
        <v>2093</v>
      </c>
      <c r="F61" s="658">
        <v>30000000</v>
      </c>
      <c r="G61" s="656"/>
      <c r="H61" s="658">
        <v>50000000</v>
      </c>
      <c r="I61" s="499" t="s">
        <v>2096</v>
      </c>
      <c r="J61" s="663" t="s">
        <v>2094</v>
      </c>
    </row>
    <row r="62" spans="1:10" ht="30" customHeight="1" x14ac:dyDescent="0.2">
      <c r="A62" s="692">
        <v>33</v>
      </c>
      <c r="B62" s="22" t="s">
        <v>2098</v>
      </c>
      <c r="C62" s="659" t="s">
        <v>2101</v>
      </c>
      <c r="D62" s="248" t="s">
        <v>2100</v>
      </c>
      <c r="E62" s="659" t="s">
        <v>2093</v>
      </c>
      <c r="F62" s="658">
        <v>160000000</v>
      </c>
      <c r="G62" s="656"/>
      <c r="H62" s="658">
        <v>266000000</v>
      </c>
      <c r="I62" s="499" t="s">
        <v>2099</v>
      </c>
      <c r="J62" s="662"/>
    </row>
    <row r="63" spans="1:10" ht="30" customHeight="1" x14ac:dyDescent="0.2">
      <c r="A63" s="692">
        <v>34</v>
      </c>
      <c r="B63" s="22" t="s">
        <v>2103</v>
      </c>
      <c r="C63" s="659" t="s">
        <v>2105</v>
      </c>
      <c r="D63" s="248" t="s">
        <v>2104</v>
      </c>
      <c r="E63" s="659" t="s">
        <v>2093</v>
      </c>
      <c r="F63" s="658">
        <v>50000000</v>
      </c>
      <c r="G63" s="656"/>
      <c r="H63" s="658">
        <v>92000000</v>
      </c>
      <c r="I63" s="499" t="s">
        <v>2106</v>
      </c>
      <c r="J63" s="662"/>
    </row>
    <row r="64" spans="1:10" ht="30" customHeight="1" x14ac:dyDescent="0.2">
      <c r="A64" s="2031">
        <v>35</v>
      </c>
      <c r="B64" s="2029" t="s">
        <v>1965</v>
      </c>
      <c r="C64" s="674"/>
      <c r="D64" s="248" t="s">
        <v>1968</v>
      </c>
      <c r="E64" s="674" t="s">
        <v>1227</v>
      </c>
      <c r="F64" s="677">
        <v>5000000</v>
      </c>
      <c r="G64" s="678"/>
      <c r="H64" s="677">
        <v>25000000</v>
      </c>
      <c r="I64" s="499" t="s">
        <v>2117</v>
      </c>
      <c r="J64" s="681"/>
    </row>
    <row r="65" spans="1:10" ht="30" customHeight="1" x14ac:dyDescent="0.2">
      <c r="A65" s="2034"/>
      <c r="B65" s="2033"/>
      <c r="C65" s="674"/>
      <c r="D65" s="248" t="s">
        <v>1971</v>
      </c>
      <c r="E65" s="674" t="s">
        <v>1227</v>
      </c>
      <c r="F65" s="677">
        <v>5000000</v>
      </c>
      <c r="G65" s="678"/>
      <c r="H65" s="677">
        <v>25000000</v>
      </c>
      <c r="I65" s="499" t="s">
        <v>2118</v>
      </c>
      <c r="J65" s="681"/>
    </row>
    <row r="66" spans="1:10" ht="30" customHeight="1" x14ac:dyDescent="0.2">
      <c r="A66" s="2034"/>
      <c r="B66" s="2033"/>
      <c r="C66" s="674"/>
      <c r="D66" s="248" t="s">
        <v>2120</v>
      </c>
      <c r="E66" s="674" t="s">
        <v>1227</v>
      </c>
      <c r="F66" s="677">
        <v>5000000</v>
      </c>
      <c r="G66" s="678"/>
      <c r="H66" s="677">
        <v>25000000</v>
      </c>
      <c r="I66" s="499" t="s">
        <v>2119</v>
      </c>
      <c r="J66" s="681"/>
    </row>
    <row r="67" spans="1:10" ht="30" customHeight="1" x14ac:dyDescent="0.2">
      <c r="A67" s="2032"/>
      <c r="B67" s="2030"/>
      <c r="C67" s="674"/>
      <c r="D67" s="248" t="s">
        <v>2129</v>
      </c>
      <c r="E67" s="674" t="s">
        <v>881</v>
      </c>
      <c r="F67" s="677">
        <v>20000000</v>
      </c>
      <c r="G67" s="678"/>
      <c r="H67" s="677">
        <v>50000000</v>
      </c>
      <c r="I67" s="499" t="s">
        <v>2130</v>
      </c>
      <c r="J67" s="681"/>
    </row>
    <row r="68" spans="1:10" ht="30" customHeight="1" x14ac:dyDescent="0.2">
      <c r="A68" s="693">
        <v>36</v>
      </c>
      <c r="B68" s="22" t="s">
        <v>2126</v>
      </c>
      <c r="C68" s="674"/>
      <c r="D68" s="248" t="s">
        <v>2128</v>
      </c>
      <c r="E68" s="674" t="s">
        <v>881</v>
      </c>
      <c r="F68" s="677">
        <v>2000000</v>
      </c>
      <c r="G68" s="678"/>
      <c r="H68" s="677">
        <v>50000000</v>
      </c>
      <c r="I68" s="499" t="s">
        <v>2127</v>
      </c>
      <c r="J68" s="681"/>
    </row>
    <row r="69" spans="1:10" ht="30" customHeight="1" x14ac:dyDescent="0.2">
      <c r="A69" s="2031">
        <v>37</v>
      </c>
      <c r="B69" s="2029" t="s">
        <v>2141</v>
      </c>
      <c r="C69" s="674"/>
      <c r="D69" s="248" t="s">
        <v>2142</v>
      </c>
      <c r="E69" s="674" t="s">
        <v>881</v>
      </c>
      <c r="F69" s="677">
        <v>15000000</v>
      </c>
      <c r="G69" s="678"/>
      <c r="H69" s="677">
        <v>360000000</v>
      </c>
      <c r="I69" s="499" t="s">
        <v>2143</v>
      </c>
      <c r="J69" s="681"/>
    </row>
    <row r="70" spans="1:10" ht="30" customHeight="1" x14ac:dyDescent="0.2">
      <c r="A70" s="2032"/>
      <c r="B70" s="2030"/>
      <c r="C70" s="674"/>
      <c r="D70" s="248" t="s">
        <v>2145</v>
      </c>
      <c r="E70" s="674" t="s">
        <v>879</v>
      </c>
      <c r="F70" s="677">
        <v>16000000</v>
      </c>
      <c r="G70" s="678"/>
      <c r="H70" s="677">
        <v>27000000</v>
      </c>
      <c r="I70" s="499" t="s">
        <v>2144</v>
      </c>
      <c r="J70" s="681"/>
    </row>
    <row r="71" spans="1:10" ht="30" customHeight="1" x14ac:dyDescent="0.2">
      <c r="A71" s="693"/>
      <c r="B71" s="22" t="s">
        <v>2146</v>
      </c>
      <c r="C71" s="674"/>
      <c r="D71" s="248" t="s">
        <v>2149</v>
      </c>
      <c r="E71" s="674" t="s">
        <v>2147</v>
      </c>
      <c r="F71" s="677">
        <v>25000000</v>
      </c>
      <c r="G71" s="678"/>
      <c r="H71" s="677">
        <v>43000000</v>
      </c>
      <c r="I71" s="499" t="s">
        <v>2148</v>
      </c>
      <c r="J71" s="681"/>
    </row>
    <row r="72" spans="1:10" ht="30" customHeight="1" x14ac:dyDescent="0.2">
      <c r="A72" s="2031"/>
      <c r="B72" s="2029" t="s">
        <v>2223</v>
      </c>
      <c r="C72" s="983" t="s">
        <v>1239</v>
      </c>
      <c r="D72" s="983"/>
      <c r="E72" s="976"/>
      <c r="F72" s="977">
        <v>3000000</v>
      </c>
      <c r="G72" s="975"/>
      <c r="H72" s="977">
        <v>7000000</v>
      </c>
      <c r="I72" s="528"/>
      <c r="J72" s="978" t="s">
        <v>2620</v>
      </c>
    </row>
    <row r="73" spans="1:10" ht="30" customHeight="1" x14ac:dyDescent="0.2">
      <c r="A73" s="2032"/>
      <c r="B73" s="2030"/>
      <c r="C73" s="731"/>
      <c r="D73" s="248" t="s">
        <v>2224</v>
      </c>
      <c r="E73" s="731" t="s">
        <v>1227</v>
      </c>
      <c r="F73" s="730">
        <v>10000000</v>
      </c>
      <c r="G73" s="729"/>
      <c r="H73" s="730">
        <v>50000000</v>
      </c>
      <c r="I73" s="499" t="s">
        <v>2226</v>
      </c>
      <c r="J73" s="732" t="s">
        <v>2225</v>
      </c>
    </row>
    <row r="74" spans="1:10" ht="30" customHeight="1" x14ac:dyDescent="0.2">
      <c r="A74" s="733"/>
      <c r="B74" s="22" t="s">
        <v>2227</v>
      </c>
      <c r="C74" s="731" t="s">
        <v>2230</v>
      </c>
      <c r="D74" s="248" t="s">
        <v>2229</v>
      </c>
      <c r="E74" s="731" t="s">
        <v>881</v>
      </c>
      <c r="F74" s="730">
        <v>25000000</v>
      </c>
      <c r="G74" s="729"/>
      <c r="H74" s="730">
        <v>600000000</v>
      </c>
      <c r="I74" s="499" t="s">
        <v>2228</v>
      </c>
      <c r="J74" s="744" t="s">
        <v>2234</v>
      </c>
    </row>
    <row r="75" spans="1:10" ht="30" customHeight="1" x14ac:dyDescent="0.2">
      <c r="A75" s="733"/>
      <c r="B75" s="22" t="s">
        <v>2231</v>
      </c>
      <c r="C75" s="731" t="s">
        <v>2229</v>
      </c>
      <c r="D75" s="248" t="s">
        <v>2233</v>
      </c>
      <c r="E75" s="731" t="s">
        <v>881</v>
      </c>
      <c r="F75" s="730">
        <v>7000000</v>
      </c>
      <c r="G75" s="729"/>
      <c r="H75" s="730">
        <v>170000000</v>
      </c>
      <c r="I75" s="499" t="s">
        <v>2232</v>
      </c>
      <c r="J75" s="732" t="s">
        <v>2234</v>
      </c>
    </row>
    <row r="76" spans="1:10" ht="30" customHeight="1" x14ac:dyDescent="0.2">
      <c r="A76" s="2031"/>
      <c r="B76" s="2029" t="s">
        <v>2235</v>
      </c>
      <c r="C76" s="1782"/>
      <c r="D76" s="248"/>
      <c r="E76" s="731" t="s">
        <v>879</v>
      </c>
      <c r="F76" s="730">
        <v>5000000</v>
      </c>
      <c r="G76" s="729"/>
      <c r="H76" s="730">
        <v>8000000</v>
      </c>
      <c r="I76" s="499" t="s">
        <v>2237</v>
      </c>
      <c r="J76" s="732" t="s">
        <v>2236</v>
      </c>
    </row>
    <row r="77" spans="1:10" ht="30" customHeight="1" x14ac:dyDescent="0.2">
      <c r="A77" s="2032"/>
      <c r="B77" s="2030"/>
      <c r="C77" s="1782"/>
      <c r="D77" s="248" t="s">
        <v>3767</v>
      </c>
      <c r="E77" s="1782" t="s">
        <v>879</v>
      </c>
      <c r="F77" s="1781">
        <v>4000000</v>
      </c>
      <c r="G77" s="1780"/>
      <c r="H77" s="1781">
        <v>7000000</v>
      </c>
      <c r="I77" s="499" t="s">
        <v>3768</v>
      </c>
      <c r="J77" s="1785"/>
    </row>
    <row r="78" spans="1:10" ht="30" customHeight="1" x14ac:dyDescent="0.2">
      <c r="A78" s="1779"/>
      <c r="B78" s="1778" t="s">
        <v>3781</v>
      </c>
      <c r="C78" s="1782"/>
      <c r="D78" s="248" t="s">
        <v>3782</v>
      </c>
      <c r="E78" s="1782" t="s">
        <v>3784</v>
      </c>
      <c r="F78" s="1781">
        <v>20000000</v>
      </c>
      <c r="G78" s="1780"/>
      <c r="H78" s="1781">
        <v>100000000</v>
      </c>
      <c r="I78" s="499" t="s">
        <v>3783</v>
      </c>
      <c r="J78" s="1785"/>
    </row>
    <row r="79" spans="1:10" ht="30" customHeight="1" x14ac:dyDescent="0.2">
      <c r="A79" s="2031"/>
      <c r="B79" s="2029" t="s">
        <v>2238</v>
      </c>
      <c r="C79" s="731"/>
      <c r="D79" s="248" t="s">
        <v>2239</v>
      </c>
      <c r="E79" s="731" t="s">
        <v>879</v>
      </c>
      <c r="F79" s="730">
        <v>20000000</v>
      </c>
      <c r="G79" s="729"/>
      <c r="H79" s="730">
        <v>32000000</v>
      </c>
      <c r="I79" s="499" t="s">
        <v>2240</v>
      </c>
      <c r="J79" s="732" t="s">
        <v>2241</v>
      </c>
    </row>
    <row r="80" spans="1:10" ht="30" customHeight="1" x14ac:dyDescent="0.2">
      <c r="A80" s="2034"/>
      <c r="B80" s="2033"/>
      <c r="C80" s="1782"/>
      <c r="D80" s="248" t="s">
        <v>3772</v>
      </c>
      <c r="E80" s="1782" t="s">
        <v>879</v>
      </c>
      <c r="F80" s="1781">
        <v>100000000</v>
      </c>
      <c r="G80" s="1780"/>
      <c r="H80" s="1781">
        <v>165000000</v>
      </c>
      <c r="I80" s="499" t="s">
        <v>3771</v>
      </c>
      <c r="J80" s="1785"/>
    </row>
    <row r="81" spans="1:10" ht="30" customHeight="1" x14ac:dyDescent="0.2">
      <c r="A81" s="2032"/>
      <c r="B81" s="2030"/>
      <c r="C81" s="1782"/>
      <c r="D81" s="248" t="s">
        <v>3760</v>
      </c>
      <c r="E81" s="1782" t="s">
        <v>879</v>
      </c>
      <c r="F81" s="1781">
        <v>8000000</v>
      </c>
      <c r="G81" s="1780"/>
      <c r="H81" s="1781">
        <v>13000000</v>
      </c>
      <c r="I81" s="499" t="s">
        <v>3761</v>
      </c>
      <c r="J81" s="1785"/>
    </row>
    <row r="82" spans="1:10" ht="30" customHeight="1" x14ac:dyDescent="0.2">
      <c r="A82" s="1777"/>
      <c r="B82" s="1776" t="s">
        <v>3021</v>
      </c>
      <c r="C82" s="1782"/>
      <c r="D82" s="248" t="s">
        <v>3780</v>
      </c>
      <c r="E82" s="1782" t="s">
        <v>881</v>
      </c>
      <c r="F82" s="1781">
        <v>10000000</v>
      </c>
      <c r="G82" s="1780"/>
      <c r="H82" s="1781">
        <v>240000000</v>
      </c>
      <c r="I82" s="499" t="s">
        <v>3779</v>
      </c>
      <c r="J82" s="1785"/>
    </row>
    <row r="83" spans="1:10" ht="30" customHeight="1" x14ac:dyDescent="0.2">
      <c r="A83" s="1777"/>
      <c r="B83" s="1776" t="s">
        <v>3773</v>
      </c>
      <c r="C83" s="1782"/>
      <c r="D83" s="248" t="s">
        <v>3775</v>
      </c>
      <c r="E83" s="1782" t="s">
        <v>1227</v>
      </c>
      <c r="F83" s="1781">
        <v>30000000</v>
      </c>
      <c r="G83" s="1780"/>
      <c r="H83" s="1781">
        <v>150000000</v>
      </c>
      <c r="I83" s="499" t="s">
        <v>3774</v>
      </c>
      <c r="J83" s="1785"/>
    </row>
    <row r="84" spans="1:10" ht="30" customHeight="1" x14ac:dyDescent="0.2">
      <c r="A84" s="733"/>
      <c r="B84" s="22" t="s">
        <v>2242</v>
      </c>
      <c r="C84" s="731" t="s">
        <v>676</v>
      </c>
      <c r="D84" s="248" t="s">
        <v>2243</v>
      </c>
      <c r="E84" s="731" t="s">
        <v>1227</v>
      </c>
      <c r="F84" s="730">
        <v>12000000</v>
      </c>
      <c r="G84" s="729"/>
      <c r="H84" s="730">
        <v>60000000</v>
      </c>
      <c r="I84" s="499" t="s">
        <v>2244</v>
      </c>
      <c r="J84" s="732" t="s">
        <v>2245</v>
      </c>
    </row>
    <row r="85" spans="1:10" ht="30" customHeight="1" x14ac:dyDescent="0.2">
      <c r="A85" s="752"/>
      <c r="B85" s="2029" t="s">
        <v>2246</v>
      </c>
      <c r="C85" s="734" t="s">
        <v>1032</v>
      </c>
      <c r="D85" s="248" t="s">
        <v>2249</v>
      </c>
      <c r="E85" s="734" t="s">
        <v>881</v>
      </c>
      <c r="F85" s="738">
        <v>10000000</v>
      </c>
      <c r="G85" s="739"/>
      <c r="H85" s="738">
        <v>240000000</v>
      </c>
      <c r="I85" s="499" t="s">
        <v>2248</v>
      </c>
      <c r="J85" s="744" t="s">
        <v>2247</v>
      </c>
    </row>
    <row r="86" spans="1:10" ht="30" customHeight="1" x14ac:dyDescent="0.2">
      <c r="A86" s="752"/>
      <c r="B86" s="2033"/>
      <c r="C86" s="734" t="s">
        <v>1032</v>
      </c>
      <c r="D86" s="248" t="s">
        <v>2253</v>
      </c>
      <c r="E86" s="734" t="s">
        <v>2254</v>
      </c>
      <c r="F86" s="738">
        <v>30000000</v>
      </c>
      <c r="G86" s="739"/>
      <c r="H86" s="738">
        <v>50000000</v>
      </c>
      <c r="I86" s="499" t="s">
        <v>2252</v>
      </c>
      <c r="J86" s="744" t="s">
        <v>2241</v>
      </c>
    </row>
    <row r="87" spans="1:10" ht="30" customHeight="1" x14ac:dyDescent="0.2">
      <c r="A87" s="752"/>
      <c r="B87" s="2030"/>
      <c r="C87" s="734" t="s">
        <v>1032</v>
      </c>
      <c r="D87" s="248" t="s">
        <v>2255</v>
      </c>
      <c r="E87" s="734" t="s">
        <v>2256</v>
      </c>
      <c r="F87" s="738">
        <v>5000000</v>
      </c>
      <c r="G87" s="739"/>
      <c r="H87" s="738">
        <v>6000000</v>
      </c>
      <c r="I87" s="499" t="s">
        <v>2257</v>
      </c>
      <c r="J87" s="744" t="s">
        <v>2241</v>
      </c>
    </row>
    <row r="88" spans="1:10" ht="30" customHeight="1" x14ac:dyDescent="0.2">
      <c r="A88" s="752"/>
      <c r="B88" s="22" t="s">
        <v>2260</v>
      </c>
      <c r="C88" s="734" t="s">
        <v>1566</v>
      </c>
      <c r="D88" s="248" t="s">
        <v>2261</v>
      </c>
      <c r="E88" s="734" t="s">
        <v>881</v>
      </c>
      <c r="F88" s="738">
        <v>10000000</v>
      </c>
      <c r="G88" s="739"/>
      <c r="H88" s="738">
        <v>240000000</v>
      </c>
      <c r="I88" s="499" t="s">
        <v>2262</v>
      </c>
      <c r="J88" s="744" t="s">
        <v>2241</v>
      </c>
    </row>
    <row r="89" spans="1:10" ht="30" customHeight="1" x14ac:dyDescent="0.2">
      <c r="A89" s="733"/>
      <c r="B89" s="2029" t="s">
        <v>2263</v>
      </c>
      <c r="C89" s="731" t="s">
        <v>2068</v>
      </c>
      <c r="D89" s="248" t="s">
        <v>2265</v>
      </c>
      <c r="E89" s="731" t="s">
        <v>879</v>
      </c>
      <c r="F89" s="730">
        <v>50000000</v>
      </c>
      <c r="G89" s="729"/>
      <c r="H89" s="730">
        <v>80000000</v>
      </c>
      <c r="I89" s="499" t="s">
        <v>2264</v>
      </c>
      <c r="J89" s="744" t="s">
        <v>2241</v>
      </c>
    </row>
    <row r="90" spans="1:10" ht="30" customHeight="1" x14ac:dyDescent="0.2">
      <c r="A90" s="752"/>
      <c r="B90" s="2030"/>
      <c r="C90" s="734"/>
      <c r="D90" s="248"/>
      <c r="E90" s="734" t="s">
        <v>881</v>
      </c>
      <c r="F90" s="738">
        <v>10000000</v>
      </c>
      <c r="G90" s="739"/>
      <c r="H90" s="738">
        <v>240000000</v>
      </c>
      <c r="I90" s="499"/>
      <c r="J90" s="744"/>
    </row>
    <row r="91" spans="1:10" ht="30" customHeight="1" x14ac:dyDescent="0.2">
      <c r="A91" s="752"/>
      <c r="B91" s="735" t="s">
        <v>2266</v>
      </c>
      <c r="C91" s="734"/>
      <c r="D91" s="248" t="s">
        <v>2267</v>
      </c>
      <c r="E91" s="734" t="s">
        <v>1227</v>
      </c>
      <c r="F91" s="738">
        <v>8750000</v>
      </c>
      <c r="G91" s="739"/>
      <c r="H91" s="738">
        <v>44000000</v>
      </c>
      <c r="I91" s="499" t="s">
        <v>2268</v>
      </c>
      <c r="J91" s="744"/>
    </row>
    <row r="92" spans="1:10" ht="30" customHeight="1" x14ac:dyDescent="0.2">
      <c r="A92" s="752"/>
      <c r="B92" s="735" t="s">
        <v>2269</v>
      </c>
      <c r="C92" s="734"/>
      <c r="D92" s="248" t="s">
        <v>2267</v>
      </c>
      <c r="E92" s="734" t="s">
        <v>1227</v>
      </c>
      <c r="F92" s="738">
        <v>6250000</v>
      </c>
      <c r="G92" s="739"/>
      <c r="H92" s="738">
        <v>31500000</v>
      </c>
      <c r="I92" s="499" t="s">
        <v>2270</v>
      </c>
      <c r="J92" s="744"/>
    </row>
    <row r="93" spans="1:10" ht="30" customHeight="1" x14ac:dyDescent="0.2">
      <c r="A93" s="752"/>
      <c r="B93" s="735" t="s">
        <v>2272</v>
      </c>
      <c r="C93" s="734"/>
      <c r="D93" s="248" t="s">
        <v>2267</v>
      </c>
      <c r="E93" s="734" t="s">
        <v>1227</v>
      </c>
      <c r="F93" s="738">
        <v>15000000</v>
      </c>
      <c r="G93" s="739"/>
      <c r="H93" s="738">
        <v>75000000</v>
      </c>
      <c r="I93" s="499" t="s">
        <v>2271</v>
      </c>
      <c r="J93" s="744"/>
    </row>
    <row r="94" spans="1:10" ht="30" customHeight="1" x14ac:dyDescent="0.2">
      <c r="A94" s="752"/>
      <c r="B94" s="735" t="s">
        <v>145</v>
      </c>
      <c r="C94" s="734"/>
      <c r="D94" s="248" t="s">
        <v>2341</v>
      </c>
      <c r="E94" s="734" t="s">
        <v>879</v>
      </c>
      <c r="F94" s="738">
        <v>180000000</v>
      </c>
      <c r="G94" s="739"/>
      <c r="H94" s="738">
        <v>300000000</v>
      </c>
      <c r="I94" s="499" t="s">
        <v>2342</v>
      </c>
      <c r="J94" s="744" t="s">
        <v>3014</v>
      </c>
    </row>
    <row r="95" spans="1:10" ht="30" customHeight="1" x14ac:dyDescent="0.2">
      <c r="A95" s="752"/>
      <c r="B95" s="2029" t="s">
        <v>498</v>
      </c>
      <c r="C95" s="734"/>
      <c r="D95" s="248"/>
      <c r="E95" s="734"/>
      <c r="F95" s="738">
        <v>130000000</v>
      </c>
      <c r="G95" s="739"/>
      <c r="H95" s="738">
        <v>208000000</v>
      </c>
      <c r="I95" s="499"/>
      <c r="J95" s="744"/>
    </row>
    <row r="96" spans="1:10" ht="30" customHeight="1" x14ac:dyDescent="0.2">
      <c r="A96" s="752"/>
      <c r="B96" s="2030"/>
      <c r="C96" s="734"/>
      <c r="D96" s="248"/>
      <c r="E96" s="734"/>
      <c r="F96" s="738">
        <v>130000000</v>
      </c>
      <c r="G96" s="739"/>
      <c r="H96" s="738">
        <v>208000000</v>
      </c>
      <c r="I96" s="499"/>
      <c r="J96" s="744"/>
    </row>
    <row r="97" spans="1:10" ht="30" customHeight="1" x14ac:dyDescent="0.2">
      <c r="A97" s="752"/>
      <c r="B97" s="735" t="s">
        <v>2440</v>
      </c>
      <c r="C97" s="734"/>
      <c r="D97" s="248" t="s">
        <v>2442</v>
      </c>
      <c r="E97" s="734" t="s">
        <v>2443</v>
      </c>
      <c r="F97" s="738">
        <v>50000000</v>
      </c>
      <c r="G97" s="739"/>
      <c r="H97" s="738">
        <v>100000000</v>
      </c>
      <c r="I97" s="499" t="s">
        <v>2441</v>
      </c>
      <c r="J97" s="744" t="s">
        <v>2444</v>
      </c>
    </row>
    <row r="98" spans="1:10" ht="30" customHeight="1" x14ac:dyDescent="0.2">
      <c r="A98" s="843"/>
      <c r="B98" s="828" t="s">
        <v>2446</v>
      </c>
      <c r="C98" s="829"/>
      <c r="D98" s="248" t="s">
        <v>2448</v>
      </c>
      <c r="E98" s="829" t="s">
        <v>879</v>
      </c>
      <c r="F98" s="832">
        <v>20000000</v>
      </c>
      <c r="G98" s="831"/>
      <c r="H98" s="832">
        <v>35000000</v>
      </c>
      <c r="I98" s="499" t="s">
        <v>2447</v>
      </c>
      <c r="J98" s="837"/>
    </row>
    <row r="99" spans="1:10" ht="30" customHeight="1" x14ac:dyDescent="0.2">
      <c r="A99" s="843"/>
      <c r="B99" s="828" t="s">
        <v>2449</v>
      </c>
      <c r="C99" s="829"/>
      <c r="D99" s="248" t="s">
        <v>2450</v>
      </c>
      <c r="E99" s="829" t="s">
        <v>2452</v>
      </c>
      <c r="F99" s="832">
        <v>190000000</v>
      </c>
      <c r="G99" s="831"/>
      <c r="H99" s="832">
        <v>1000000000</v>
      </c>
      <c r="I99" s="499" t="s">
        <v>2451</v>
      </c>
      <c r="J99" s="837"/>
    </row>
    <row r="100" spans="1:10" ht="30" customHeight="1" x14ac:dyDescent="0.2">
      <c r="A100" s="843"/>
      <c r="B100" s="828" t="s">
        <v>2477</v>
      </c>
      <c r="C100" s="829"/>
      <c r="D100" s="248" t="s">
        <v>2476</v>
      </c>
      <c r="E100" s="829" t="s">
        <v>1618</v>
      </c>
      <c r="F100" s="832">
        <v>22000000</v>
      </c>
      <c r="G100" s="831"/>
      <c r="H100" s="832">
        <v>30000000</v>
      </c>
      <c r="I100" s="499" t="s">
        <v>2475</v>
      </c>
      <c r="J100" s="837"/>
    </row>
    <row r="101" spans="1:10" ht="30" customHeight="1" x14ac:dyDescent="0.2">
      <c r="A101" s="2031"/>
      <c r="B101" s="2029" t="s">
        <v>72</v>
      </c>
      <c r="C101" s="867"/>
      <c r="D101" s="248" t="s">
        <v>2497</v>
      </c>
      <c r="E101" s="867" t="s">
        <v>879</v>
      </c>
      <c r="F101" s="870">
        <v>130000000</v>
      </c>
      <c r="G101" s="868"/>
      <c r="H101" s="870">
        <v>224000000</v>
      </c>
      <c r="I101" s="499" t="s">
        <v>2496</v>
      </c>
      <c r="J101" s="874"/>
    </row>
    <row r="102" spans="1:10" ht="30" customHeight="1" x14ac:dyDescent="0.2">
      <c r="A102" s="2032"/>
      <c r="B102" s="2030"/>
      <c r="C102" s="880"/>
      <c r="D102" s="248" t="s">
        <v>1099</v>
      </c>
      <c r="E102" s="880"/>
      <c r="F102" s="879"/>
      <c r="G102" s="884"/>
      <c r="H102" s="879">
        <v>125000000</v>
      </c>
      <c r="I102" s="499"/>
      <c r="J102" s="881" t="s">
        <v>2534</v>
      </c>
    </row>
    <row r="103" spans="1:10" ht="30" customHeight="1" x14ac:dyDescent="0.2">
      <c r="A103" s="889"/>
      <c r="B103" s="882" t="s">
        <v>2531</v>
      </c>
      <c r="C103" s="880"/>
      <c r="D103" s="248" t="s">
        <v>363</v>
      </c>
      <c r="E103" s="880" t="s">
        <v>2532</v>
      </c>
      <c r="F103" s="879">
        <v>70000000</v>
      </c>
      <c r="G103" s="884"/>
      <c r="H103" s="1663">
        <v>90000000</v>
      </c>
      <c r="I103" s="499" t="s">
        <v>3608</v>
      </c>
      <c r="J103" s="881" t="s">
        <v>2533</v>
      </c>
    </row>
    <row r="104" spans="1:10" ht="30" customHeight="1" x14ac:dyDescent="0.2">
      <c r="A104" s="957"/>
      <c r="B104" s="949" t="s">
        <v>722</v>
      </c>
      <c r="C104" s="952"/>
      <c r="D104" s="248" t="s">
        <v>2598</v>
      </c>
      <c r="E104" s="952" t="s">
        <v>2147</v>
      </c>
      <c r="F104" s="951">
        <v>60000000</v>
      </c>
      <c r="G104" s="950"/>
      <c r="H104" s="951">
        <v>105000000</v>
      </c>
      <c r="I104" s="499" t="s">
        <v>2599</v>
      </c>
      <c r="J104" s="953" t="s">
        <v>2600</v>
      </c>
    </row>
    <row r="105" spans="1:10" ht="30" customHeight="1" x14ac:dyDescent="0.2">
      <c r="A105" s="2031"/>
      <c r="B105" s="2029" t="s">
        <v>2523</v>
      </c>
      <c r="C105" s="952"/>
      <c r="D105" s="248" t="s">
        <v>2609</v>
      </c>
      <c r="E105" s="952"/>
      <c r="F105" s="968"/>
      <c r="G105" s="950"/>
      <c r="H105" s="951">
        <v>100000000</v>
      </c>
      <c r="I105" s="499" t="s">
        <v>2613</v>
      </c>
      <c r="J105" s="686" t="s">
        <v>2616</v>
      </c>
    </row>
    <row r="106" spans="1:10" ht="30" customHeight="1" x14ac:dyDescent="0.2">
      <c r="A106" s="2034"/>
      <c r="B106" s="2033"/>
      <c r="C106" s="965"/>
      <c r="D106" s="248" t="s">
        <v>2610</v>
      </c>
      <c r="E106" s="965"/>
      <c r="F106" s="968"/>
      <c r="G106" s="967"/>
      <c r="H106" s="964">
        <v>350000000</v>
      </c>
      <c r="I106" s="499" t="s">
        <v>2612</v>
      </c>
      <c r="J106" s="192"/>
    </row>
    <row r="107" spans="1:10" ht="30" customHeight="1" x14ac:dyDescent="0.2">
      <c r="A107" s="2032"/>
      <c r="B107" s="2030"/>
      <c r="C107" s="965"/>
      <c r="D107" s="248" t="s">
        <v>2611</v>
      </c>
      <c r="E107" s="965"/>
      <c r="F107" s="968"/>
      <c r="G107" s="967"/>
      <c r="H107" s="964">
        <v>430000000</v>
      </c>
      <c r="I107" s="499" t="s">
        <v>2614</v>
      </c>
      <c r="J107" s="33" t="s">
        <v>2615</v>
      </c>
    </row>
    <row r="108" spans="1:10" ht="30" customHeight="1" x14ac:dyDescent="0.2">
      <c r="A108" s="972"/>
      <c r="B108" s="963" t="s">
        <v>1194</v>
      </c>
      <c r="C108" s="965"/>
      <c r="D108" s="248" t="s">
        <v>2672</v>
      </c>
      <c r="E108" s="965" t="s">
        <v>881</v>
      </c>
      <c r="F108" s="964">
        <v>8000000</v>
      </c>
      <c r="G108" s="967"/>
      <c r="H108" s="964">
        <v>192000000</v>
      </c>
      <c r="I108" s="499" t="s">
        <v>2671</v>
      </c>
      <c r="J108" s="966"/>
    </row>
    <row r="109" spans="1:10" ht="30" customHeight="1" x14ac:dyDescent="0.2">
      <c r="A109" s="972"/>
      <c r="B109" s="963" t="s">
        <v>143</v>
      </c>
      <c r="C109" s="965"/>
      <c r="D109" s="248" t="s">
        <v>2120</v>
      </c>
      <c r="E109" s="965" t="s">
        <v>881</v>
      </c>
      <c r="F109" s="964"/>
      <c r="G109" s="967"/>
      <c r="H109" s="964">
        <v>600000000</v>
      </c>
      <c r="I109" s="499" t="s">
        <v>2673</v>
      </c>
      <c r="J109" s="966"/>
    </row>
    <row r="110" spans="1:10" ht="30" customHeight="1" x14ac:dyDescent="0.2">
      <c r="A110" s="972"/>
      <c r="B110" s="963" t="s">
        <v>2737</v>
      </c>
      <c r="C110" s="965"/>
      <c r="D110" s="248" t="s">
        <v>2741</v>
      </c>
      <c r="E110" s="965" t="s">
        <v>2738</v>
      </c>
      <c r="F110" s="964">
        <v>730000000</v>
      </c>
      <c r="G110" s="967"/>
      <c r="H110" s="964">
        <v>850000000</v>
      </c>
      <c r="I110" s="499" t="s">
        <v>2740</v>
      </c>
      <c r="J110" s="966" t="s">
        <v>2739</v>
      </c>
    </row>
    <row r="111" spans="1:10" ht="30" customHeight="1" x14ac:dyDescent="0.2">
      <c r="A111" s="1206"/>
      <c r="B111" s="1197" t="s">
        <v>2693</v>
      </c>
      <c r="C111" s="1200"/>
      <c r="D111" s="248"/>
      <c r="E111" s="1200" t="s">
        <v>2147</v>
      </c>
      <c r="F111" s="1199">
        <v>15000000</v>
      </c>
      <c r="G111" s="1198"/>
      <c r="H111" s="1199"/>
      <c r="I111" s="499"/>
      <c r="J111" s="1201"/>
    </row>
    <row r="112" spans="1:10" ht="30" customHeight="1" x14ac:dyDescent="0.2">
      <c r="A112" s="1256"/>
      <c r="B112" s="1244" t="s">
        <v>2971</v>
      </c>
      <c r="C112" s="1247"/>
      <c r="D112" s="248" t="s">
        <v>2972</v>
      </c>
      <c r="E112" s="1247" t="s">
        <v>2973</v>
      </c>
      <c r="F112" s="1246">
        <v>200000000</v>
      </c>
      <c r="G112" s="1249"/>
      <c r="H112" s="1246">
        <v>284000000</v>
      </c>
      <c r="I112" s="499" t="s">
        <v>2974</v>
      </c>
      <c r="J112" s="1248" t="s">
        <v>2975</v>
      </c>
    </row>
    <row r="113" spans="1:10" ht="30" customHeight="1" x14ac:dyDescent="0.2">
      <c r="A113" s="1256"/>
      <c r="B113" s="1244" t="s">
        <v>3050</v>
      </c>
      <c r="C113" s="1247"/>
      <c r="D113" s="248" t="s">
        <v>3051</v>
      </c>
      <c r="E113" s="1247" t="s">
        <v>928</v>
      </c>
      <c r="F113" s="1246">
        <v>10000000</v>
      </c>
      <c r="G113" s="1249"/>
      <c r="H113" s="1246">
        <v>50000000</v>
      </c>
      <c r="I113" s="499" t="s">
        <v>3052</v>
      </c>
      <c r="J113" s="1248"/>
    </row>
    <row r="114" spans="1:10" ht="30" customHeight="1" x14ac:dyDescent="0.2">
      <c r="A114" s="1256"/>
      <c r="B114" s="1244" t="s">
        <v>3096</v>
      </c>
      <c r="C114" s="1247" t="s">
        <v>2719</v>
      </c>
      <c r="D114" s="248"/>
      <c r="E114" s="1247" t="s">
        <v>1618</v>
      </c>
      <c r="F114" s="1246">
        <v>150000000</v>
      </c>
      <c r="G114" s="1249"/>
      <c r="H114" s="1246"/>
      <c r="I114" s="499"/>
      <c r="J114" s="1248" t="s">
        <v>3097</v>
      </c>
    </row>
    <row r="115" spans="1:10" ht="30" customHeight="1" x14ac:dyDescent="0.2">
      <c r="A115" s="1320"/>
      <c r="B115" s="1309" t="s">
        <v>3145</v>
      </c>
      <c r="C115" s="1312" t="s">
        <v>3146</v>
      </c>
      <c r="D115" s="248" t="s">
        <v>3147</v>
      </c>
      <c r="E115" s="1312" t="s">
        <v>1260</v>
      </c>
      <c r="F115" s="1311">
        <v>20000000</v>
      </c>
      <c r="G115" s="1310"/>
      <c r="H115" s="1311">
        <v>23600000</v>
      </c>
      <c r="I115" s="499" t="s">
        <v>3172</v>
      </c>
      <c r="J115" s="1313"/>
    </row>
    <row r="116" spans="1:10" ht="30" customHeight="1" x14ac:dyDescent="0.2">
      <c r="A116" s="1337"/>
      <c r="B116" s="1322" t="s">
        <v>3168</v>
      </c>
      <c r="C116" s="1325" t="s">
        <v>3041</v>
      </c>
      <c r="D116" s="248" t="s">
        <v>3169</v>
      </c>
      <c r="E116" s="1325" t="s">
        <v>1652</v>
      </c>
      <c r="F116" s="1324">
        <v>100000000</v>
      </c>
      <c r="G116" s="1327"/>
      <c r="H116" s="1324">
        <v>114000000</v>
      </c>
      <c r="I116" s="499" t="s">
        <v>3170</v>
      </c>
      <c r="J116" s="1326" t="s">
        <v>3171</v>
      </c>
    </row>
    <row r="117" spans="1:10" ht="30" customHeight="1" x14ac:dyDescent="0.2">
      <c r="A117" s="1363"/>
      <c r="B117" s="1345" t="s">
        <v>3217</v>
      </c>
      <c r="C117" s="1348" t="s">
        <v>3018</v>
      </c>
      <c r="D117" s="248" t="s">
        <v>3219</v>
      </c>
      <c r="E117" s="1348"/>
      <c r="F117" s="1347">
        <v>37000000</v>
      </c>
      <c r="G117" s="1350"/>
      <c r="H117" s="1347">
        <v>50000000</v>
      </c>
      <c r="I117" s="499" t="s">
        <v>3218</v>
      </c>
      <c r="J117" s="1349" t="s">
        <v>3220</v>
      </c>
    </row>
    <row r="118" spans="1:10" ht="30" customHeight="1" x14ac:dyDescent="0.2">
      <c r="A118" s="1363"/>
      <c r="B118" s="1345" t="s">
        <v>3223</v>
      </c>
      <c r="C118" s="1348" t="s">
        <v>3018</v>
      </c>
      <c r="D118" s="248" t="s">
        <v>3222</v>
      </c>
      <c r="E118" s="1348" t="s">
        <v>1652</v>
      </c>
      <c r="F118" s="1347">
        <v>90400000</v>
      </c>
      <c r="G118" s="1350"/>
      <c r="H118" s="1347">
        <v>101000000</v>
      </c>
      <c r="I118" s="499" t="s">
        <v>3221</v>
      </c>
      <c r="J118" s="1349"/>
    </row>
    <row r="119" spans="1:10" ht="30" customHeight="1" x14ac:dyDescent="0.2">
      <c r="A119" s="1363"/>
      <c r="B119" s="1345" t="s">
        <v>3224</v>
      </c>
      <c r="C119" s="1348" t="s">
        <v>3148</v>
      </c>
      <c r="D119" s="248" t="s">
        <v>3225</v>
      </c>
      <c r="E119" s="1348"/>
      <c r="F119" s="1347">
        <v>20000000</v>
      </c>
      <c r="G119" s="1350"/>
      <c r="H119" s="1347">
        <v>32000000</v>
      </c>
      <c r="I119" s="499" t="s">
        <v>3226</v>
      </c>
      <c r="J119" s="1349"/>
    </row>
    <row r="120" spans="1:10" ht="30" customHeight="1" x14ac:dyDescent="0.2">
      <c r="A120" s="1378"/>
      <c r="B120" s="1371" t="s">
        <v>3251</v>
      </c>
      <c r="C120" s="1373" t="s">
        <v>3245</v>
      </c>
      <c r="D120" s="248" t="s">
        <v>3253</v>
      </c>
      <c r="E120" s="1373" t="s">
        <v>3252</v>
      </c>
      <c r="F120" s="1372">
        <v>20000000</v>
      </c>
      <c r="G120" s="1375"/>
      <c r="H120" s="1372">
        <v>500000000</v>
      </c>
      <c r="I120" s="499" t="s">
        <v>3254</v>
      </c>
      <c r="J120" s="1374" t="s">
        <v>3255</v>
      </c>
    </row>
    <row r="121" spans="1:10" ht="30" customHeight="1" x14ac:dyDescent="0.2">
      <c r="A121" s="1378"/>
      <c r="B121" s="1371" t="s">
        <v>3257</v>
      </c>
      <c r="C121" s="1373" t="s">
        <v>3245</v>
      </c>
      <c r="D121" s="248" t="s">
        <v>3258</v>
      </c>
      <c r="E121" s="1373" t="s">
        <v>879</v>
      </c>
      <c r="F121" s="1372">
        <v>16000000</v>
      </c>
      <c r="G121" s="1375"/>
      <c r="H121" s="1372">
        <v>26000000</v>
      </c>
      <c r="I121" s="499" t="s">
        <v>3259</v>
      </c>
      <c r="J121" s="1374"/>
    </row>
    <row r="122" spans="1:10" ht="30" customHeight="1" x14ac:dyDescent="0.2">
      <c r="A122" s="1378"/>
      <c r="B122" s="1371" t="s">
        <v>3261</v>
      </c>
      <c r="C122" s="1373" t="s">
        <v>3245</v>
      </c>
      <c r="D122" s="248" t="s">
        <v>3260</v>
      </c>
      <c r="E122" s="1373" t="s">
        <v>2973</v>
      </c>
      <c r="F122" s="1372">
        <v>44000000</v>
      </c>
      <c r="G122" s="1375"/>
      <c r="H122" s="1372">
        <v>63000000</v>
      </c>
      <c r="I122" s="499" t="s">
        <v>3262</v>
      </c>
      <c r="J122" s="1374"/>
    </row>
    <row r="123" spans="1:10" ht="30" customHeight="1" x14ac:dyDescent="0.2">
      <c r="A123" s="1378"/>
      <c r="B123" s="1371" t="s">
        <v>3330</v>
      </c>
      <c r="C123" s="1373"/>
      <c r="D123" s="248" t="s">
        <v>3225</v>
      </c>
      <c r="E123" s="1373"/>
      <c r="F123" s="1372"/>
      <c r="G123" s="1375"/>
      <c r="H123" s="1372">
        <v>150000000</v>
      </c>
      <c r="I123" s="499" t="s">
        <v>3331</v>
      </c>
      <c r="J123" s="910" t="s">
        <v>3332</v>
      </c>
    </row>
    <row r="124" spans="1:10" ht="30" customHeight="1" x14ac:dyDescent="0.2">
      <c r="A124" s="1378"/>
      <c r="B124" s="1371" t="s">
        <v>33</v>
      </c>
      <c r="C124" s="1373"/>
      <c r="D124" s="248" t="s">
        <v>3403</v>
      </c>
      <c r="E124" s="1373" t="s">
        <v>928</v>
      </c>
      <c r="F124" s="1372">
        <v>18700000</v>
      </c>
      <c r="G124" s="1375"/>
      <c r="H124" s="1372">
        <v>100000000</v>
      </c>
      <c r="I124" s="499" t="s">
        <v>3404</v>
      </c>
      <c r="J124" s="1374"/>
    </row>
    <row r="125" spans="1:10" ht="30" customHeight="1" x14ac:dyDescent="0.2">
      <c r="A125" s="1448"/>
      <c r="B125" s="1435" t="s">
        <v>2775</v>
      </c>
      <c r="C125" s="1438" t="s">
        <v>3358</v>
      </c>
      <c r="D125" s="248" t="s">
        <v>3428</v>
      </c>
      <c r="E125" s="1438" t="s">
        <v>1618</v>
      </c>
      <c r="F125" s="1437">
        <v>11000000</v>
      </c>
      <c r="G125" s="1436"/>
      <c r="H125" s="1437">
        <v>15000000</v>
      </c>
      <c r="I125" s="499" t="s">
        <v>3429</v>
      </c>
      <c r="J125" s="1439"/>
    </row>
    <row r="126" spans="1:10" ht="30" customHeight="1" x14ac:dyDescent="0.2">
      <c r="A126" s="1448"/>
      <c r="B126" s="1435" t="s">
        <v>3504</v>
      </c>
      <c r="C126" s="1438" t="s">
        <v>3508</v>
      </c>
      <c r="D126" s="248" t="s">
        <v>3506</v>
      </c>
      <c r="E126" s="1438" t="s">
        <v>3505</v>
      </c>
      <c r="F126" s="1437">
        <v>15000000</v>
      </c>
      <c r="G126" s="1436"/>
      <c r="H126" s="1437">
        <v>21000000</v>
      </c>
      <c r="I126" s="499" t="s">
        <v>3507</v>
      </c>
      <c r="J126" s="1439"/>
    </row>
    <row r="127" spans="1:10" ht="30" customHeight="1" x14ac:dyDescent="0.2">
      <c r="A127" s="1448"/>
      <c r="B127" s="1656" t="s">
        <v>3607</v>
      </c>
      <c r="C127" s="1438"/>
      <c r="D127" s="248" t="s">
        <v>3655</v>
      </c>
      <c r="E127" s="1438"/>
      <c r="F127" s="1437">
        <v>102000000</v>
      </c>
      <c r="G127" s="1436"/>
      <c r="H127" s="1437">
        <v>140000000</v>
      </c>
      <c r="I127" s="499" t="s">
        <v>3656</v>
      </c>
      <c r="J127" s="1439"/>
    </row>
    <row r="128" spans="1:10" ht="30" customHeight="1" x14ac:dyDescent="0.2">
      <c r="A128" s="2031"/>
      <c r="B128" s="2029" t="s">
        <v>3689</v>
      </c>
      <c r="C128" s="1438"/>
      <c r="D128" s="248" t="s">
        <v>3691</v>
      </c>
      <c r="E128" s="1438" t="s">
        <v>881</v>
      </c>
      <c r="F128" s="1437">
        <v>20000000</v>
      </c>
      <c r="G128" s="1436"/>
      <c r="H128" s="1437">
        <v>480000000</v>
      </c>
      <c r="I128" s="499" t="s">
        <v>3690</v>
      </c>
      <c r="J128" s="1439"/>
    </row>
    <row r="129" spans="1:10" ht="30" customHeight="1" x14ac:dyDescent="0.2">
      <c r="A129" s="2032"/>
      <c r="B129" s="2030"/>
      <c r="C129" s="1727"/>
      <c r="D129" s="248" t="s">
        <v>3692</v>
      </c>
      <c r="E129" s="1727" t="s">
        <v>928</v>
      </c>
      <c r="F129" s="1726">
        <v>20000000</v>
      </c>
      <c r="G129" s="1723"/>
      <c r="H129" s="1726">
        <v>100000000</v>
      </c>
      <c r="I129" s="499" t="s">
        <v>3693</v>
      </c>
      <c r="J129" s="1729"/>
    </row>
    <row r="130" spans="1:10" ht="30" customHeight="1" x14ac:dyDescent="0.2">
      <c r="A130" s="1763"/>
      <c r="B130" s="1762" t="s">
        <v>3742</v>
      </c>
      <c r="C130" s="1766"/>
      <c r="D130" s="248" t="s">
        <v>3743</v>
      </c>
      <c r="E130" s="1766" t="s">
        <v>879</v>
      </c>
      <c r="F130" s="1765">
        <v>40000000</v>
      </c>
      <c r="G130" s="1764"/>
      <c r="H130" s="1765">
        <v>66000000</v>
      </c>
      <c r="I130" s="499" t="s">
        <v>3744</v>
      </c>
      <c r="J130" s="1768"/>
    </row>
    <row r="131" spans="1:10" ht="30" customHeight="1" x14ac:dyDescent="0.2">
      <c r="A131" s="1763"/>
      <c r="B131" s="1762" t="s">
        <v>3750</v>
      </c>
      <c r="C131" s="1766"/>
      <c r="D131" s="248" t="s">
        <v>3751</v>
      </c>
      <c r="E131" s="1766" t="s">
        <v>879</v>
      </c>
      <c r="F131" s="1765">
        <v>50000000</v>
      </c>
      <c r="G131" s="1764"/>
      <c r="H131" s="1765">
        <v>86000000</v>
      </c>
      <c r="I131" s="499" t="s">
        <v>3752</v>
      </c>
      <c r="J131" s="1768"/>
    </row>
    <row r="132" spans="1:10" ht="30" customHeight="1" x14ac:dyDescent="0.2">
      <c r="A132" s="1763"/>
      <c r="B132" s="1762" t="s">
        <v>3764</v>
      </c>
      <c r="C132" s="1766"/>
      <c r="D132" s="248" t="s">
        <v>3765</v>
      </c>
      <c r="E132" s="1766" t="s">
        <v>1227</v>
      </c>
      <c r="F132" s="1765">
        <v>15000000</v>
      </c>
      <c r="G132" s="1764"/>
      <c r="H132" s="1765">
        <v>75000000</v>
      </c>
      <c r="I132" s="499" t="s">
        <v>3766</v>
      </c>
      <c r="J132" s="1768"/>
    </row>
    <row r="133" spans="1:10" ht="30" customHeight="1" x14ac:dyDescent="0.2">
      <c r="A133" s="1763"/>
      <c r="B133" s="1762" t="s">
        <v>3776</v>
      </c>
      <c r="C133" s="1766"/>
      <c r="D133" s="248" t="s">
        <v>3778</v>
      </c>
      <c r="E133" s="1766" t="s">
        <v>881</v>
      </c>
      <c r="F133" s="1765">
        <v>2000000</v>
      </c>
      <c r="G133" s="1764"/>
      <c r="H133" s="1765">
        <v>50000000</v>
      </c>
      <c r="I133" s="499" t="s">
        <v>3777</v>
      </c>
      <c r="J133" s="1768"/>
    </row>
    <row r="134" spans="1:10" ht="30" customHeight="1" x14ac:dyDescent="0.2">
      <c r="A134" s="1763"/>
      <c r="B134" s="1788" t="s">
        <v>1650</v>
      </c>
      <c r="C134" s="1799"/>
      <c r="D134" s="1800" t="s">
        <v>3785</v>
      </c>
      <c r="E134" s="1799"/>
      <c r="F134" s="1786">
        <v>40000000</v>
      </c>
      <c r="G134" s="1787"/>
      <c r="H134" s="1786">
        <v>50000000</v>
      </c>
      <c r="I134" s="1801" t="s">
        <v>3786</v>
      </c>
      <c r="J134" s="1768"/>
    </row>
    <row r="135" spans="1:10" ht="30" customHeight="1" x14ac:dyDescent="0.2">
      <c r="A135" s="1763"/>
      <c r="B135" s="1762" t="s">
        <v>3787</v>
      </c>
      <c r="C135" s="1766"/>
      <c r="D135" s="248" t="s">
        <v>3788</v>
      </c>
      <c r="E135" s="1766" t="s">
        <v>879</v>
      </c>
      <c r="F135" s="1765">
        <v>20000000</v>
      </c>
      <c r="G135" s="1764"/>
      <c r="H135" s="1765">
        <v>32000000</v>
      </c>
      <c r="I135" s="499" t="s">
        <v>3789</v>
      </c>
      <c r="J135" s="1768"/>
    </row>
    <row r="136" spans="1:10" ht="30" customHeight="1" x14ac:dyDescent="0.2">
      <c r="A136" s="1777"/>
      <c r="B136" s="1776" t="s">
        <v>3790</v>
      </c>
      <c r="C136" s="1782"/>
      <c r="D136" s="248" t="s">
        <v>3791</v>
      </c>
      <c r="E136" s="1782" t="s">
        <v>881</v>
      </c>
      <c r="F136" s="1781">
        <v>25000000</v>
      </c>
      <c r="G136" s="1780"/>
      <c r="H136" s="1781">
        <v>600000000</v>
      </c>
      <c r="I136" s="499" t="s">
        <v>3792</v>
      </c>
      <c r="J136" s="1785"/>
    </row>
    <row r="137" spans="1:10" ht="30" customHeight="1" x14ac:dyDescent="0.2">
      <c r="A137" s="1777"/>
      <c r="B137" s="1776" t="s">
        <v>3793</v>
      </c>
      <c r="C137" s="1782"/>
      <c r="D137" s="248" t="s">
        <v>3794</v>
      </c>
      <c r="E137" s="1782" t="s">
        <v>881</v>
      </c>
      <c r="F137" s="1781">
        <v>5000000</v>
      </c>
      <c r="G137" s="1780"/>
      <c r="H137" s="1781">
        <v>120000000</v>
      </c>
      <c r="I137" s="499" t="s">
        <v>3795</v>
      </c>
      <c r="J137" s="1785"/>
    </row>
    <row r="138" spans="1:10" ht="30" customHeight="1" x14ac:dyDescent="0.2">
      <c r="A138" s="1777"/>
      <c r="B138" s="1776" t="s">
        <v>3796</v>
      </c>
      <c r="C138" s="1782"/>
      <c r="D138" s="248" t="s">
        <v>3798</v>
      </c>
      <c r="E138" s="1782" t="s">
        <v>881</v>
      </c>
      <c r="F138" s="1781">
        <v>7000000</v>
      </c>
      <c r="G138" s="1780"/>
      <c r="H138" s="1781">
        <v>168000000</v>
      </c>
      <c r="I138" s="499" t="s">
        <v>3797</v>
      </c>
      <c r="J138" s="1785"/>
    </row>
    <row r="139" spans="1:10" ht="30" customHeight="1" x14ac:dyDescent="0.2">
      <c r="A139" s="1777"/>
      <c r="B139" s="1776" t="s">
        <v>3799</v>
      </c>
      <c r="C139" s="1782"/>
      <c r="D139" s="248" t="s">
        <v>3801</v>
      </c>
      <c r="E139" s="1782" t="s">
        <v>1227</v>
      </c>
      <c r="F139" s="1781">
        <v>20000000</v>
      </c>
      <c r="G139" s="1780"/>
      <c r="H139" s="1781">
        <v>100000000</v>
      </c>
      <c r="I139" s="499" t="s">
        <v>3800</v>
      </c>
      <c r="J139" s="1785"/>
    </row>
    <row r="140" spans="1:10" ht="30" customHeight="1" x14ac:dyDescent="0.2">
      <c r="A140" s="1763"/>
      <c r="B140" s="1762" t="s">
        <v>3802</v>
      </c>
      <c r="C140" s="1766"/>
      <c r="D140" s="248" t="s">
        <v>3803</v>
      </c>
      <c r="E140" s="1766" t="s">
        <v>1227</v>
      </c>
      <c r="F140" s="1765">
        <v>20000000</v>
      </c>
      <c r="G140" s="1764"/>
      <c r="H140" s="1765">
        <v>100000000</v>
      </c>
      <c r="I140" s="499" t="s">
        <v>3804</v>
      </c>
      <c r="J140" s="1768"/>
    </row>
    <row r="141" spans="1:10" ht="30" customHeight="1" x14ac:dyDescent="0.2">
      <c r="A141" s="1777"/>
      <c r="B141" s="1776" t="s">
        <v>3805</v>
      </c>
      <c r="C141" s="1782"/>
      <c r="D141" s="248" t="s">
        <v>3807</v>
      </c>
      <c r="E141" s="1782" t="s">
        <v>881</v>
      </c>
      <c r="F141" s="1781">
        <v>5000000</v>
      </c>
      <c r="G141" s="1780"/>
      <c r="H141" s="1781">
        <v>120000000</v>
      </c>
      <c r="I141" s="499" t="s">
        <v>3806</v>
      </c>
      <c r="J141" s="1785"/>
    </row>
    <row r="142" spans="1:10" ht="30" customHeight="1" x14ac:dyDescent="0.2">
      <c r="A142" s="1777"/>
      <c r="B142" s="1776" t="s">
        <v>3808</v>
      </c>
      <c r="C142" s="1782"/>
      <c r="D142" s="248" t="s">
        <v>3809</v>
      </c>
      <c r="E142" s="1782" t="s">
        <v>881</v>
      </c>
      <c r="F142" s="1781">
        <v>5000000</v>
      </c>
      <c r="G142" s="1780"/>
      <c r="H142" s="1781">
        <v>120000000</v>
      </c>
      <c r="I142" s="499" t="s">
        <v>3810</v>
      </c>
      <c r="J142" s="1785"/>
    </row>
    <row r="143" spans="1:10" ht="30" customHeight="1" x14ac:dyDescent="0.2">
      <c r="A143" s="1830"/>
      <c r="B143" s="1829" t="s">
        <v>3850</v>
      </c>
      <c r="C143" s="1833"/>
      <c r="D143" s="248"/>
      <c r="E143" s="1833" t="s">
        <v>3848</v>
      </c>
      <c r="F143" s="1832">
        <v>885000000</v>
      </c>
      <c r="G143" s="1831"/>
      <c r="H143" s="1832">
        <f>F143+160000000</f>
        <v>1045000000</v>
      </c>
      <c r="I143" s="499" t="s">
        <v>3849</v>
      </c>
      <c r="J143" s="1834"/>
    </row>
    <row r="144" spans="1:10" ht="30" customHeight="1" x14ac:dyDescent="0.2">
      <c r="A144" s="2031"/>
      <c r="B144" s="2029"/>
      <c r="C144" s="1915"/>
      <c r="D144" s="248"/>
      <c r="E144" s="1915"/>
      <c r="F144" s="1920"/>
      <c r="G144" s="1919"/>
      <c r="H144" s="1920"/>
      <c r="I144" s="499"/>
      <c r="J144" s="1921"/>
    </row>
    <row r="145" spans="1:10" ht="30" customHeight="1" x14ac:dyDescent="0.2">
      <c r="A145" s="2032"/>
      <c r="B145" s="2030"/>
      <c r="C145" s="1915"/>
      <c r="D145" s="248"/>
      <c r="E145" s="1915"/>
      <c r="F145" s="1920"/>
      <c r="G145" s="1919"/>
      <c r="H145" s="1920"/>
      <c r="I145" s="499"/>
      <c r="J145" s="1921"/>
    </row>
    <row r="146" spans="1:10" ht="30" customHeight="1" x14ac:dyDescent="0.2">
      <c r="A146" s="1917"/>
      <c r="B146" s="1916"/>
      <c r="C146" s="1915"/>
      <c r="D146" s="248"/>
      <c r="E146" s="1915"/>
      <c r="F146" s="1920"/>
      <c r="G146" s="1919"/>
      <c r="H146" s="1920"/>
      <c r="I146" s="499"/>
      <c r="J146" s="1921"/>
    </row>
    <row r="147" spans="1:10" ht="30" customHeight="1" x14ac:dyDescent="0.2">
      <c r="A147" s="1917"/>
      <c r="B147" s="1916"/>
      <c r="C147" s="1915"/>
      <c r="D147" s="248"/>
      <c r="E147" s="1915"/>
      <c r="F147" s="1920"/>
      <c r="G147" s="1919"/>
      <c r="H147" s="1920"/>
      <c r="I147" s="499"/>
      <c r="J147" s="1921"/>
    </row>
    <row r="148" spans="1:10" ht="30" customHeight="1" x14ac:dyDescent="0.2">
      <c r="A148" s="4"/>
      <c r="B148" s="753"/>
      <c r="C148" s="9"/>
      <c r="D148" s="6"/>
      <c r="E148" s="135"/>
      <c r="F148" s="135"/>
      <c r="G148" s="20"/>
      <c r="H148" s="135"/>
      <c r="I148" s="24"/>
      <c r="J148" s="45"/>
    </row>
  </sheetData>
  <mergeCells count="74">
    <mergeCell ref="B144:B145"/>
    <mergeCell ref="A144:A145"/>
    <mergeCell ref="A16:A20"/>
    <mergeCell ref="B16:B20"/>
    <mergeCell ref="C55:C56"/>
    <mergeCell ref="D55:D56"/>
    <mergeCell ref="B2:B4"/>
    <mergeCell ref="A2:A4"/>
    <mergeCell ref="B24:B25"/>
    <mergeCell ref="A5:A6"/>
    <mergeCell ref="B5:B6"/>
    <mergeCell ref="B9:B11"/>
    <mergeCell ref="B14:B15"/>
    <mergeCell ref="A9:A11"/>
    <mergeCell ref="A14:A15"/>
    <mergeCell ref="A24:A25"/>
    <mergeCell ref="B12:B13"/>
    <mergeCell ref="A12:A13"/>
    <mergeCell ref="A35:A37"/>
    <mergeCell ref="A39:A40"/>
    <mergeCell ref="E39:E40"/>
    <mergeCell ref="G35:G37"/>
    <mergeCell ref="H35:H37"/>
    <mergeCell ref="B35:B37"/>
    <mergeCell ref="C35:C37"/>
    <mergeCell ref="D35:D37"/>
    <mergeCell ref="E35:E37"/>
    <mergeCell ref="F35:F37"/>
    <mergeCell ref="F39:F40"/>
    <mergeCell ref="B39:B40"/>
    <mergeCell ref="C39:C40"/>
    <mergeCell ref="D39:D40"/>
    <mergeCell ref="H39:H40"/>
    <mergeCell ref="I55:I56"/>
    <mergeCell ref="J55:J56"/>
    <mergeCell ref="B95:B96"/>
    <mergeCell ref="A69:A70"/>
    <mergeCell ref="B48:B53"/>
    <mergeCell ref="A48:A53"/>
    <mergeCell ref="A58:A59"/>
    <mergeCell ref="B64:B67"/>
    <mergeCell ref="A64:A67"/>
    <mergeCell ref="B89:B90"/>
    <mergeCell ref="B79:B81"/>
    <mergeCell ref="A76:A77"/>
    <mergeCell ref="B76:B77"/>
    <mergeCell ref="E58:E59"/>
    <mergeCell ref="C58:C59"/>
    <mergeCell ref="F55:F56"/>
    <mergeCell ref="J39:J40"/>
    <mergeCell ref="G41:G43"/>
    <mergeCell ref="H41:H43"/>
    <mergeCell ref="J41:J43"/>
    <mergeCell ref="C41:C43"/>
    <mergeCell ref="E41:E43"/>
    <mergeCell ref="D41:D43"/>
    <mergeCell ref="F41:F43"/>
    <mergeCell ref="G39:G40"/>
    <mergeCell ref="B128:B129"/>
    <mergeCell ref="A128:A129"/>
    <mergeCell ref="B41:B43"/>
    <mergeCell ref="A41:A43"/>
    <mergeCell ref="B54:B56"/>
    <mergeCell ref="A54:A56"/>
    <mergeCell ref="B85:B87"/>
    <mergeCell ref="B58:B59"/>
    <mergeCell ref="B69:B70"/>
    <mergeCell ref="B72:B73"/>
    <mergeCell ref="A72:A73"/>
    <mergeCell ref="B105:B107"/>
    <mergeCell ref="A105:A107"/>
    <mergeCell ref="A101:A102"/>
    <mergeCell ref="B101:B102"/>
    <mergeCell ref="A79:A8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1"/>
  <sheetViews>
    <sheetView rightToLeft="1" zoomScale="60" zoomScaleNormal="60" workbookViewId="0">
      <pane ySplit="1" topLeftCell="A426" activePane="bottomLeft" state="frozen"/>
      <selection pane="bottomLeft" activeCell="A441" sqref="A441:XFD441"/>
    </sheetView>
  </sheetViews>
  <sheetFormatPr defaultRowHeight="18" x14ac:dyDescent="0.25"/>
  <cols>
    <col min="1" max="1" width="5.75" style="5" customWidth="1"/>
    <col min="2" max="2" width="33.625" customWidth="1"/>
    <col min="3" max="3" width="15.625" customWidth="1"/>
    <col min="4" max="5" width="15.75" customWidth="1"/>
    <col min="6" max="6" width="20.75" style="5" customWidth="1"/>
    <col min="7" max="7" width="11.75" customWidth="1"/>
    <col min="8" max="8" width="20.75" customWidth="1"/>
    <col min="9" max="9" width="26" customWidth="1"/>
    <col min="10" max="10" width="20.75" customWidth="1"/>
    <col min="11" max="11" width="34" style="384" customWidth="1"/>
    <col min="12" max="12" width="38.25" customWidth="1"/>
  </cols>
  <sheetData>
    <row r="1" spans="1:12" ht="50.1" customHeight="1" x14ac:dyDescent="0.2">
      <c r="A1" s="1" t="s">
        <v>0</v>
      </c>
      <c r="B1" s="8" t="s">
        <v>1</v>
      </c>
      <c r="C1" s="8" t="s">
        <v>365</v>
      </c>
      <c r="D1" s="8" t="s">
        <v>2</v>
      </c>
      <c r="E1" s="8" t="s">
        <v>3</v>
      </c>
      <c r="F1" s="1" t="s">
        <v>274</v>
      </c>
      <c r="G1" s="1" t="s">
        <v>5</v>
      </c>
      <c r="H1" s="1" t="s">
        <v>282</v>
      </c>
      <c r="I1" s="10" t="s">
        <v>6</v>
      </c>
      <c r="J1" s="10" t="s">
        <v>277</v>
      </c>
      <c r="K1" s="381" t="s">
        <v>338</v>
      </c>
      <c r="L1" s="2" t="s">
        <v>271</v>
      </c>
    </row>
    <row r="2" spans="1:12" ht="30" customHeight="1" x14ac:dyDescent="0.2">
      <c r="A2" s="4">
        <v>1</v>
      </c>
      <c r="B2" s="22" t="s">
        <v>284</v>
      </c>
      <c r="C2" s="26"/>
      <c r="D2" s="12"/>
      <c r="E2" s="7"/>
      <c r="F2" s="323">
        <v>600000000</v>
      </c>
      <c r="G2" s="20">
        <v>0.06</v>
      </c>
      <c r="H2" s="323">
        <f>F2*G2</f>
        <v>36000000</v>
      </c>
      <c r="I2" s="25"/>
      <c r="J2" s="25"/>
      <c r="K2" s="92"/>
      <c r="L2" s="26"/>
    </row>
    <row r="3" spans="1:12" ht="30" customHeight="1" x14ac:dyDescent="0.2">
      <c r="A3" s="4">
        <v>2</v>
      </c>
      <c r="B3" s="22" t="s">
        <v>287</v>
      </c>
      <c r="C3" s="26"/>
      <c r="D3" s="12"/>
      <c r="E3" s="7"/>
      <c r="F3" s="323">
        <v>300000000</v>
      </c>
      <c r="G3" s="20">
        <v>0.05</v>
      </c>
      <c r="H3" s="323">
        <f>F3*G3</f>
        <v>15000000</v>
      </c>
      <c r="I3" s="25"/>
      <c r="J3" s="25"/>
      <c r="K3" s="92"/>
      <c r="L3" s="26"/>
    </row>
    <row r="4" spans="1:12" ht="30" customHeight="1" x14ac:dyDescent="0.2">
      <c r="A4" s="4">
        <v>3</v>
      </c>
      <c r="B4" s="22" t="s">
        <v>290</v>
      </c>
      <c r="C4" s="334" t="s">
        <v>367</v>
      </c>
      <c r="D4" s="12"/>
      <c r="E4" s="7"/>
      <c r="F4" s="323">
        <v>36000000</v>
      </c>
      <c r="G4" s="20">
        <v>7.0000000000000007E-2</v>
      </c>
      <c r="H4" s="323">
        <v>2500000</v>
      </c>
      <c r="I4" s="25"/>
      <c r="J4" s="25"/>
      <c r="K4" s="92">
        <v>9154443379</v>
      </c>
      <c r="L4" s="26"/>
    </row>
    <row r="5" spans="1:12" ht="30" customHeight="1" x14ac:dyDescent="0.2">
      <c r="A5" s="4">
        <v>4</v>
      </c>
      <c r="B5" s="22" t="s">
        <v>315</v>
      </c>
      <c r="C5" s="26"/>
      <c r="D5" s="12"/>
      <c r="E5" s="7"/>
      <c r="F5" s="323">
        <v>535000000</v>
      </c>
      <c r="G5" s="20">
        <v>5.7000000000000002E-2</v>
      </c>
      <c r="H5" s="323">
        <v>30000000</v>
      </c>
      <c r="I5" s="25"/>
      <c r="J5" s="25"/>
      <c r="K5" s="92"/>
      <c r="L5" s="26"/>
    </row>
    <row r="6" spans="1:12" ht="30" customHeight="1" x14ac:dyDescent="0.2">
      <c r="A6" s="4">
        <v>5</v>
      </c>
      <c r="B6" s="22" t="s">
        <v>323</v>
      </c>
      <c r="C6" s="26"/>
      <c r="D6" s="12"/>
      <c r="E6" s="7"/>
      <c r="F6" s="323">
        <v>20000000</v>
      </c>
      <c r="G6" s="20">
        <v>7.0000000000000007E-2</v>
      </c>
      <c r="H6" s="323">
        <v>1400000</v>
      </c>
      <c r="I6" s="25"/>
      <c r="J6" s="25"/>
      <c r="K6" s="92"/>
      <c r="L6" s="33" t="s">
        <v>326</v>
      </c>
    </row>
    <row r="7" spans="1:12" ht="30" customHeight="1" x14ac:dyDescent="0.2">
      <c r="A7" s="4">
        <v>6</v>
      </c>
      <c r="B7" s="67" t="s">
        <v>416</v>
      </c>
      <c r="C7" s="26"/>
      <c r="D7" s="12"/>
      <c r="E7" s="7"/>
      <c r="F7" s="323">
        <v>115000000</v>
      </c>
      <c r="G7" s="20">
        <v>0.05</v>
      </c>
      <c r="H7" s="323">
        <f>F7*G7</f>
        <v>5750000</v>
      </c>
      <c r="I7" s="25"/>
      <c r="J7" s="25"/>
      <c r="K7" s="92"/>
      <c r="L7" s="33"/>
    </row>
    <row r="8" spans="1:12" ht="30" customHeight="1" x14ac:dyDescent="0.2">
      <c r="A8" s="4">
        <v>7</v>
      </c>
      <c r="B8" s="67" t="s">
        <v>104</v>
      </c>
      <c r="C8" s="26"/>
      <c r="D8" s="12"/>
      <c r="E8" s="7"/>
      <c r="F8" s="323">
        <v>45000000</v>
      </c>
      <c r="G8" s="20">
        <v>0.05</v>
      </c>
      <c r="H8" s="323">
        <f>F8*G8</f>
        <v>2250000</v>
      </c>
      <c r="I8" s="25"/>
      <c r="J8" s="25"/>
      <c r="K8" s="92"/>
      <c r="L8" s="33"/>
    </row>
    <row r="9" spans="1:12" ht="30" customHeight="1" x14ac:dyDescent="0.2">
      <c r="A9" s="4">
        <v>8</v>
      </c>
      <c r="B9" s="22" t="s">
        <v>356</v>
      </c>
      <c r="C9" s="26"/>
      <c r="D9" s="12"/>
      <c r="E9" s="7"/>
      <c r="F9" s="323">
        <v>400000000</v>
      </c>
      <c r="G9" s="20">
        <v>4.4999999999999998E-2</v>
      </c>
      <c r="H9" s="323">
        <f>F9*G9</f>
        <v>18000000</v>
      </c>
      <c r="I9" s="25"/>
      <c r="J9" s="25"/>
      <c r="K9" s="92"/>
      <c r="L9" s="33"/>
    </row>
    <row r="10" spans="1:12" ht="30" customHeight="1" x14ac:dyDescent="0.2">
      <c r="A10" s="4">
        <v>9</v>
      </c>
      <c r="B10" s="22" t="s">
        <v>387</v>
      </c>
      <c r="C10" s="26"/>
      <c r="D10" s="12"/>
      <c r="E10" s="7"/>
      <c r="F10" s="323">
        <v>10000000</v>
      </c>
      <c r="G10" s="20">
        <v>0.05</v>
      </c>
      <c r="H10" s="323">
        <f>F10*G10</f>
        <v>500000</v>
      </c>
      <c r="I10" s="25"/>
      <c r="J10" s="25"/>
      <c r="K10" s="92"/>
      <c r="L10" s="33"/>
    </row>
    <row r="11" spans="1:12" ht="30" customHeight="1" x14ac:dyDescent="0.2">
      <c r="A11" s="2031">
        <v>10</v>
      </c>
      <c r="B11" s="2029" t="s">
        <v>1029</v>
      </c>
      <c r="C11" s="189"/>
      <c r="D11" s="190"/>
      <c r="E11" s="187"/>
      <c r="F11" s="2080">
        <v>160000000</v>
      </c>
      <c r="G11" s="2037">
        <v>6.3E-2</v>
      </c>
      <c r="H11" s="2040">
        <v>10000000</v>
      </c>
      <c r="I11" s="191"/>
      <c r="J11" s="191"/>
      <c r="K11" s="2064" t="s">
        <v>1367</v>
      </c>
      <c r="L11" s="192"/>
    </row>
    <row r="12" spans="1:12" ht="30" customHeight="1" x14ac:dyDescent="0.2">
      <c r="A12" s="2032"/>
      <c r="B12" s="2030"/>
      <c r="C12" s="189"/>
      <c r="D12" s="190"/>
      <c r="E12" s="187"/>
      <c r="F12" s="2081"/>
      <c r="G12" s="2039"/>
      <c r="H12" s="2042"/>
      <c r="I12" s="191"/>
      <c r="J12" s="191"/>
      <c r="K12" s="2060"/>
      <c r="L12" s="192"/>
    </row>
    <row r="13" spans="1:12" ht="30" customHeight="1" x14ac:dyDescent="0.2">
      <c r="A13" s="2031">
        <v>11</v>
      </c>
      <c r="B13" s="2029" t="s">
        <v>402</v>
      </c>
      <c r="C13" s="2101"/>
      <c r="D13" s="2078"/>
      <c r="E13" s="2040"/>
      <c r="F13" s="330">
        <v>15000000</v>
      </c>
      <c r="G13" s="20">
        <v>7.0000000000000007E-2</v>
      </c>
      <c r="H13" s="330">
        <f>F13*G13</f>
        <v>1050000</v>
      </c>
      <c r="I13" s="2145"/>
      <c r="J13" s="2145"/>
      <c r="K13" s="2064" t="s">
        <v>1338</v>
      </c>
      <c r="L13" s="2147" t="s">
        <v>404</v>
      </c>
    </row>
    <row r="14" spans="1:12" ht="30" customHeight="1" x14ac:dyDescent="0.2">
      <c r="A14" s="2032"/>
      <c r="B14" s="2030"/>
      <c r="C14" s="2102"/>
      <c r="D14" s="2079"/>
      <c r="E14" s="2042"/>
      <c r="F14" s="330">
        <v>5000000</v>
      </c>
      <c r="G14" s="20">
        <v>0.05</v>
      </c>
      <c r="H14" s="330">
        <f>F14*G14</f>
        <v>250000</v>
      </c>
      <c r="I14" s="2146"/>
      <c r="J14" s="2146"/>
      <c r="K14" s="2060"/>
      <c r="L14" s="2148"/>
    </row>
    <row r="15" spans="1:12" ht="30" customHeight="1" x14ac:dyDescent="0.2">
      <c r="A15" s="318">
        <v>12</v>
      </c>
      <c r="B15" s="320" t="s">
        <v>408</v>
      </c>
      <c r="C15" s="334" t="s">
        <v>411</v>
      </c>
      <c r="D15" s="325"/>
      <c r="E15" s="323"/>
      <c r="F15" s="323">
        <v>75000000</v>
      </c>
      <c r="G15" s="324"/>
      <c r="H15" s="323">
        <v>3750000</v>
      </c>
      <c r="I15" s="25"/>
      <c r="J15" s="25"/>
      <c r="K15" s="92"/>
      <c r="L15" s="337"/>
    </row>
    <row r="16" spans="1:12" ht="30" customHeight="1" x14ac:dyDescent="0.2">
      <c r="A16" s="318">
        <v>13</v>
      </c>
      <c r="B16" s="320" t="s">
        <v>429</v>
      </c>
      <c r="C16" s="334" t="s">
        <v>367</v>
      </c>
      <c r="D16" s="325"/>
      <c r="E16" s="323"/>
      <c r="F16" s="323">
        <v>80000000</v>
      </c>
      <c r="G16" s="329"/>
      <c r="H16" s="323">
        <v>4800000</v>
      </c>
      <c r="I16" s="25"/>
      <c r="J16" s="25"/>
      <c r="K16" s="92"/>
      <c r="L16" s="337"/>
    </row>
    <row r="17" spans="1:12" ht="30" customHeight="1" x14ac:dyDescent="0.2">
      <c r="A17" s="318">
        <v>14</v>
      </c>
      <c r="B17" s="320" t="s">
        <v>437</v>
      </c>
      <c r="C17" s="334" t="s">
        <v>568</v>
      </c>
      <c r="D17" s="325"/>
      <c r="E17" s="323"/>
      <c r="F17" s="323">
        <v>150000000</v>
      </c>
      <c r="G17" s="324">
        <v>0.04</v>
      </c>
      <c r="H17" s="323">
        <f>F17*G17</f>
        <v>6000000</v>
      </c>
      <c r="I17" s="25"/>
      <c r="J17" s="25"/>
      <c r="K17" s="92"/>
      <c r="L17" s="337"/>
    </row>
    <row r="18" spans="1:12" ht="30" customHeight="1" x14ac:dyDescent="0.2">
      <c r="A18" s="318">
        <v>15</v>
      </c>
      <c r="B18" s="320" t="s">
        <v>445</v>
      </c>
      <c r="C18" s="334"/>
      <c r="D18" s="331" t="s">
        <v>432</v>
      </c>
      <c r="E18" s="323"/>
      <c r="F18" s="323">
        <v>13000000</v>
      </c>
      <c r="G18" s="324">
        <v>0.05</v>
      </c>
      <c r="H18" s="323">
        <f>F18*G18</f>
        <v>650000</v>
      </c>
      <c r="I18" s="70" t="s">
        <v>446</v>
      </c>
      <c r="J18" s="25"/>
      <c r="K18" s="92"/>
      <c r="L18" s="337"/>
    </row>
    <row r="19" spans="1:12" ht="30" customHeight="1" x14ac:dyDescent="0.2">
      <c r="A19" s="318">
        <v>16</v>
      </c>
      <c r="B19" s="320" t="s">
        <v>498</v>
      </c>
      <c r="C19" s="334"/>
      <c r="D19" s="331"/>
      <c r="E19" s="323"/>
      <c r="F19" s="323">
        <v>80000000</v>
      </c>
      <c r="G19" s="324">
        <v>0.04</v>
      </c>
      <c r="H19" s="323">
        <f>F19*G19</f>
        <v>3200000</v>
      </c>
      <c r="I19" s="70"/>
      <c r="J19" s="25"/>
      <c r="K19" s="92"/>
      <c r="L19" s="337"/>
    </row>
    <row r="20" spans="1:12" ht="30" customHeight="1" x14ac:dyDescent="0.2">
      <c r="A20" s="318">
        <v>17</v>
      </c>
      <c r="B20" s="320" t="s">
        <v>768</v>
      </c>
      <c r="C20" s="334"/>
      <c r="D20" s="331"/>
      <c r="E20" s="323"/>
      <c r="F20" s="323">
        <v>100000000</v>
      </c>
      <c r="G20" s="324">
        <v>0.06</v>
      </c>
      <c r="H20" s="323">
        <f t="shared" ref="H20:H21" si="0">F20*G20</f>
        <v>6000000</v>
      </c>
      <c r="I20" s="70"/>
      <c r="J20" s="25"/>
      <c r="K20" s="92"/>
      <c r="L20" s="337"/>
    </row>
    <row r="21" spans="1:12" ht="30" customHeight="1" x14ac:dyDescent="0.2">
      <c r="A21" s="318">
        <v>18</v>
      </c>
      <c r="B21" s="320" t="s">
        <v>567</v>
      </c>
      <c r="C21" s="334" t="s">
        <v>568</v>
      </c>
      <c r="D21" s="331"/>
      <c r="E21" s="323"/>
      <c r="F21" s="323">
        <v>50000000</v>
      </c>
      <c r="G21" s="324">
        <v>0.05</v>
      </c>
      <c r="H21" s="323">
        <f t="shared" si="0"/>
        <v>2500000</v>
      </c>
      <c r="I21" s="70"/>
      <c r="J21" s="25"/>
      <c r="K21" s="92"/>
      <c r="L21" s="337"/>
    </row>
    <row r="22" spans="1:12" ht="30" customHeight="1" x14ac:dyDescent="0.2">
      <c r="A22" s="2031">
        <v>19</v>
      </c>
      <c r="B22" s="2029" t="s">
        <v>574</v>
      </c>
      <c r="C22" s="2043" t="s">
        <v>1355</v>
      </c>
      <c r="D22" s="331" t="s">
        <v>1974</v>
      </c>
      <c r="E22" s="323"/>
      <c r="F22" s="323">
        <v>5000000</v>
      </c>
      <c r="G22" s="573">
        <v>0.04</v>
      </c>
      <c r="H22" s="323">
        <f>F22*G22</f>
        <v>200000</v>
      </c>
      <c r="I22" s="70"/>
      <c r="J22" s="25"/>
      <c r="K22" s="92" t="s">
        <v>1254</v>
      </c>
      <c r="L22" s="334" t="s">
        <v>1255</v>
      </c>
    </row>
    <row r="23" spans="1:12" ht="30" customHeight="1" x14ac:dyDescent="0.2">
      <c r="A23" s="2032"/>
      <c r="B23" s="2030"/>
      <c r="C23" s="2045"/>
      <c r="D23" s="582" t="s">
        <v>1975</v>
      </c>
      <c r="E23" s="575"/>
      <c r="F23" s="575">
        <v>2500000</v>
      </c>
      <c r="G23" s="573">
        <v>0.04</v>
      </c>
      <c r="H23" s="575">
        <f>F23*G23</f>
        <v>100000</v>
      </c>
      <c r="I23" s="70"/>
      <c r="J23" s="25"/>
      <c r="K23" s="92"/>
      <c r="L23" s="577"/>
    </row>
    <row r="24" spans="1:12" ht="30" customHeight="1" x14ac:dyDescent="0.2">
      <c r="A24" s="318">
        <v>20</v>
      </c>
      <c r="B24" s="320" t="s">
        <v>621</v>
      </c>
      <c r="C24" s="334"/>
      <c r="D24" s="331"/>
      <c r="E24" s="323"/>
      <c r="F24" s="323">
        <v>32000000</v>
      </c>
      <c r="G24" s="329"/>
      <c r="H24" s="323">
        <v>1600000</v>
      </c>
      <c r="I24" s="70"/>
      <c r="J24" s="25"/>
      <c r="K24" s="92" t="s">
        <v>771</v>
      </c>
      <c r="L24" s="337"/>
    </row>
    <row r="25" spans="1:12" ht="30" customHeight="1" x14ac:dyDescent="0.2">
      <c r="A25" s="2031">
        <v>21</v>
      </c>
      <c r="B25" s="2029" t="s">
        <v>674</v>
      </c>
      <c r="C25" s="2043"/>
      <c r="D25" s="2128"/>
      <c r="E25" s="2040"/>
      <c r="F25" s="2040">
        <v>300000000</v>
      </c>
      <c r="G25" s="2037">
        <v>0.05</v>
      </c>
      <c r="H25" s="2040">
        <f>F25*G25</f>
        <v>15000000</v>
      </c>
      <c r="I25" s="2143"/>
      <c r="J25" s="2145"/>
      <c r="K25" s="2059"/>
      <c r="L25" s="2147"/>
    </row>
    <row r="26" spans="1:12" ht="30" customHeight="1" x14ac:dyDescent="0.2">
      <c r="A26" s="2032"/>
      <c r="B26" s="2030"/>
      <c r="C26" s="2045"/>
      <c r="D26" s="2129"/>
      <c r="E26" s="2042"/>
      <c r="F26" s="2042"/>
      <c r="G26" s="2039"/>
      <c r="H26" s="2042"/>
      <c r="I26" s="2144"/>
      <c r="J26" s="2146"/>
      <c r="K26" s="2060"/>
      <c r="L26" s="2148"/>
    </row>
    <row r="27" spans="1:12" ht="30" customHeight="1" x14ac:dyDescent="0.2">
      <c r="A27" s="318">
        <v>22</v>
      </c>
      <c r="B27" s="320" t="s">
        <v>718</v>
      </c>
      <c r="C27" s="334"/>
      <c r="D27" s="331"/>
      <c r="E27" s="323"/>
      <c r="F27" s="323">
        <v>140000000</v>
      </c>
      <c r="G27" s="324">
        <v>7.0000000000000007E-2</v>
      </c>
      <c r="H27" s="323">
        <f>F27*G27</f>
        <v>9800000.0000000019</v>
      </c>
      <c r="I27" s="70"/>
      <c r="J27" s="25"/>
      <c r="K27" s="92"/>
      <c r="L27" s="337"/>
    </row>
    <row r="28" spans="1:12" ht="30" customHeight="1" x14ac:dyDescent="0.2">
      <c r="A28" s="318">
        <v>23</v>
      </c>
      <c r="B28" s="320" t="s">
        <v>722</v>
      </c>
      <c r="C28" s="334"/>
      <c r="D28" s="331"/>
      <c r="E28" s="323"/>
      <c r="F28" s="323">
        <v>40000000</v>
      </c>
      <c r="G28" s="324">
        <v>0.05</v>
      </c>
      <c r="H28" s="323">
        <f>F28*G28</f>
        <v>2000000</v>
      </c>
      <c r="I28" s="70"/>
      <c r="J28" s="25"/>
      <c r="K28" s="92"/>
      <c r="L28" s="333" t="s">
        <v>724</v>
      </c>
    </row>
    <row r="29" spans="1:12" ht="30" customHeight="1" x14ac:dyDescent="0.2">
      <c r="A29" s="318">
        <v>24</v>
      </c>
      <c r="B29" s="320" t="s">
        <v>738</v>
      </c>
      <c r="C29" s="334" t="s">
        <v>739</v>
      </c>
      <c r="D29" s="331"/>
      <c r="E29" s="323"/>
      <c r="F29" s="323">
        <v>35000000</v>
      </c>
      <c r="G29" s="324">
        <v>5.8000000000000003E-2</v>
      </c>
      <c r="H29" s="323">
        <v>2000000</v>
      </c>
      <c r="I29" s="70"/>
      <c r="J29" s="25"/>
      <c r="K29" s="92"/>
      <c r="L29" s="333"/>
    </row>
    <row r="30" spans="1:12" ht="30" customHeight="1" x14ac:dyDescent="0.2">
      <c r="A30" s="318">
        <v>25</v>
      </c>
      <c r="B30" s="320" t="s">
        <v>828</v>
      </c>
      <c r="C30" s="334"/>
      <c r="D30" s="331"/>
      <c r="E30" s="323"/>
      <c r="F30" s="323">
        <v>500000000</v>
      </c>
      <c r="G30" s="324">
        <v>4.4999999999999998E-2</v>
      </c>
      <c r="H30" s="323">
        <f>F30*G30</f>
        <v>22500000</v>
      </c>
      <c r="I30" s="70"/>
      <c r="J30" s="25"/>
      <c r="K30" s="92"/>
      <c r="L30" s="333"/>
    </row>
    <row r="31" spans="1:12" ht="30" customHeight="1" x14ac:dyDescent="0.2">
      <c r="A31" s="2031">
        <v>26</v>
      </c>
      <c r="B31" s="2029" t="s">
        <v>832</v>
      </c>
      <c r="C31" s="2043" t="s">
        <v>834</v>
      </c>
      <c r="D31" s="2128"/>
      <c r="E31" s="2040"/>
      <c r="F31" s="2040">
        <v>500000000</v>
      </c>
      <c r="G31" s="2037">
        <v>7.0000000000000007E-2</v>
      </c>
      <c r="H31" s="2040">
        <f>F31*G31</f>
        <v>35000000</v>
      </c>
      <c r="I31" s="70"/>
      <c r="J31" s="25"/>
      <c r="K31" s="92" t="s">
        <v>1168</v>
      </c>
      <c r="L31" s="333"/>
    </row>
    <row r="32" spans="1:12" ht="30" customHeight="1" x14ac:dyDescent="0.2">
      <c r="A32" s="2032"/>
      <c r="B32" s="2030"/>
      <c r="C32" s="2045"/>
      <c r="D32" s="2129"/>
      <c r="E32" s="2042"/>
      <c r="F32" s="2042"/>
      <c r="G32" s="2039"/>
      <c r="H32" s="2042"/>
      <c r="I32" s="70"/>
      <c r="J32" s="25"/>
      <c r="K32" s="92"/>
      <c r="L32" s="333"/>
    </row>
    <row r="33" spans="1:12" ht="30" customHeight="1" x14ac:dyDescent="0.2">
      <c r="A33" s="2031">
        <v>27</v>
      </c>
      <c r="B33" s="2029" t="s">
        <v>845</v>
      </c>
      <c r="C33" s="2043"/>
      <c r="D33" s="2128"/>
      <c r="E33" s="2040"/>
      <c r="F33" s="2040">
        <v>590000000</v>
      </c>
      <c r="G33" s="2037"/>
      <c r="H33" s="2040">
        <v>30000000</v>
      </c>
      <c r="I33" s="70"/>
      <c r="J33" s="25"/>
      <c r="K33" s="92"/>
      <c r="L33" s="333"/>
    </row>
    <row r="34" spans="1:12" ht="30" customHeight="1" x14ac:dyDescent="0.2">
      <c r="A34" s="2032"/>
      <c r="B34" s="2030"/>
      <c r="C34" s="2045"/>
      <c r="D34" s="2129"/>
      <c r="E34" s="2042"/>
      <c r="F34" s="2042"/>
      <c r="G34" s="2039"/>
      <c r="H34" s="2042"/>
      <c r="I34" s="70"/>
      <c r="J34" s="25"/>
      <c r="K34" s="92"/>
      <c r="L34" s="333"/>
    </row>
    <row r="35" spans="1:12" ht="30" customHeight="1" x14ac:dyDescent="0.2">
      <c r="A35" s="318">
        <v>28</v>
      </c>
      <c r="B35" s="320" t="s">
        <v>865</v>
      </c>
      <c r="C35" s="334"/>
      <c r="D35" s="331"/>
      <c r="E35" s="323"/>
      <c r="F35" s="323">
        <v>42000000</v>
      </c>
      <c r="G35" s="324">
        <v>7.0000000000000007E-2</v>
      </c>
      <c r="H35" s="323">
        <f>F35*G35</f>
        <v>2940000.0000000005</v>
      </c>
      <c r="I35" s="70"/>
      <c r="J35" s="25"/>
      <c r="K35" s="92" t="s">
        <v>1368</v>
      </c>
      <c r="L35" s="333"/>
    </row>
    <row r="36" spans="1:12" ht="30" customHeight="1" x14ac:dyDescent="0.2">
      <c r="A36" s="318">
        <v>28</v>
      </c>
      <c r="B36" s="320" t="s">
        <v>870</v>
      </c>
      <c r="C36" s="334"/>
      <c r="D36" s="331"/>
      <c r="E36" s="323"/>
      <c r="F36" s="323">
        <v>20000000</v>
      </c>
      <c r="G36" s="324">
        <v>0.04</v>
      </c>
      <c r="H36" s="323">
        <f>F36*G36</f>
        <v>800000</v>
      </c>
      <c r="I36" s="70"/>
      <c r="J36" s="25"/>
      <c r="K36" s="92"/>
      <c r="L36" s="333"/>
    </row>
    <row r="37" spans="1:12" ht="30" customHeight="1" x14ac:dyDescent="0.2">
      <c r="A37" s="318">
        <v>28</v>
      </c>
      <c r="B37" s="320" t="s">
        <v>944</v>
      </c>
      <c r="C37" s="334"/>
      <c r="D37" s="331"/>
      <c r="E37" s="323"/>
      <c r="F37" s="323">
        <v>100000000</v>
      </c>
      <c r="G37" s="324">
        <v>7.0000000000000007E-2</v>
      </c>
      <c r="H37" s="323">
        <f>F37*G37</f>
        <v>7000000.0000000009</v>
      </c>
      <c r="I37" s="70"/>
      <c r="J37" s="25"/>
      <c r="K37" s="92"/>
      <c r="L37" s="333"/>
    </row>
    <row r="38" spans="1:12" ht="30" customHeight="1" x14ac:dyDescent="0.2">
      <c r="A38" s="2031">
        <v>30</v>
      </c>
      <c r="B38" s="2029" t="s">
        <v>1011</v>
      </c>
      <c r="C38" s="2043"/>
      <c r="D38" s="2128"/>
      <c r="E38" s="2040"/>
      <c r="F38" s="323">
        <v>100000000</v>
      </c>
      <c r="G38" s="324">
        <v>0.05</v>
      </c>
      <c r="H38" s="323">
        <f t="shared" ref="H38:H39" si="1">F38*G38</f>
        <v>5000000</v>
      </c>
      <c r="I38" s="2143"/>
      <c r="J38" s="2145"/>
      <c r="K38" s="2059"/>
      <c r="L38" s="2051" t="s">
        <v>1020</v>
      </c>
    </row>
    <row r="39" spans="1:12" ht="30" customHeight="1" x14ac:dyDescent="0.2">
      <c r="A39" s="2032"/>
      <c r="B39" s="2030"/>
      <c r="C39" s="2045"/>
      <c r="D39" s="2129"/>
      <c r="E39" s="2042"/>
      <c r="F39" s="323">
        <v>35000000</v>
      </c>
      <c r="G39" s="324">
        <v>7.0000000000000007E-2</v>
      </c>
      <c r="H39" s="323">
        <f t="shared" si="1"/>
        <v>2450000.0000000005</v>
      </c>
      <c r="I39" s="2144"/>
      <c r="J39" s="2146"/>
      <c r="K39" s="2060"/>
      <c r="L39" s="2052"/>
    </row>
    <row r="40" spans="1:12" ht="30" customHeight="1" x14ac:dyDescent="0.2">
      <c r="A40" s="318">
        <v>31</v>
      </c>
      <c r="B40" s="320" t="s">
        <v>1022</v>
      </c>
      <c r="C40" s="334"/>
      <c r="D40" s="331"/>
      <c r="E40" s="323"/>
      <c r="F40" s="323">
        <v>63580000</v>
      </c>
      <c r="G40" s="324">
        <v>7.0000000000000007E-2</v>
      </c>
      <c r="H40" s="323">
        <v>4450000</v>
      </c>
      <c r="I40" s="70"/>
      <c r="J40" s="25"/>
      <c r="K40" s="92"/>
      <c r="L40" s="333"/>
    </row>
    <row r="41" spans="1:12" ht="30" customHeight="1" x14ac:dyDescent="0.2">
      <c r="A41" s="318">
        <v>32</v>
      </c>
      <c r="B41" s="321" t="s">
        <v>1141</v>
      </c>
      <c r="C41" s="255"/>
      <c r="D41" s="256"/>
      <c r="E41" s="327"/>
      <c r="F41" s="323">
        <v>20000000</v>
      </c>
      <c r="G41" s="324">
        <v>0.04</v>
      </c>
      <c r="H41" s="323">
        <f>F41*G41</f>
        <v>800000</v>
      </c>
      <c r="I41" s="70"/>
      <c r="J41" s="25"/>
      <c r="K41" s="92"/>
      <c r="L41" s="333"/>
    </row>
    <row r="42" spans="1:12" ht="30" customHeight="1" x14ac:dyDescent="0.2">
      <c r="A42" s="318">
        <v>33</v>
      </c>
      <c r="B42" s="45" t="s">
        <v>1188</v>
      </c>
      <c r="C42" s="53" t="s">
        <v>1175</v>
      </c>
      <c r="D42" s="37"/>
      <c r="E42" s="330"/>
      <c r="F42" s="323">
        <v>150000000</v>
      </c>
      <c r="G42" s="324">
        <v>0.06</v>
      </c>
      <c r="H42" s="323">
        <f>F42*G42</f>
        <v>9000000</v>
      </c>
      <c r="I42" s="70"/>
      <c r="J42" s="25"/>
      <c r="K42" s="92"/>
      <c r="L42" s="333"/>
    </row>
    <row r="43" spans="1:12" ht="30" customHeight="1" x14ac:dyDescent="0.2">
      <c r="A43" s="318">
        <v>34</v>
      </c>
      <c r="B43" s="319" t="s">
        <v>1194</v>
      </c>
      <c r="C43" s="53"/>
      <c r="D43" s="37"/>
      <c r="E43" s="322"/>
      <c r="F43" s="323">
        <v>50000000</v>
      </c>
      <c r="G43" s="324">
        <v>7.0000000000000007E-2</v>
      </c>
      <c r="H43" s="323">
        <f>F43*G43</f>
        <v>3500000.0000000005</v>
      </c>
      <c r="I43" s="70"/>
      <c r="J43" s="25"/>
      <c r="K43" s="92"/>
      <c r="L43" s="333"/>
    </row>
    <row r="44" spans="1:12" ht="30" customHeight="1" x14ac:dyDescent="0.2">
      <c r="A44" s="318">
        <v>35</v>
      </c>
      <c r="B44" s="319" t="s">
        <v>1269</v>
      </c>
      <c r="C44" s="53"/>
      <c r="D44" s="37"/>
      <c r="E44" s="322"/>
      <c r="F44" s="323">
        <v>140000000</v>
      </c>
      <c r="G44" s="324">
        <v>0.05</v>
      </c>
      <c r="H44" s="323">
        <f>F44*G44</f>
        <v>7000000</v>
      </c>
      <c r="I44" s="70"/>
      <c r="J44" s="25"/>
      <c r="K44" s="92"/>
      <c r="L44" s="333"/>
    </row>
    <row r="45" spans="1:12" ht="30" customHeight="1" x14ac:dyDescent="0.2">
      <c r="A45" s="318">
        <v>36</v>
      </c>
      <c r="B45" s="319" t="s">
        <v>1302</v>
      </c>
      <c r="C45" s="53"/>
      <c r="D45" s="37"/>
      <c r="E45" s="322"/>
      <c r="F45" s="315"/>
      <c r="G45" s="316"/>
      <c r="H45" s="315"/>
      <c r="I45" s="70"/>
      <c r="J45" s="25"/>
      <c r="K45" s="92"/>
      <c r="L45" s="333"/>
    </row>
    <row r="46" spans="1:12" ht="30" customHeight="1" x14ac:dyDescent="0.2">
      <c r="A46" s="318">
        <v>37</v>
      </c>
      <c r="B46" s="319" t="s">
        <v>1261</v>
      </c>
      <c r="C46" s="53"/>
      <c r="D46" s="37"/>
      <c r="E46" s="322"/>
      <c r="F46" s="315"/>
      <c r="G46" s="316"/>
      <c r="H46" s="315"/>
      <c r="I46" s="70"/>
      <c r="J46" s="25"/>
      <c r="K46" s="92" t="s">
        <v>1541</v>
      </c>
      <c r="L46" s="333"/>
    </row>
    <row r="47" spans="1:12" ht="30" customHeight="1" x14ac:dyDescent="0.2">
      <c r="A47" s="318">
        <v>38</v>
      </c>
      <c r="B47" s="319" t="s">
        <v>1314</v>
      </c>
      <c r="C47" s="53"/>
      <c r="D47" s="37"/>
      <c r="E47" s="322"/>
      <c r="F47" s="242">
        <v>16000000</v>
      </c>
      <c r="G47" s="317">
        <v>0.05</v>
      </c>
      <c r="H47" s="242">
        <f>F47*G47</f>
        <v>800000</v>
      </c>
      <c r="I47" s="70"/>
      <c r="J47" s="25"/>
      <c r="K47" s="92"/>
      <c r="L47" s="333"/>
    </row>
    <row r="48" spans="1:12" ht="30" customHeight="1" x14ac:dyDescent="0.2">
      <c r="A48" s="318">
        <v>39</v>
      </c>
      <c r="B48" s="319" t="s">
        <v>1337</v>
      </c>
      <c r="C48" s="53"/>
      <c r="D48" s="37"/>
      <c r="E48" s="322"/>
      <c r="F48" s="315"/>
      <c r="G48" s="316"/>
      <c r="H48" s="315"/>
      <c r="I48" s="70"/>
      <c r="J48" s="25"/>
      <c r="K48" s="92" t="s">
        <v>1542</v>
      </c>
      <c r="L48" s="333"/>
    </row>
    <row r="49" spans="1:12" ht="30" customHeight="1" x14ac:dyDescent="0.2">
      <c r="A49" s="318">
        <v>40</v>
      </c>
      <c r="B49" s="188" t="s">
        <v>186</v>
      </c>
      <c r="C49" s="22"/>
      <c r="D49" s="246"/>
      <c r="E49" s="240"/>
      <c r="F49" s="323">
        <v>60000000</v>
      </c>
      <c r="G49" s="20">
        <v>0.05</v>
      </c>
      <c r="H49" s="323">
        <f t="shared" ref="H49:H136" si="2">F49*G49</f>
        <v>3000000</v>
      </c>
      <c r="I49" s="25"/>
      <c r="J49" s="25"/>
      <c r="K49" s="92"/>
      <c r="L49" s="26"/>
    </row>
    <row r="50" spans="1:12" ht="30" customHeight="1" x14ac:dyDescent="0.2">
      <c r="A50" s="318">
        <v>41</v>
      </c>
      <c r="B50" s="3" t="s">
        <v>1109</v>
      </c>
      <c r="C50" s="22"/>
      <c r="D50" s="12"/>
      <c r="E50" s="247"/>
      <c r="F50" s="323">
        <v>10000000</v>
      </c>
      <c r="G50" s="20">
        <v>0.05</v>
      </c>
      <c r="H50" s="323">
        <f>F50*G50</f>
        <v>500000</v>
      </c>
      <c r="I50" s="25"/>
      <c r="J50" s="25"/>
      <c r="K50" s="92"/>
      <c r="L50" s="26" t="s">
        <v>1293</v>
      </c>
    </row>
    <row r="51" spans="1:12" ht="30" customHeight="1" x14ac:dyDescent="0.2">
      <c r="A51" s="318">
        <v>42</v>
      </c>
      <c r="B51" s="3" t="s">
        <v>187</v>
      </c>
      <c r="C51" s="3"/>
      <c r="D51" s="9"/>
      <c r="E51" s="330"/>
      <c r="F51" s="323">
        <v>150000000</v>
      </c>
      <c r="G51" s="20">
        <v>0.05</v>
      </c>
      <c r="H51" s="323">
        <f t="shared" si="2"/>
        <v>7500000</v>
      </c>
      <c r="I51" s="16"/>
      <c r="J51" s="16"/>
      <c r="K51" s="92"/>
      <c r="L51" s="3"/>
    </row>
    <row r="52" spans="1:12" ht="30" customHeight="1" x14ac:dyDescent="0.2">
      <c r="A52" s="2031">
        <v>43</v>
      </c>
      <c r="B52" s="2074" t="s">
        <v>188</v>
      </c>
      <c r="C52" s="2031"/>
      <c r="D52" s="2078"/>
      <c r="E52" s="2040"/>
      <c r="F52" s="2080"/>
      <c r="G52" s="2037">
        <v>7.0000000000000007E-2</v>
      </c>
      <c r="H52" s="2080">
        <f t="shared" si="2"/>
        <v>0</v>
      </c>
      <c r="I52" s="16"/>
      <c r="J52" s="16"/>
      <c r="K52" s="2059" t="s">
        <v>1369</v>
      </c>
      <c r="L52" s="3"/>
    </row>
    <row r="53" spans="1:12" ht="30" customHeight="1" x14ac:dyDescent="0.2">
      <c r="A53" s="2032"/>
      <c r="B53" s="2075"/>
      <c r="C53" s="2032"/>
      <c r="D53" s="2079"/>
      <c r="E53" s="2042"/>
      <c r="F53" s="2081"/>
      <c r="G53" s="2039"/>
      <c r="H53" s="2081"/>
      <c r="I53" s="16"/>
      <c r="J53" s="16"/>
      <c r="K53" s="2060"/>
      <c r="L53" s="3"/>
    </row>
    <row r="54" spans="1:12" ht="30" customHeight="1" x14ac:dyDescent="0.2">
      <c r="A54" s="2031">
        <v>44</v>
      </c>
      <c r="B54" s="2074" t="s">
        <v>189</v>
      </c>
      <c r="C54" s="2031" t="s">
        <v>1112</v>
      </c>
      <c r="D54" s="2078"/>
      <c r="E54" s="2040"/>
      <c r="F54" s="1947" t="s">
        <v>1247</v>
      </c>
      <c r="G54" s="1948"/>
      <c r="H54" s="1949"/>
      <c r="I54" s="16"/>
      <c r="J54" s="16"/>
      <c r="K54" s="92" t="s">
        <v>1212</v>
      </c>
      <c r="L54" s="263" t="s">
        <v>1245</v>
      </c>
    </row>
    <row r="55" spans="1:12" ht="30" customHeight="1" x14ac:dyDescent="0.2">
      <c r="A55" s="2034"/>
      <c r="B55" s="2110"/>
      <c r="C55" s="2034"/>
      <c r="D55" s="2111"/>
      <c r="E55" s="2041"/>
      <c r="F55" s="2040">
        <v>1300000000</v>
      </c>
      <c r="G55" s="2037">
        <v>0.08</v>
      </c>
      <c r="H55" s="2040">
        <f>F55*G55</f>
        <v>104000000</v>
      </c>
      <c r="I55" s="16"/>
      <c r="J55" s="16"/>
      <c r="K55" s="92"/>
      <c r="L55" s="263"/>
    </row>
    <row r="56" spans="1:12" ht="30" customHeight="1" x14ac:dyDescent="0.2">
      <c r="A56" s="2034"/>
      <c r="B56" s="2110"/>
      <c r="C56" s="2034"/>
      <c r="D56" s="2111"/>
      <c r="E56" s="2041"/>
      <c r="F56" s="2041"/>
      <c r="G56" s="2038"/>
      <c r="H56" s="2041"/>
      <c r="I56" s="16"/>
      <c r="J56" s="16"/>
      <c r="K56" s="92"/>
      <c r="L56" s="263"/>
    </row>
    <row r="57" spans="1:12" ht="30" customHeight="1" x14ac:dyDescent="0.2">
      <c r="A57" s="2034"/>
      <c r="B57" s="2110"/>
      <c r="C57" s="2034"/>
      <c r="D57" s="2111"/>
      <c r="E57" s="2041"/>
      <c r="F57" s="2042"/>
      <c r="G57" s="2039"/>
      <c r="H57" s="2042"/>
      <c r="I57" s="16"/>
      <c r="J57" s="16"/>
      <c r="K57" s="92"/>
      <c r="L57" s="263"/>
    </row>
    <row r="58" spans="1:12" ht="30" customHeight="1" x14ac:dyDescent="0.2">
      <c r="A58" s="2032"/>
      <c r="B58" s="2075"/>
      <c r="C58" s="2032"/>
      <c r="D58" s="2079"/>
      <c r="E58" s="2042"/>
      <c r="F58" s="323">
        <v>1200000000</v>
      </c>
      <c r="G58" s="20">
        <v>0.08</v>
      </c>
      <c r="H58" s="323">
        <f>F58*G58</f>
        <v>96000000</v>
      </c>
      <c r="I58" s="16"/>
      <c r="J58" s="16"/>
      <c r="K58" s="92"/>
      <c r="L58" s="263"/>
    </row>
    <row r="59" spans="1:12" ht="30" customHeight="1" x14ac:dyDescent="0.2">
      <c r="A59" s="4">
        <v>46</v>
      </c>
      <c r="B59" s="3" t="s">
        <v>190</v>
      </c>
      <c r="C59" s="173" t="s">
        <v>1110</v>
      </c>
      <c r="D59" s="248" t="s">
        <v>1111</v>
      </c>
      <c r="E59" s="330"/>
      <c r="F59" s="323">
        <v>20000000</v>
      </c>
      <c r="G59" s="20">
        <v>0.05</v>
      </c>
      <c r="H59" s="323">
        <f t="shared" si="2"/>
        <v>1000000</v>
      </c>
      <c r="I59" s="16"/>
      <c r="J59" s="16"/>
      <c r="K59" s="92"/>
      <c r="L59" s="3"/>
    </row>
    <row r="60" spans="1:12" ht="30" customHeight="1" x14ac:dyDescent="0.2">
      <c r="A60" s="4">
        <v>47</v>
      </c>
      <c r="B60" s="3" t="s">
        <v>1712</v>
      </c>
      <c r="C60" s="173" t="s">
        <v>1112</v>
      </c>
      <c r="D60" s="9"/>
      <c r="E60" s="330"/>
      <c r="F60" s="323">
        <v>100000000</v>
      </c>
      <c r="G60" s="20">
        <v>0.05</v>
      </c>
      <c r="H60" s="323">
        <f t="shared" si="2"/>
        <v>5000000</v>
      </c>
      <c r="I60" s="16"/>
      <c r="J60" s="16"/>
      <c r="K60" s="92" t="s">
        <v>1777</v>
      </c>
      <c r="L60" s="3"/>
    </row>
    <row r="61" spans="1:12" ht="30" customHeight="1" x14ac:dyDescent="0.2">
      <c r="A61" s="4">
        <v>48</v>
      </c>
      <c r="B61" s="3" t="s">
        <v>192</v>
      </c>
      <c r="C61" s="3"/>
      <c r="D61" s="9"/>
      <c r="E61" s="330"/>
      <c r="F61" s="328"/>
      <c r="G61" s="44"/>
      <c r="H61" s="328">
        <f t="shared" si="2"/>
        <v>0</v>
      </c>
      <c r="I61" s="16"/>
      <c r="J61" s="16"/>
      <c r="K61" s="92" t="s">
        <v>1366</v>
      </c>
      <c r="L61" s="3"/>
    </row>
    <row r="62" spans="1:12" ht="30" customHeight="1" x14ac:dyDescent="0.2">
      <c r="A62" s="4">
        <v>49</v>
      </c>
      <c r="B62" s="3" t="s">
        <v>193</v>
      </c>
      <c r="C62" s="3"/>
      <c r="D62" s="9"/>
      <c r="E62" s="330"/>
      <c r="F62" s="328"/>
      <c r="G62" s="44"/>
      <c r="H62" s="328">
        <f t="shared" si="2"/>
        <v>0</v>
      </c>
      <c r="I62" s="16"/>
      <c r="J62" s="16"/>
      <c r="K62" s="92" t="s">
        <v>1360</v>
      </c>
      <c r="L62" s="3"/>
    </row>
    <row r="63" spans="1:12" ht="30" customHeight="1" x14ac:dyDescent="0.2">
      <c r="A63" s="2031">
        <v>50</v>
      </c>
      <c r="B63" s="2074" t="s">
        <v>194</v>
      </c>
      <c r="C63" s="2031"/>
      <c r="D63" s="2078"/>
      <c r="E63" s="2040"/>
      <c r="F63" s="2115" t="s">
        <v>1294</v>
      </c>
      <c r="G63" s="2142"/>
      <c r="H63" s="2116"/>
      <c r="I63" s="16"/>
      <c r="J63" s="16"/>
      <c r="K63" s="2059" t="s">
        <v>2617</v>
      </c>
      <c r="L63" s="3"/>
    </row>
    <row r="64" spans="1:12" ht="30" customHeight="1" x14ac:dyDescent="0.2">
      <c r="A64" s="2032"/>
      <c r="B64" s="2075"/>
      <c r="C64" s="2032"/>
      <c r="D64" s="2079"/>
      <c r="E64" s="2042"/>
      <c r="F64" s="330">
        <v>111000000</v>
      </c>
      <c r="G64" s="20">
        <v>4.4999999999999998E-2</v>
      </c>
      <c r="H64" s="330">
        <v>5000000</v>
      </c>
      <c r="I64" s="16"/>
      <c r="J64" s="16"/>
      <c r="K64" s="2060"/>
      <c r="L64" s="3"/>
    </row>
    <row r="65" spans="1:12" ht="30" customHeight="1" x14ac:dyDescent="0.2">
      <c r="A65" s="4">
        <v>51</v>
      </c>
      <c r="B65" s="3" t="s">
        <v>195</v>
      </c>
      <c r="C65" s="3"/>
      <c r="D65" s="9"/>
      <c r="E65" s="330"/>
      <c r="F65" s="328"/>
      <c r="G65" s="44"/>
      <c r="H65" s="328">
        <f t="shared" si="2"/>
        <v>0</v>
      </c>
      <c r="I65" s="16"/>
      <c r="J65" s="16"/>
      <c r="K65" s="92" t="s">
        <v>1370</v>
      </c>
      <c r="L65" s="3"/>
    </row>
    <row r="66" spans="1:12" ht="30" customHeight="1" x14ac:dyDescent="0.2">
      <c r="A66" s="2031">
        <v>52</v>
      </c>
      <c r="B66" s="2074" t="s">
        <v>196</v>
      </c>
      <c r="C66" s="2031"/>
      <c r="D66" s="2078"/>
      <c r="E66" s="2040"/>
      <c r="F66" s="2040">
        <v>350000000</v>
      </c>
      <c r="G66" s="2037">
        <v>7.0000000000000007E-2</v>
      </c>
      <c r="H66" s="2040">
        <f t="shared" si="2"/>
        <v>24500000.000000004</v>
      </c>
      <c r="I66" s="2061"/>
      <c r="J66" s="2061"/>
      <c r="K66" s="2059" t="s">
        <v>1896</v>
      </c>
      <c r="L66" s="2031"/>
    </row>
    <row r="67" spans="1:12" ht="30" customHeight="1" x14ac:dyDescent="0.2">
      <c r="A67" s="2034"/>
      <c r="B67" s="2110"/>
      <c r="C67" s="2034"/>
      <c r="D67" s="2111"/>
      <c r="E67" s="2041"/>
      <c r="F67" s="2042"/>
      <c r="G67" s="2039"/>
      <c r="H67" s="2042"/>
      <c r="I67" s="2063"/>
      <c r="J67" s="2063"/>
      <c r="K67" s="2064"/>
      <c r="L67" s="2034"/>
    </row>
    <row r="68" spans="1:12" ht="30" customHeight="1" x14ac:dyDescent="0.2">
      <c r="A68" s="2034"/>
      <c r="B68" s="2110"/>
      <c r="C68" s="2034"/>
      <c r="D68" s="2111"/>
      <c r="E68" s="2041"/>
      <c r="F68" s="328"/>
      <c r="G68" s="329"/>
      <c r="H68" s="328"/>
      <c r="I68" s="16"/>
      <c r="J68" s="16"/>
      <c r="K68" s="2064"/>
      <c r="L68" s="2034"/>
    </row>
    <row r="69" spans="1:12" ht="30" customHeight="1" x14ac:dyDescent="0.2">
      <c r="A69" s="2032"/>
      <c r="B69" s="2075"/>
      <c r="C69" s="2032"/>
      <c r="D69" s="2079"/>
      <c r="E69" s="2042"/>
      <c r="F69" s="328"/>
      <c r="G69" s="329"/>
      <c r="H69" s="328"/>
      <c r="I69" s="16"/>
      <c r="J69" s="16"/>
      <c r="K69" s="2060"/>
      <c r="L69" s="2032"/>
    </row>
    <row r="70" spans="1:12" ht="30" customHeight="1" x14ac:dyDescent="0.2">
      <c r="A70" s="2031">
        <v>53</v>
      </c>
      <c r="B70" s="2074" t="s">
        <v>1090</v>
      </c>
      <c r="C70" s="2031"/>
      <c r="D70" s="2078"/>
      <c r="E70" s="2040"/>
      <c r="F70" s="323">
        <v>35000000</v>
      </c>
      <c r="G70" s="20">
        <v>7.1999999999999995E-2</v>
      </c>
      <c r="H70" s="323">
        <v>2500000</v>
      </c>
      <c r="I70" s="16"/>
      <c r="J70" s="16"/>
      <c r="K70" s="92"/>
      <c r="L70" s="3"/>
    </row>
    <row r="71" spans="1:12" ht="30" customHeight="1" x14ac:dyDescent="0.2">
      <c r="A71" s="2032"/>
      <c r="B71" s="2075"/>
      <c r="C71" s="2032"/>
      <c r="D71" s="2079"/>
      <c r="E71" s="2042"/>
      <c r="F71" s="323">
        <v>13000000</v>
      </c>
      <c r="G71" s="20">
        <v>7.6999999999999999E-2</v>
      </c>
      <c r="H71" s="323">
        <v>1000000</v>
      </c>
      <c r="I71" s="16"/>
      <c r="J71" s="16"/>
      <c r="K71" s="92"/>
      <c r="L71" s="3"/>
    </row>
    <row r="72" spans="1:12" ht="30" customHeight="1" x14ac:dyDescent="0.2">
      <c r="A72" s="2031">
        <v>54</v>
      </c>
      <c r="B72" s="2074" t="s">
        <v>1295</v>
      </c>
      <c r="C72" s="2010" t="s">
        <v>523</v>
      </c>
      <c r="D72" s="2078"/>
      <c r="E72" s="2040"/>
      <c r="F72" s="323">
        <v>175000000</v>
      </c>
      <c r="G72" s="2037">
        <f>H72/(F72+F73)</f>
        <v>6.3461538461538458E-2</v>
      </c>
      <c r="H72" s="2040">
        <v>16500000</v>
      </c>
      <c r="I72" s="16"/>
      <c r="J72" s="16"/>
      <c r="K72" s="2059"/>
      <c r="L72" s="82" t="s">
        <v>1113</v>
      </c>
    </row>
    <row r="73" spans="1:12" ht="30" customHeight="1" x14ac:dyDescent="0.2">
      <c r="A73" s="2032"/>
      <c r="B73" s="2075"/>
      <c r="C73" s="2011"/>
      <c r="D73" s="2079"/>
      <c r="E73" s="2042"/>
      <c r="F73" s="327">
        <v>85000000</v>
      </c>
      <c r="G73" s="2039"/>
      <c r="H73" s="2042"/>
      <c r="I73" s="304"/>
      <c r="J73" s="304"/>
      <c r="K73" s="2060"/>
      <c r="L73" s="305"/>
    </row>
    <row r="74" spans="1:12" ht="30" customHeight="1" x14ac:dyDescent="0.2">
      <c r="A74" s="2031">
        <v>55</v>
      </c>
      <c r="B74" s="2074" t="s">
        <v>36</v>
      </c>
      <c r="C74" s="2139" t="s">
        <v>523</v>
      </c>
      <c r="D74" s="2046" t="s">
        <v>701</v>
      </c>
      <c r="E74" s="2040"/>
      <c r="F74" s="2040">
        <v>3284000000</v>
      </c>
      <c r="G74" s="2037">
        <v>7.0000000000000007E-2</v>
      </c>
      <c r="H74" s="2040">
        <v>229880000</v>
      </c>
      <c r="I74" s="2061"/>
      <c r="J74" s="2061"/>
      <c r="K74" s="2059"/>
      <c r="L74" s="2031"/>
    </row>
    <row r="75" spans="1:12" ht="30" customHeight="1" x14ac:dyDescent="0.2">
      <c r="A75" s="2034"/>
      <c r="B75" s="2110"/>
      <c r="C75" s="2140"/>
      <c r="D75" s="2047"/>
      <c r="E75" s="2041"/>
      <c r="F75" s="2041"/>
      <c r="G75" s="2038"/>
      <c r="H75" s="2041"/>
      <c r="I75" s="2062"/>
      <c r="J75" s="2062"/>
      <c r="K75" s="2064"/>
      <c r="L75" s="2034"/>
    </row>
    <row r="76" spans="1:12" ht="30" customHeight="1" x14ac:dyDescent="0.2">
      <c r="A76" s="2034"/>
      <c r="B76" s="2110"/>
      <c r="C76" s="2140"/>
      <c r="D76" s="2047"/>
      <c r="E76" s="2041"/>
      <c r="F76" s="2041"/>
      <c r="G76" s="2038"/>
      <c r="H76" s="2041"/>
      <c r="I76" s="2062"/>
      <c r="J76" s="2062"/>
      <c r="K76" s="2064"/>
      <c r="L76" s="2034"/>
    </row>
    <row r="77" spans="1:12" ht="30" customHeight="1" x14ac:dyDescent="0.2">
      <c r="A77" s="2034"/>
      <c r="B77" s="2110"/>
      <c r="C77" s="2140"/>
      <c r="D77" s="2047"/>
      <c r="E77" s="2041"/>
      <c r="F77" s="2041"/>
      <c r="G77" s="2038"/>
      <c r="H77" s="2041"/>
      <c r="I77" s="2063"/>
      <c r="J77" s="2063"/>
      <c r="K77" s="2060"/>
      <c r="L77" s="2032"/>
    </row>
    <row r="78" spans="1:12" ht="30" customHeight="1" x14ac:dyDescent="0.2">
      <c r="A78" s="2032"/>
      <c r="B78" s="2075"/>
      <c r="C78" s="2141"/>
      <c r="D78" s="2048"/>
      <c r="E78" s="2042"/>
      <c r="F78" s="2042"/>
      <c r="G78" s="2039"/>
      <c r="H78" s="2042"/>
      <c r="I78" s="16"/>
      <c r="J78" s="16"/>
      <c r="K78" s="92"/>
      <c r="L78" s="318"/>
    </row>
    <row r="79" spans="1:12" ht="30" customHeight="1" x14ac:dyDescent="0.2">
      <c r="A79" s="318">
        <v>56</v>
      </c>
      <c r="B79" s="326" t="s">
        <v>1107</v>
      </c>
      <c r="C79" s="338" t="s">
        <v>700</v>
      </c>
      <c r="D79" s="339" t="s">
        <v>699</v>
      </c>
      <c r="E79" s="323"/>
      <c r="F79" s="323">
        <v>317000000</v>
      </c>
      <c r="G79" s="324">
        <v>7.0000000000000007E-2</v>
      </c>
      <c r="H79" s="323">
        <f>F79*G79</f>
        <v>22190000.000000004</v>
      </c>
      <c r="I79" s="16"/>
      <c r="J79" s="16"/>
      <c r="K79" s="92"/>
      <c r="L79" s="318"/>
    </row>
    <row r="80" spans="1:12" ht="30" customHeight="1" x14ac:dyDescent="0.2">
      <c r="A80" s="4">
        <v>57</v>
      </c>
      <c r="B80" s="3" t="s">
        <v>1094</v>
      </c>
      <c r="C80" s="3"/>
      <c r="D80" s="9"/>
      <c r="E80" s="330"/>
      <c r="F80" s="323">
        <v>11000000</v>
      </c>
      <c r="G80" s="20">
        <v>5.5E-2</v>
      </c>
      <c r="H80" s="323">
        <v>600000</v>
      </c>
      <c r="I80" s="16"/>
      <c r="J80" s="16"/>
      <c r="K80" s="92"/>
      <c r="L80" s="3"/>
    </row>
    <row r="81" spans="1:12" ht="30" customHeight="1" x14ac:dyDescent="0.2">
      <c r="A81" s="318">
        <v>58</v>
      </c>
      <c r="B81" s="3" t="s">
        <v>197</v>
      </c>
      <c r="C81" s="3"/>
      <c r="D81" s="9"/>
      <c r="E81" s="330"/>
      <c r="F81" s="328"/>
      <c r="G81" s="44"/>
      <c r="H81" s="328">
        <f t="shared" si="2"/>
        <v>0</v>
      </c>
      <c r="I81" s="16"/>
      <c r="J81" s="16"/>
      <c r="K81" s="92" t="s">
        <v>1361</v>
      </c>
      <c r="L81" s="3"/>
    </row>
    <row r="82" spans="1:12" ht="30" customHeight="1" x14ac:dyDescent="0.2">
      <c r="A82" s="4">
        <v>59</v>
      </c>
      <c r="B82" s="3" t="s">
        <v>198</v>
      </c>
      <c r="C82" s="3"/>
      <c r="D82" s="9"/>
      <c r="E82" s="330"/>
      <c r="F82" s="328"/>
      <c r="G82" s="44"/>
      <c r="H82" s="328">
        <f t="shared" si="2"/>
        <v>0</v>
      </c>
      <c r="I82" s="16"/>
      <c r="J82" s="16"/>
      <c r="K82" s="92"/>
      <c r="L82" s="3"/>
    </row>
    <row r="83" spans="1:12" ht="30" customHeight="1" x14ac:dyDescent="0.2">
      <c r="A83" s="318">
        <v>60</v>
      </c>
      <c r="B83" s="3" t="s">
        <v>199</v>
      </c>
      <c r="C83" s="3"/>
      <c r="D83" s="9"/>
      <c r="E83" s="330"/>
      <c r="F83" s="323">
        <v>100000000</v>
      </c>
      <c r="G83" s="20">
        <v>7.0000000000000007E-2</v>
      </c>
      <c r="H83" s="323">
        <f t="shared" si="2"/>
        <v>7000000.0000000009</v>
      </c>
      <c r="I83" s="16"/>
      <c r="J83" s="16"/>
      <c r="K83" s="92"/>
      <c r="L83" s="3"/>
    </row>
    <row r="84" spans="1:12" ht="30" customHeight="1" x14ac:dyDescent="0.2">
      <c r="A84" s="4">
        <v>61</v>
      </c>
      <c r="B84" s="3" t="s">
        <v>200</v>
      </c>
      <c r="C84" s="3"/>
      <c r="D84" s="9"/>
      <c r="E84" s="330"/>
      <c r="F84" s="328"/>
      <c r="G84" s="44"/>
      <c r="H84" s="328">
        <f t="shared" si="2"/>
        <v>0</v>
      </c>
      <c r="I84" s="16"/>
      <c r="J84" s="16"/>
      <c r="K84" s="92"/>
      <c r="L84" s="3"/>
    </row>
    <row r="85" spans="1:12" ht="30" customHeight="1" x14ac:dyDescent="0.2">
      <c r="A85" s="2031">
        <v>62</v>
      </c>
      <c r="B85" s="2074" t="s">
        <v>201</v>
      </c>
      <c r="C85" s="2031"/>
      <c r="D85" s="2078"/>
      <c r="E85" s="2040"/>
      <c r="F85" s="2040">
        <v>1250000000</v>
      </c>
      <c r="G85" s="2082"/>
      <c r="H85" s="2040">
        <v>81250000</v>
      </c>
      <c r="I85" s="2061"/>
      <c r="J85" s="2061"/>
      <c r="K85" s="2059" t="s">
        <v>1524</v>
      </c>
      <c r="L85" s="2031"/>
    </row>
    <row r="86" spans="1:12" ht="30" customHeight="1" x14ac:dyDescent="0.2">
      <c r="A86" s="2032"/>
      <c r="B86" s="2075"/>
      <c r="C86" s="2032"/>
      <c r="D86" s="2079"/>
      <c r="E86" s="2042"/>
      <c r="F86" s="2042"/>
      <c r="G86" s="2083"/>
      <c r="H86" s="2042"/>
      <c r="I86" s="2063"/>
      <c r="J86" s="2063"/>
      <c r="K86" s="2060"/>
      <c r="L86" s="2032"/>
    </row>
    <row r="87" spans="1:12" ht="30" customHeight="1" x14ac:dyDescent="0.2">
      <c r="A87" s="4">
        <v>63</v>
      </c>
      <c r="B87" s="3" t="s">
        <v>1408</v>
      </c>
      <c r="C87" s="3"/>
      <c r="D87" s="9"/>
      <c r="E87" s="330"/>
      <c r="F87" s="323">
        <v>200000000</v>
      </c>
      <c r="G87" s="20">
        <v>5.0999999999999997E-2</v>
      </c>
      <c r="H87" s="323">
        <f t="shared" si="2"/>
        <v>10200000</v>
      </c>
      <c r="I87" s="16"/>
      <c r="J87" s="16"/>
      <c r="K87" s="92" t="s">
        <v>1539</v>
      </c>
      <c r="L87" s="3"/>
    </row>
    <row r="88" spans="1:12" ht="30" customHeight="1" x14ac:dyDescent="0.2">
      <c r="A88" s="4">
        <v>64</v>
      </c>
      <c r="B88" s="3" t="s">
        <v>203</v>
      </c>
      <c r="C88" s="3"/>
      <c r="D88" s="9"/>
      <c r="E88" s="330"/>
      <c r="F88" s="323">
        <v>300000000</v>
      </c>
      <c r="G88" s="20">
        <v>0.04</v>
      </c>
      <c r="H88" s="323">
        <f t="shared" si="2"/>
        <v>12000000</v>
      </c>
      <c r="I88" s="16"/>
      <c r="J88" s="16"/>
      <c r="K88" s="92"/>
      <c r="L88" s="3"/>
    </row>
    <row r="89" spans="1:12" ht="30" customHeight="1" x14ac:dyDescent="0.2">
      <c r="A89" s="4">
        <v>65</v>
      </c>
      <c r="B89" s="3" t="s">
        <v>204</v>
      </c>
      <c r="C89" s="3"/>
      <c r="D89" s="9"/>
      <c r="E89" s="330"/>
      <c r="F89" s="328"/>
      <c r="G89" s="44"/>
      <c r="H89" s="328">
        <f t="shared" si="2"/>
        <v>0</v>
      </c>
      <c r="I89" s="16"/>
      <c r="J89" s="16"/>
      <c r="K89" s="92"/>
      <c r="L89" s="3"/>
    </row>
    <row r="90" spans="1:12" ht="30" customHeight="1" x14ac:dyDescent="0.2">
      <c r="A90" s="4">
        <v>66</v>
      </c>
      <c r="B90" s="3" t="s">
        <v>183</v>
      </c>
      <c r="C90" s="3"/>
      <c r="D90" s="9"/>
      <c r="E90" s="330"/>
      <c r="F90" s="328"/>
      <c r="G90" s="44"/>
      <c r="H90" s="328">
        <f t="shared" si="2"/>
        <v>0</v>
      </c>
      <c r="I90" s="16"/>
      <c r="J90" s="16"/>
      <c r="K90" s="92" t="s">
        <v>1888</v>
      </c>
      <c r="L90" s="3"/>
    </row>
    <row r="91" spans="1:12" ht="30" customHeight="1" x14ac:dyDescent="0.2">
      <c r="A91" s="4">
        <v>67</v>
      </c>
      <c r="B91" s="3" t="s">
        <v>205</v>
      </c>
      <c r="C91" s="3"/>
      <c r="D91" s="9"/>
      <c r="E91" s="330"/>
      <c r="F91" s="323">
        <v>150000000</v>
      </c>
      <c r="G91" s="20">
        <v>0.05</v>
      </c>
      <c r="H91" s="323">
        <f t="shared" si="2"/>
        <v>7500000</v>
      </c>
      <c r="I91" s="16"/>
      <c r="J91" s="16"/>
      <c r="K91" s="92"/>
      <c r="L91" s="3"/>
    </row>
    <row r="92" spans="1:12" ht="30" customHeight="1" x14ac:dyDescent="0.2">
      <c r="A92" s="4">
        <v>68</v>
      </c>
      <c r="B92" s="3" t="s">
        <v>206</v>
      </c>
      <c r="C92" s="3"/>
      <c r="D92" s="9"/>
      <c r="E92" s="330"/>
      <c r="F92" s="328"/>
      <c r="G92" s="44"/>
      <c r="H92" s="328">
        <f t="shared" si="2"/>
        <v>0</v>
      </c>
      <c r="I92" s="16"/>
      <c r="J92" s="16"/>
      <c r="K92" s="92" t="s">
        <v>1528</v>
      </c>
      <c r="L92" s="3"/>
    </row>
    <row r="93" spans="1:12" ht="30" customHeight="1" x14ac:dyDescent="0.2">
      <c r="A93" s="4">
        <v>69</v>
      </c>
      <c r="B93" s="3" t="s">
        <v>207</v>
      </c>
      <c r="C93" s="3"/>
      <c r="D93" s="9"/>
      <c r="E93" s="330"/>
      <c r="F93" s="368">
        <v>100000000</v>
      </c>
      <c r="G93" s="20">
        <v>0.04</v>
      </c>
      <c r="H93" s="368">
        <f t="shared" si="2"/>
        <v>4000000</v>
      </c>
      <c r="I93" s="16"/>
      <c r="J93" s="16"/>
      <c r="K93" s="92"/>
      <c r="L93" s="3"/>
    </row>
    <row r="94" spans="1:12" ht="30" customHeight="1" x14ac:dyDescent="0.2">
      <c r="A94" s="4">
        <v>70</v>
      </c>
      <c r="B94" s="3" t="s">
        <v>208</v>
      </c>
      <c r="C94" s="173" t="s">
        <v>971</v>
      </c>
      <c r="D94" s="9"/>
      <c r="E94" s="330"/>
      <c r="F94" s="323">
        <v>20000000</v>
      </c>
      <c r="G94" s="20">
        <v>0.05</v>
      </c>
      <c r="H94" s="323">
        <f t="shared" si="2"/>
        <v>1000000</v>
      </c>
      <c r="I94" s="16"/>
      <c r="J94" s="16"/>
      <c r="K94" s="92"/>
      <c r="L94" s="3"/>
    </row>
    <row r="95" spans="1:12" ht="30" customHeight="1" x14ac:dyDescent="0.2">
      <c r="A95" s="4">
        <v>71</v>
      </c>
      <c r="B95" s="3" t="s">
        <v>1053</v>
      </c>
      <c r="C95" s="3"/>
      <c r="D95" s="9"/>
      <c r="E95" s="330"/>
      <c r="F95" s="328">
        <v>1000000000</v>
      </c>
      <c r="G95" s="44">
        <v>5.5E-2</v>
      </c>
      <c r="H95" s="328">
        <f t="shared" si="2"/>
        <v>55000000</v>
      </c>
      <c r="I95" s="16"/>
      <c r="J95" s="16"/>
      <c r="K95" s="92"/>
      <c r="L95" s="3"/>
    </row>
    <row r="96" spans="1:12" ht="30" customHeight="1" x14ac:dyDescent="0.2">
      <c r="A96" s="4">
        <v>72</v>
      </c>
      <c r="B96" s="3" t="s">
        <v>209</v>
      </c>
      <c r="C96" s="173" t="s">
        <v>688</v>
      </c>
      <c r="D96" s="9"/>
      <c r="E96" s="330"/>
      <c r="F96" s="323">
        <v>20000000</v>
      </c>
      <c r="G96" s="20">
        <v>0.05</v>
      </c>
      <c r="H96" s="323">
        <f t="shared" si="2"/>
        <v>1000000</v>
      </c>
      <c r="I96" s="16"/>
      <c r="J96" s="16"/>
      <c r="K96" s="92"/>
      <c r="L96" s="3"/>
    </row>
    <row r="97" spans="1:12" ht="30" customHeight="1" x14ac:dyDescent="0.2">
      <c r="A97" s="4">
        <v>74</v>
      </c>
      <c r="B97" s="3" t="s">
        <v>210</v>
      </c>
      <c r="C97" s="3"/>
      <c r="D97" s="9"/>
      <c r="E97" s="330"/>
      <c r="F97" s="323">
        <v>125000000</v>
      </c>
      <c r="G97" s="20">
        <v>0.04</v>
      </c>
      <c r="H97" s="323">
        <f t="shared" si="2"/>
        <v>5000000</v>
      </c>
      <c r="I97" s="16"/>
      <c r="J97" s="16"/>
      <c r="K97" s="92"/>
      <c r="L97" s="3"/>
    </row>
    <row r="98" spans="1:12" ht="30" customHeight="1" x14ac:dyDescent="0.2">
      <c r="A98" s="4">
        <v>76</v>
      </c>
      <c r="B98" s="3" t="s">
        <v>211</v>
      </c>
      <c r="C98" s="3"/>
      <c r="D98" s="9"/>
      <c r="E98" s="330"/>
      <c r="F98" s="323">
        <v>50000000</v>
      </c>
      <c r="G98" s="20">
        <v>0.05</v>
      </c>
      <c r="H98" s="323">
        <f t="shared" si="2"/>
        <v>2500000</v>
      </c>
      <c r="I98" s="16"/>
      <c r="J98" s="16"/>
      <c r="K98" s="92"/>
      <c r="L98" s="3"/>
    </row>
    <row r="99" spans="1:12" ht="30" customHeight="1" x14ac:dyDescent="0.2">
      <c r="A99" s="4">
        <v>77</v>
      </c>
      <c r="B99" s="3" t="s">
        <v>212</v>
      </c>
      <c r="C99" s="3"/>
      <c r="D99" s="9"/>
      <c r="E99" s="330"/>
      <c r="F99" s="323">
        <v>100000000</v>
      </c>
      <c r="G99" s="20">
        <v>0.05</v>
      </c>
      <c r="H99" s="323">
        <f t="shared" si="2"/>
        <v>5000000</v>
      </c>
      <c r="I99" s="16"/>
      <c r="J99" s="16"/>
      <c r="K99" s="92"/>
      <c r="L99" s="3"/>
    </row>
    <row r="100" spans="1:12" ht="30" customHeight="1" x14ac:dyDescent="0.2">
      <c r="A100" s="2031">
        <v>78</v>
      </c>
      <c r="B100" s="2074" t="s">
        <v>213</v>
      </c>
      <c r="C100" s="2031"/>
      <c r="D100" s="2078"/>
      <c r="E100" s="2040"/>
      <c r="F100" s="323">
        <v>30000000</v>
      </c>
      <c r="G100" s="20">
        <v>7.0000000000000007E-2</v>
      </c>
      <c r="H100" s="328">
        <f t="shared" si="2"/>
        <v>2100000</v>
      </c>
      <c r="I100" s="16"/>
      <c r="J100" s="16"/>
      <c r="K100" s="2059" t="s">
        <v>1776</v>
      </c>
      <c r="L100" s="2031"/>
    </row>
    <row r="101" spans="1:12" ht="30" customHeight="1" x14ac:dyDescent="0.2">
      <c r="A101" s="2032"/>
      <c r="B101" s="2075"/>
      <c r="C101" s="2032"/>
      <c r="D101" s="2079"/>
      <c r="E101" s="2042"/>
      <c r="F101" s="323">
        <v>35000000</v>
      </c>
      <c r="G101" s="20">
        <v>4.4999999999999998E-2</v>
      </c>
      <c r="H101" s="323">
        <f t="shared" si="2"/>
        <v>1575000</v>
      </c>
      <c r="I101" s="16"/>
      <c r="J101" s="16"/>
      <c r="K101" s="2060"/>
      <c r="L101" s="2032"/>
    </row>
    <row r="102" spans="1:12" ht="30" customHeight="1" x14ac:dyDescent="0.2">
      <c r="A102" s="4">
        <v>79</v>
      </c>
      <c r="B102" s="3" t="s">
        <v>214</v>
      </c>
      <c r="C102" s="3"/>
      <c r="D102" s="9"/>
      <c r="E102" s="330"/>
      <c r="F102" s="328"/>
      <c r="G102" s="44"/>
      <c r="H102" s="328">
        <f t="shared" si="2"/>
        <v>0</v>
      </c>
      <c r="I102" s="16"/>
      <c r="J102" s="16"/>
      <c r="K102" s="92"/>
      <c r="L102" s="3"/>
    </row>
    <row r="103" spans="1:12" ht="30" customHeight="1" x14ac:dyDescent="0.2">
      <c r="A103" s="4">
        <v>80</v>
      </c>
      <c r="B103" s="3" t="s">
        <v>215</v>
      </c>
      <c r="C103" s="3"/>
      <c r="D103" s="9"/>
      <c r="E103" s="330"/>
      <c r="F103" s="323">
        <v>15000000</v>
      </c>
      <c r="G103" s="20">
        <v>4.4999999999999998E-2</v>
      </c>
      <c r="H103" s="323">
        <f t="shared" si="2"/>
        <v>675000</v>
      </c>
      <c r="I103" s="16"/>
      <c r="J103" s="16"/>
      <c r="K103" s="92" t="s">
        <v>1540</v>
      </c>
      <c r="L103" s="3"/>
    </row>
    <row r="104" spans="1:12" ht="30" customHeight="1" x14ac:dyDescent="0.2">
      <c r="A104" s="4">
        <v>81</v>
      </c>
      <c r="B104" s="3" t="s">
        <v>185</v>
      </c>
      <c r="C104" s="3"/>
      <c r="D104" s="9"/>
      <c r="E104" s="330"/>
      <c r="F104" s="328"/>
      <c r="G104" s="44"/>
      <c r="H104" s="328">
        <f t="shared" si="2"/>
        <v>0</v>
      </c>
      <c r="I104" s="16"/>
      <c r="J104" s="16"/>
      <c r="K104" s="92" t="s">
        <v>1545</v>
      </c>
      <c r="L104" s="3"/>
    </row>
    <row r="105" spans="1:12" ht="30" customHeight="1" x14ac:dyDescent="0.2">
      <c r="A105" s="4">
        <v>82</v>
      </c>
      <c r="B105" s="3" t="s">
        <v>216</v>
      </c>
      <c r="C105" s="3"/>
      <c r="D105" s="9"/>
      <c r="E105" s="330"/>
      <c r="F105" s="328"/>
      <c r="G105" s="44"/>
      <c r="H105" s="328">
        <f t="shared" si="2"/>
        <v>0</v>
      </c>
      <c r="I105" s="16"/>
      <c r="J105" s="16"/>
      <c r="K105" s="92"/>
      <c r="L105" s="3"/>
    </row>
    <row r="106" spans="1:12" ht="30" customHeight="1" x14ac:dyDescent="0.2">
      <c r="A106" s="4">
        <v>83</v>
      </c>
      <c r="B106" s="3" t="s">
        <v>217</v>
      </c>
      <c r="C106" s="3"/>
      <c r="D106" s="9"/>
      <c r="E106" s="330"/>
      <c r="F106" s="323">
        <v>16000000</v>
      </c>
      <c r="G106" s="20">
        <v>0.05</v>
      </c>
      <c r="H106" s="323">
        <f t="shared" si="2"/>
        <v>800000</v>
      </c>
      <c r="I106" s="16"/>
      <c r="J106" s="16"/>
      <c r="K106" s="92"/>
      <c r="L106" s="3"/>
    </row>
    <row r="107" spans="1:12" ht="30" customHeight="1" x14ac:dyDescent="0.2">
      <c r="A107" s="4">
        <v>84</v>
      </c>
      <c r="B107" s="3" t="s">
        <v>218</v>
      </c>
      <c r="C107" s="3"/>
      <c r="D107" s="9"/>
      <c r="E107" s="330"/>
      <c r="F107" s="323">
        <v>200000000</v>
      </c>
      <c r="G107" s="20">
        <v>0.05</v>
      </c>
      <c r="H107" s="323">
        <f t="shared" si="2"/>
        <v>10000000</v>
      </c>
      <c r="I107" s="16"/>
      <c r="J107" s="16"/>
      <c r="K107" s="92" t="s">
        <v>1535</v>
      </c>
      <c r="L107" s="3"/>
    </row>
    <row r="108" spans="1:12" ht="30" customHeight="1" x14ac:dyDescent="0.2">
      <c r="A108" s="4">
        <v>85</v>
      </c>
      <c r="B108" s="3" t="s">
        <v>219</v>
      </c>
      <c r="C108" s="3"/>
      <c r="D108" s="9"/>
      <c r="E108" s="330"/>
      <c r="F108" s="328"/>
      <c r="G108" s="44"/>
      <c r="H108" s="328">
        <f t="shared" si="2"/>
        <v>0</v>
      </c>
      <c r="I108" s="16"/>
      <c r="J108" s="16"/>
      <c r="K108" s="92"/>
      <c r="L108" s="3"/>
    </row>
    <row r="109" spans="1:12" ht="30" customHeight="1" x14ac:dyDescent="0.2">
      <c r="A109" s="2031">
        <v>86</v>
      </c>
      <c r="B109" s="2074" t="s">
        <v>1004</v>
      </c>
      <c r="C109" s="2031"/>
      <c r="D109" s="2078"/>
      <c r="E109" s="2040"/>
      <c r="F109" s="323">
        <v>200000000</v>
      </c>
      <c r="G109" s="20">
        <v>0.06</v>
      </c>
      <c r="H109" s="323">
        <f t="shared" si="2"/>
        <v>12000000</v>
      </c>
      <c r="I109" s="16"/>
      <c r="J109" s="16"/>
      <c r="K109" s="2059" t="s">
        <v>1529</v>
      </c>
      <c r="L109" s="2088" t="s">
        <v>79</v>
      </c>
    </row>
    <row r="110" spans="1:12" ht="30" customHeight="1" x14ac:dyDescent="0.2">
      <c r="A110" s="2034"/>
      <c r="B110" s="2110"/>
      <c r="C110" s="2034"/>
      <c r="D110" s="2111"/>
      <c r="E110" s="2041"/>
      <c r="F110" s="323">
        <v>458000000</v>
      </c>
      <c r="G110" s="20">
        <v>0.05</v>
      </c>
      <c r="H110" s="323">
        <f t="shared" si="2"/>
        <v>22900000</v>
      </c>
      <c r="I110" s="16"/>
      <c r="J110" s="16"/>
      <c r="K110" s="2064"/>
      <c r="L110" s="2132"/>
    </row>
    <row r="111" spans="1:12" ht="30" customHeight="1" x14ac:dyDescent="0.2">
      <c r="A111" s="2032"/>
      <c r="B111" s="2075"/>
      <c r="C111" s="2032"/>
      <c r="D111" s="2079"/>
      <c r="E111" s="2042"/>
      <c r="F111" s="323">
        <v>10000000</v>
      </c>
      <c r="G111" s="20">
        <v>7.0000000000000007E-2</v>
      </c>
      <c r="H111" s="323">
        <f t="shared" si="2"/>
        <v>700000.00000000012</v>
      </c>
      <c r="I111" s="16"/>
      <c r="J111" s="16"/>
      <c r="K111" s="2060"/>
      <c r="L111" s="2089"/>
    </row>
    <row r="112" spans="1:12" ht="30" customHeight="1" x14ac:dyDescent="0.2">
      <c r="A112" s="4">
        <v>87</v>
      </c>
      <c r="B112" s="3" t="s">
        <v>220</v>
      </c>
      <c r="C112" s="3"/>
      <c r="D112" s="9"/>
      <c r="E112" s="330"/>
      <c r="F112" s="328"/>
      <c r="G112" s="44"/>
      <c r="H112" s="328">
        <f t="shared" si="2"/>
        <v>0</v>
      </c>
      <c r="I112" s="16"/>
      <c r="J112" s="16"/>
      <c r="K112" s="92"/>
      <c r="L112" s="3"/>
    </row>
    <row r="113" spans="1:12" ht="30" customHeight="1" x14ac:dyDescent="0.2">
      <c r="A113" s="2031">
        <v>88</v>
      </c>
      <c r="B113" s="2074" t="s">
        <v>177</v>
      </c>
      <c r="C113" s="2031"/>
      <c r="D113" s="2078"/>
      <c r="E113" s="2040"/>
      <c r="F113" s="2040">
        <v>500000000</v>
      </c>
      <c r="G113" s="2037">
        <v>6.4000000000000001E-2</v>
      </c>
      <c r="H113" s="2040">
        <v>31800000</v>
      </c>
      <c r="I113" s="2061"/>
      <c r="J113" s="2061"/>
      <c r="K113" s="2059" t="s">
        <v>1536</v>
      </c>
      <c r="L113" s="2149"/>
    </row>
    <row r="114" spans="1:12" ht="30" customHeight="1" x14ac:dyDescent="0.2">
      <c r="A114" s="2032"/>
      <c r="B114" s="2075"/>
      <c r="C114" s="2032"/>
      <c r="D114" s="2079"/>
      <c r="E114" s="2042"/>
      <c r="F114" s="2042"/>
      <c r="G114" s="2039"/>
      <c r="H114" s="2042"/>
      <c r="I114" s="2063"/>
      <c r="J114" s="2063"/>
      <c r="K114" s="2060"/>
      <c r="L114" s="2150"/>
    </row>
    <row r="115" spans="1:12" ht="30" customHeight="1" x14ac:dyDescent="0.2">
      <c r="A115" s="4">
        <v>89</v>
      </c>
      <c r="B115" s="3" t="s">
        <v>221</v>
      </c>
      <c r="C115" s="4" t="s">
        <v>523</v>
      </c>
      <c r="D115" s="126" t="s">
        <v>822</v>
      </c>
      <c r="E115" s="330"/>
      <c r="F115" s="323">
        <v>45000000</v>
      </c>
      <c r="G115" s="20">
        <v>0.04</v>
      </c>
      <c r="H115" s="323">
        <v>2050000</v>
      </c>
      <c r="I115" s="16"/>
      <c r="J115" s="16"/>
      <c r="K115" s="92"/>
      <c r="L115" s="3"/>
    </row>
    <row r="116" spans="1:12" ht="30" customHeight="1" x14ac:dyDescent="0.2">
      <c r="A116" s="2031">
        <v>90</v>
      </c>
      <c r="B116" s="2074" t="s">
        <v>222</v>
      </c>
      <c r="C116" s="2031"/>
      <c r="D116" s="2078"/>
      <c r="E116" s="2040"/>
      <c r="F116" s="330">
        <v>93000000</v>
      </c>
      <c r="G116" s="20">
        <v>7.0000000000000007E-2</v>
      </c>
      <c r="H116" s="330">
        <v>6500000</v>
      </c>
      <c r="I116" s="16"/>
      <c r="J116" s="16"/>
      <c r="K116" s="2059" t="s">
        <v>1537</v>
      </c>
      <c r="L116" s="3"/>
    </row>
    <row r="117" spans="1:12" ht="30" customHeight="1" x14ac:dyDescent="0.2">
      <c r="A117" s="2032"/>
      <c r="B117" s="2075"/>
      <c r="C117" s="2032"/>
      <c r="D117" s="2079"/>
      <c r="E117" s="2042"/>
      <c r="F117" s="323">
        <v>257000000</v>
      </c>
      <c r="G117" s="20">
        <v>0.06</v>
      </c>
      <c r="H117" s="330">
        <v>16000000</v>
      </c>
      <c r="I117" s="16"/>
      <c r="J117" s="16"/>
      <c r="K117" s="2060"/>
      <c r="L117" s="3"/>
    </row>
    <row r="118" spans="1:12" ht="30" customHeight="1" x14ac:dyDescent="0.2">
      <c r="A118" s="2031">
        <v>91</v>
      </c>
      <c r="B118" s="2074" t="s">
        <v>223</v>
      </c>
      <c r="C118" s="2031"/>
      <c r="D118" s="2078"/>
      <c r="E118" s="2040"/>
      <c r="F118" s="323">
        <v>130000000</v>
      </c>
      <c r="G118" s="20">
        <v>7.0000000000000007E-2</v>
      </c>
      <c r="H118" s="323">
        <f>F118*G118</f>
        <v>9100000</v>
      </c>
      <c r="I118" s="2061"/>
      <c r="J118" s="2061"/>
      <c r="K118" s="2059" t="s">
        <v>823</v>
      </c>
      <c r="L118" s="2031"/>
    </row>
    <row r="119" spans="1:12" ht="30" customHeight="1" x14ac:dyDescent="0.2">
      <c r="A119" s="2032"/>
      <c r="B119" s="2075"/>
      <c r="C119" s="2032"/>
      <c r="D119" s="2079"/>
      <c r="E119" s="2042"/>
      <c r="F119" s="323">
        <v>100000000</v>
      </c>
      <c r="G119" s="20">
        <v>5.3999999999999999E-2</v>
      </c>
      <c r="H119" s="323">
        <v>5360000</v>
      </c>
      <c r="I119" s="2063"/>
      <c r="J119" s="2063"/>
      <c r="K119" s="2060"/>
      <c r="L119" s="2032"/>
    </row>
    <row r="120" spans="1:12" ht="30" customHeight="1" x14ac:dyDescent="0.2">
      <c r="A120" s="4">
        <v>92</v>
      </c>
      <c r="B120" s="3" t="s">
        <v>224</v>
      </c>
      <c r="C120" s="3"/>
      <c r="D120" s="9"/>
      <c r="E120" s="330"/>
      <c r="F120" s="323">
        <v>50000000</v>
      </c>
      <c r="G120" s="20">
        <v>0.04</v>
      </c>
      <c r="H120" s="323">
        <f t="shared" si="2"/>
        <v>2000000</v>
      </c>
      <c r="I120" s="16"/>
      <c r="J120" s="16"/>
      <c r="K120" s="92"/>
      <c r="L120" s="3"/>
    </row>
    <row r="121" spans="1:12" ht="30" customHeight="1" x14ac:dyDescent="0.2">
      <c r="A121" s="2031">
        <v>93</v>
      </c>
      <c r="B121" s="2074" t="s">
        <v>770</v>
      </c>
      <c r="C121" s="2031"/>
      <c r="D121" s="2078"/>
      <c r="E121" s="2040"/>
      <c r="F121" s="2080"/>
      <c r="G121" s="2082"/>
      <c r="H121" s="2080">
        <f t="shared" si="2"/>
        <v>0</v>
      </c>
      <c r="I121" s="16"/>
      <c r="J121" s="16"/>
      <c r="K121" s="92" t="s">
        <v>772</v>
      </c>
      <c r="L121" s="3"/>
    </row>
    <row r="122" spans="1:12" ht="30" customHeight="1" x14ac:dyDescent="0.2">
      <c r="A122" s="2032"/>
      <c r="B122" s="2075"/>
      <c r="C122" s="2032"/>
      <c r="D122" s="2079"/>
      <c r="E122" s="2042"/>
      <c r="F122" s="2081"/>
      <c r="G122" s="2083"/>
      <c r="H122" s="2081"/>
      <c r="I122" s="16"/>
      <c r="J122" s="16"/>
      <c r="K122" s="92"/>
      <c r="L122" s="3"/>
    </row>
    <row r="123" spans="1:12" ht="30" customHeight="1" x14ac:dyDescent="0.2">
      <c r="A123" s="2031">
        <v>94</v>
      </c>
      <c r="B123" s="2074" t="s">
        <v>225</v>
      </c>
      <c r="C123" s="2031"/>
      <c r="D123" s="2078"/>
      <c r="E123" s="2040"/>
      <c r="F123" s="323">
        <v>300000000</v>
      </c>
      <c r="G123" s="20">
        <v>5.5E-2</v>
      </c>
      <c r="H123" s="323">
        <f t="shared" si="2"/>
        <v>16500000</v>
      </c>
      <c r="I123" s="16"/>
      <c r="J123" s="16"/>
      <c r="K123" s="92"/>
      <c r="L123" s="3"/>
    </row>
    <row r="124" spans="1:12" ht="30" customHeight="1" x14ac:dyDescent="0.2">
      <c r="A124" s="2032"/>
      <c r="B124" s="2075"/>
      <c r="C124" s="2032"/>
      <c r="D124" s="2079"/>
      <c r="E124" s="2042"/>
      <c r="F124" s="311">
        <v>300000000</v>
      </c>
      <c r="G124" s="312">
        <v>5.5E-2</v>
      </c>
      <c r="H124" s="311">
        <v>16500000</v>
      </c>
      <c r="I124" s="16"/>
      <c r="J124" s="16"/>
      <c r="K124" s="92"/>
      <c r="L124" s="3"/>
    </row>
    <row r="125" spans="1:12" ht="30" customHeight="1" x14ac:dyDescent="0.2">
      <c r="A125" s="4">
        <v>95</v>
      </c>
      <c r="B125" s="3" t="s">
        <v>1182</v>
      </c>
      <c r="C125" s="3"/>
      <c r="D125" s="9"/>
      <c r="E125" s="330"/>
      <c r="F125" s="323">
        <v>25000000</v>
      </c>
      <c r="G125" s="44"/>
      <c r="H125" s="328"/>
      <c r="I125" s="16"/>
      <c r="J125" s="16"/>
      <c r="K125" s="92"/>
      <c r="L125" s="3"/>
    </row>
    <row r="126" spans="1:12" ht="30" customHeight="1" x14ac:dyDescent="0.2">
      <c r="A126" s="4">
        <v>96</v>
      </c>
      <c r="B126" s="340" t="s">
        <v>226</v>
      </c>
      <c r="C126" s="340"/>
      <c r="D126" s="341"/>
      <c r="E126" s="342"/>
      <c r="F126" s="343">
        <v>100000000</v>
      </c>
      <c r="G126" s="344">
        <v>0.05</v>
      </c>
      <c r="H126" s="343">
        <f t="shared" si="2"/>
        <v>5000000</v>
      </c>
      <c r="I126" s="16"/>
      <c r="J126" s="16"/>
      <c r="K126" s="92" t="s">
        <v>1365</v>
      </c>
      <c r="L126" s="3"/>
    </row>
    <row r="127" spans="1:12" ht="30" customHeight="1" x14ac:dyDescent="0.2">
      <c r="A127" s="4">
        <v>97</v>
      </c>
      <c r="B127" s="3" t="s">
        <v>227</v>
      </c>
      <c r="C127" s="3"/>
      <c r="D127" s="9"/>
      <c r="E127" s="330"/>
      <c r="F127" s="323">
        <v>70000000</v>
      </c>
      <c r="G127" s="20">
        <v>0.05</v>
      </c>
      <c r="H127" s="323">
        <f t="shared" si="2"/>
        <v>3500000</v>
      </c>
      <c r="I127" s="16"/>
      <c r="J127" s="16"/>
      <c r="K127" s="92"/>
      <c r="L127" s="3"/>
    </row>
    <row r="128" spans="1:12" ht="30" customHeight="1" x14ac:dyDescent="0.2">
      <c r="A128" s="4">
        <v>98</v>
      </c>
      <c r="B128" s="3" t="s">
        <v>228</v>
      </c>
      <c r="C128" s="3"/>
      <c r="D128" s="9"/>
      <c r="E128" s="330"/>
      <c r="F128" s="323">
        <v>100000000</v>
      </c>
      <c r="G128" s="20">
        <v>0.04</v>
      </c>
      <c r="H128" s="323">
        <f t="shared" si="2"/>
        <v>4000000</v>
      </c>
      <c r="I128" s="16"/>
      <c r="J128" s="16"/>
      <c r="K128" s="92"/>
      <c r="L128" s="3"/>
    </row>
    <row r="129" spans="1:12" ht="30" customHeight="1" x14ac:dyDescent="0.2">
      <c r="A129" s="4">
        <v>99</v>
      </c>
      <c r="B129" s="3" t="s">
        <v>229</v>
      </c>
      <c r="C129" s="3"/>
      <c r="D129" s="9"/>
      <c r="E129" s="330"/>
      <c r="F129" s="323">
        <v>20000000</v>
      </c>
      <c r="G129" s="20">
        <v>0.05</v>
      </c>
      <c r="H129" s="323">
        <f t="shared" si="2"/>
        <v>1000000</v>
      </c>
      <c r="I129" s="16"/>
      <c r="J129" s="16"/>
      <c r="K129" s="92"/>
      <c r="L129" s="3"/>
    </row>
    <row r="130" spans="1:12" ht="30" customHeight="1" x14ac:dyDescent="0.2">
      <c r="A130" s="4">
        <v>100</v>
      </c>
      <c r="B130" s="3" t="s">
        <v>230</v>
      </c>
      <c r="C130" s="52" t="s">
        <v>1318</v>
      </c>
      <c r="D130" s="9"/>
      <c r="E130" s="330"/>
      <c r="F130" s="323">
        <v>100000000</v>
      </c>
      <c r="G130" s="20">
        <v>0.04</v>
      </c>
      <c r="H130" s="323">
        <f t="shared" si="2"/>
        <v>4000000</v>
      </c>
      <c r="I130" s="16"/>
      <c r="J130" s="16"/>
      <c r="K130" s="92"/>
      <c r="L130" s="3"/>
    </row>
    <row r="131" spans="1:12" ht="30" customHeight="1" x14ac:dyDescent="0.2">
      <c r="A131" s="4">
        <v>101</v>
      </c>
      <c r="B131" s="3" t="s">
        <v>231</v>
      </c>
      <c r="C131" s="3"/>
      <c r="D131" s="9"/>
      <c r="E131" s="330"/>
      <c r="F131" s="328"/>
      <c r="G131" s="44"/>
      <c r="H131" s="328">
        <f t="shared" si="2"/>
        <v>0</v>
      </c>
      <c r="I131" s="16"/>
      <c r="J131" s="16"/>
      <c r="K131" s="92"/>
      <c r="L131" s="3"/>
    </row>
    <row r="132" spans="1:12" ht="30" customHeight="1" x14ac:dyDescent="0.2">
      <c r="A132" s="4">
        <v>102</v>
      </c>
      <c r="B132" s="3" t="s">
        <v>180</v>
      </c>
      <c r="C132" s="3"/>
      <c r="D132" s="9"/>
      <c r="E132" s="330"/>
      <c r="F132" s="323">
        <v>70000000</v>
      </c>
      <c r="G132" s="20">
        <v>0.05</v>
      </c>
      <c r="H132" s="323">
        <f t="shared" si="2"/>
        <v>3500000</v>
      </c>
      <c r="I132" s="16"/>
      <c r="J132" s="16"/>
      <c r="K132" s="92"/>
      <c r="L132" s="3"/>
    </row>
    <row r="133" spans="1:12" ht="30" customHeight="1" x14ac:dyDescent="0.2">
      <c r="A133" s="2031">
        <v>103</v>
      </c>
      <c r="B133" s="2074" t="s">
        <v>232</v>
      </c>
      <c r="C133" s="2031"/>
      <c r="D133" s="2078"/>
      <c r="E133" s="2040"/>
      <c r="F133" s="323">
        <v>30000000</v>
      </c>
      <c r="G133" s="20">
        <v>0.05</v>
      </c>
      <c r="H133" s="323">
        <f t="shared" si="2"/>
        <v>1500000</v>
      </c>
      <c r="I133" s="16"/>
      <c r="J133" s="16"/>
      <c r="K133" s="92"/>
      <c r="L133" s="3"/>
    </row>
    <row r="134" spans="1:12" ht="30" customHeight="1" x14ac:dyDescent="0.2">
      <c r="A134" s="2032"/>
      <c r="B134" s="2075"/>
      <c r="C134" s="2032"/>
      <c r="D134" s="2079"/>
      <c r="E134" s="2042"/>
      <c r="F134" s="323">
        <v>30000000</v>
      </c>
      <c r="G134" s="20">
        <v>4.4999999999999998E-2</v>
      </c>
      <c r="H134" s="323">
        <f t="shared" si="2"/>
        <v>1350000</v>
      </c>
      <c r="I134" s="16"/>
      <c r="J134" s="16"/>
      <c r="K134" s="92"/>
      <c r="L134" s="3"/>
    </row>
    <row r="135" spans="1:12" ht="30" customHeight="1" x14ac:dyDescent="0.2">
      <c r="A135" s="4">
        <v>104</v>
      </c>
      <c r="B135" s="3" t="s">
        <v>233</v>
      </c>
      <c r="C135" s="52" t="s">
        <v>1215</v>
      </c>
      <c r="D135" s="9"/>
      <c r="E135" s="330"/>
      <c r="F135" s="323">
        <v>17000000</v>
      </c>
      <c r="G135" s="20">
        <v>5.5E-2</v>
      </c>
      <c r="H135" s="323">
        <v>950000</v>
      </c>
      <c r="I135" s="16"/>
      <c r="J135" s="16"/>
      <c r="K135" s="92" t="s">
        <v>1193</v>
      </c>
      <c r="L135" s="3"/>
    </row>
    <row r="136" spans="1:12" ht="30" customHeight="1" x14ac:dyDescent="0.2">
      <c r="A136" s="4">
        <v>105</v>
      </c>
      <c r="B136" s="3" t="s">
        <v>234</v>
      </c>
      <c r="C136" s="3"/>
      <c r="D136" s="9"/>
      <c r="E136" s="330"/>
      <c r="F136" s="323">
        <v>20000000</v>
      </c>
      <c r="G136" s="20">
        <v>0.05</v>
      </c>
      <c r="H136" s="323">
        <f t="shared" si="2"/>
        <v>1000000</v>
      </c>
      <c r="I136" s="16"/>
      <c r="J136" s="16"/>
      <c r="K136" s="92"/>
      <c r="L136" s="3"/>
    </row>
    <row r="137" spans="1:12" ht="30" customHeight="1" x14ac:dyDescent="0.2">
      <c r="A137" s="4">
        <v>106</v>
      </c>
      <c r="B137" s="3" t="s">
        <v>235</v>
      </c>
      <c r="C137" s="3"/>
      <c r="D137" s="9"/>
      <c r="E137" s="330"/>
      <c r="F137" s="328"/>
      <c r="G137" s="44"/>
      <c r="H137" s="328">
        <f t="shared" ref="H137:H202" si="3">F137*G137</f>
        <v>0</v>
      </c>
      <c r="I137" s="16"/>
      <c r="J137" s="16"/>
      <c r="K137" s="92"/>
      <c r="L137" s="3"/>
    </row>
    <row r="138" spans="1:12" ht="30" customHeight="1" x14ac:dyDescent="0.2">
      <c r="A138" s="4">
        <v>107</v>
      </c>
      <c r="B138" s="3" t="s">
        <v>236</v>
      </c>
      <c r="C138" s="3"/>
      <c r="D138" s="9"/>
      <c r="E138" s="330"/>
      <c r="F138" s="323">
        <v>100000000</v>
      </c>
      <c r="G138" s="20">
        <v>0.04</v>
      </c>
      <c r="H138" s="323">
        <f t="shared" si="3"/>
        <v>4000000</v>
      </c>
      <c r="I138" s="16"/>
      <c r="J138" s="16"/>
      <c r="K138" s="92"/>
      <c r="L138" s="3"/>
    </row>
    <row r="139" spans="1:12" ht="30" customHeight="1" x14ac:dyDescent="0.2">
      <c r="A139" s="4">
        <v>108</v>
      </c>
      <c r="B139" s="3" t="s">
        <v>237</v>
      </c>
      <c r="C139" s="3"/>
      <c r="D139" s="9"/>
      <c r="E139" s="330"/>
      <c r="F139" s="323">
        <v>65000000</v>
      </c>
      <c r="G139" s="20">
        <v>3.4000000000000002E-2</v>
      </c>
      <c r="H139" s="323">
        <v>2200000</v>
      </c>
      <c r="I139" s="16"/>
      <c r="J139" s="16"/>
      <c r="K139" s="92"/>
      <c r="L139" s="3"/>
    </row>
    <row r="140" spans="1:12" ht="30" customHeight="1" x14ac:dyDescent="0.2">
      <c r="A140" s="4">
        <v>109</v>
      </c>
      <c r="B140" s="3" t="s">
        <v>238</v>
      </c>
      <c r="C140" s="3"/>
      <c r="D140" s="9"/>
      <c r="E140" s="330"/>
      <c r="F140" s="328"/>
      <c r="G140" s="44"/>
      <c r="H140" s="328">
        <f t="shared" si="3"/>
        <v>0</v>
      </c>
      <c r="I140" s="16"/>
      <c r="J140" s="16"/>
      <c r="K140" s="92" t="s">
        <v>1857</v>
      </c>
      <c r="L140" s="3"/>
    </row>
    <row r="141" spans="1:12" ht="30" customHeight="1" x14ac:dyDescent="0.2">
      <c r="A141" s="4">
        <v>110</v>
      </c>
      <c r="B141" s="3" t="s">
        <v>239</v>
      </c>
      <c r="C141" s="3"/>
      <c r="D141" s="9"/>
      <c r="E141" s="330"/>
      <c r="F141" s="323">
        <v>1000000000</v>
      </c>
      <c r="G141" s="20">
        <v>0.05</v>
      </c>
      <c r="H141" s="323">
        <f t="shared" si="3"/>
        <v>50000000</v>
      </c>
      <c r="I141" s="16"/>
      <c r="J141" s="16"/>
      <c r="K141" s="92"/>
      <c r="L141" s="3"/>
    </row>
    <row r="142" spans="1:12" ht="30" customHeight="1" x14ac:dyDescent="0.2">
      <c r="A142" s="2031">
        <v>111</v>
      </c>
      <c r="B142" s="2088" t="s">
        <v>240</v>
      </c>
      <c r="C142" s="2119" t="s">
        <v>493</v>
      </c>
      <c r="D142" s="2078"/>
      <c r="E142" s="2040"/>
      <c r="F142" s="323">
        <v>14000000</v>
      </c>
      <c r="G142" s="20">
        <v>4.2999999999999997E-2</v>
      </c>
      <c r="H142" s="323">
        <v>600000</v>
      </c>
      <c r="I142" s="16"/>
      <c r="J142" s="16"/>
      <c r="K142" s="92"/>
      <c r="L142" s="3"/>
    </row>
    <row r="143" spans="1:12" ht="30" customHeight="1" x14ac:dyDescent="0.2">
      <c r="A143" s="2032"/>
      <c r="B143" s="2089"/>
      <c r="C143" s="2120"/>
      <c r="D143" s="2079"/>
      <c r="E143" s="2042"/>
      <c r="F143" s="323">
        <v>20000000</v>
      </c>
      <c r="G143" s="20">
        <v>4.4999999999999998E-2</v>
      </c>
      <c r="H143" s="323">
        <f>F143*G143</f>
        <v>900000</v>
      </c>
      <c r="I143" s="16"/>
      <c r="J143" s="16"/>
      <c r="K143" s="92"/>
      <c r="L143" s="3"/>
    </row>
    <row r="144" spans="1:12" ht="30" customHeight="1" x14ac:dyDescent="0.2">
      <c r="A144" s="4">
        <v>112</v>
      </c>
      <c r="B144" s="3" t="s">
        <v>241</v>
      </c>
      <c r="C144" s="3"/>
      <c r="D144" s="9"/>
      <c r="E144" s="330"/>
      <c r="F144" s="323">
        <v>40000000</v>
      </c>
      <c r="G144" s="20">
        <v>0.05</v>
      </c>
      <c r="H144" s="323">
        <f t="shared" si="3"/>
        <v>2000000</v>
      </c>
      <c r="I144" s="16"/>
      <c r="J144" s="16"/>
      <c r="K144" s="92"/>
      <c r="L144" s="3"/>
    </row>
    <row r="145" spans="1:12" ht="30" customHeight="1" x14ac:dyDescent="0.2">
      <c r="A145" s="4">
        <v>113</v>
      </c>
      <c r="B145" s="3" t="s">
        <v>242</v>
      </c>
      <c r="C145" s="3"/>
      <c r="D145" s="9"/>
      <c r="E145" s="330"/>
      <c r="F145" s="323">
        <v>252000000</v>
      </c>
      <c r="G145" s="20">
        <v>4.4999999999999998E-2</v>
      </c>
      <c r="H145" s="323">
        <f t="shared" si="3"/>
        <v>11340000</v>
      </c>
      <c r="I145" s="16"/>
      <c r="J145" s="16"/>
      <c r="K145" s="92"/>
      <c r="L145" s="3"/>
    </row>
    <row r="146" spans="1:12" ht="30" customHeight="1" x14ac:dyDescent="0.2">
      <c r="A146" s="4">
        <v>114</v>
      </c>
      <c r="B146" s="3" t="s">
        <v>243</v>
      </c>
      <c r="C146" s="3"/>
      <c r="D146" s="9"/>
      <c r="E146" s="330"/>
      <c r="F146" s="323">
        <v>100000000</v>
      </c>
      <c r="G146" s="20">
        <v>4.4999999999999998E-2</v>
      </c>
      <c r="H146" s="323">
        <f t="shared" si="3"/>
        <v>4500000</v>
      </c>
      <c r="I146" s="16"/>
      <c r="J146" s="16"/>
      <c r="K146" s="92"/>
      <c r="L146" s="3"/>
    </row>
    <row r="147" spans="1:12" ht="30" customHeight="1" x14ac:dyDescent="0.2">
      <c r="A147" s="4">
        <v>115</v>
      </c>
      <c r="B147" s="3" t="s">
        <v>244</v>
      </c>
      <c r="C147" s="3"/>
      <c r="D147" s="9"/>
      <c r="E147" s="330"/>
      <c r="F147" s="323">
        <v>20000000</v>
      </c>
      <c r="G147" s="20">
        <v>0.05</v>
      </c>
      <c r="H147" s="323">
        <f t="shared" si="3"/>
        <v>1000000</v>
      </c>
      <c r="I147" s="16"/>
      <c r="J147" s="16"/>
      <c r="K147" s="92"/>
      <c r="L147" s="3"/>
    </row>
    <row r="148" spans="1:12" ht="30" customHeight="1" x14ac:dyDescent="0.2">
      <c r="A148" s="4">
        <v>116</v>
      </c>
      <c r="B148" s="3" t="s">
        <v>245</v>
      </c>
      <c r="C148" s="3"/>
      <c r="D148" s="9"/>
      <c r="E148" s="330"/>
      <c r="F148" s="323">
        <v>10000000</v>
      </c>
      <c r="G148" s="20">
        <v>4.4999999999999998E-2</v>
      </c>
      <c r="H148" s="323">
        <f t="shared" si="3"/>
        <v>450000</v>
      </c>
      <c r="I148" s="16"/>
      <c r="J148" s="16"/>
      <c r="K148" s="92"/>
      <c r="L148" s="3"/>
    </row>
    <row r="149" spans="1:12" ht="30" customHeight="1" x14ac:dyDescent="0.2">
      <c r="A149" s="4">
        <v>117</v>
      </c>
      <c r="B149" s="3" t="s">
        <v>246</v>
      </c>
      <c r="C149" s="3"/>
      <c r="D149" s="9"/>
      <c r="E149" s="330"/>
      <c r="F149" s="323">
        <v>300000000</v>
      </c>
      <c r="G149" s="20">
        <v>4.4999999999999998E-2</v>
      </c>
      <c r="H149" s="323">
        <f t="shared" si="3"/>
        <v>13500000</v>
      </c>
      <c r="I149" s="16"/>
      <c r="J149" s="16"/>
      <c r="K149" s="92"/>
      <c r="L149" s="82" t="s">
        <v>773</v>
      </c>
    </row>
    <row r="150" spans="1:12" ht="30" customHeight="1" x14ac:dyDescent="0.2">
      <c r="A150" s="4">
        <v>119</v>
      </c>
      <c r="B150" s="3" t="s">
        <v>247</v>
      </c>
      <c r="C150" s="3"/>
      <c r="D150" s="9"/>
      <c r="E150" s="330"/>
      <c r="F150" s="323">
        <v>20000000</v>
      </c>
      <c r="G150" s="20">
        <v>0.05</v>
      </c>
      <c r="H150" s="323">
        <f t="shared" si="3"/>
        <v>1000000</v>
      </c>
      <c r="I150" s="16"/>
      <c r="J150" s="16"/>
      <c r="K150" s="92"/>
      <c r="L150" s="3"/>
    </row>
    <row r="151" spans="1:12" ht="30" customHeight="1" x14ac:dyDescent="0.2">
      <c r="A151" s="4">
        <v>120</v>
      </c>
      <c r="B151" s="3" t="s">
        <v>248</v>
      </c>
      <c r="C151" s="3"/>
      <c r="D151" s="9"/>
      <c r="E151" s="330"/>
      <c r="F151" s="323">
        <v>100000000</v>
      </c>
      <c r="G151" s="20">
        <v>0.04</v>
      </c>
      <c r="H151" s="323">
        <f t="shared" si="3"/>
        <v>4000000</v>
      </c>
      <c r="I151" s="16"/>
      <c r="J151" s="16"/>
      <c r="K151" s="92"/>
      <c r="L151" s="3"/>
    </row>
    <row r="152" spans="1:12" ht="30" customHeight="1" x14ac:dyDescent="0.2">
      <c r="A152" s="2031">
        <v>121</v>
      </c>
      <c r="B152" s="2074" t="s">
        <v>249</v>
      </c>
      <c r="C152" s="2119" t="s">
        <v>379</v>
      </c>
      <c r="D152" s="2136"/>
      <c r="E152" s="2040"/>
      <c r="F152" s="2040">
        <v>617000000</v>
      </c>
      <c r="G152" s="2037">
        <v>7.0000000000000007E-2</v>
      </c>
      <c r="H152" s="2040">
        <v>43200000</v>
      </c>
      <c r="I152" s="2061"/>
      <c r="J152" s="2061"/>
      <c r="K152" s="2059"/>
      <c r="L152" s="2031"/>
    </row>
    <row r="153" spans="1:12" ht="30" customHeight="1" x14ac:dyDescent="0.2">
      <c r="A153" s="2034"/>
      <c r="B153" s="2110"/>
      <c r="C153" s="2135"/>
      <c r="D153" s="2137"/>
      <c r="E153" s="2041"/>
      <c r="F153" s="2041"/>
      <c r="G153" s="2038"/>
      <c r="H153" s="2041"/>
      <c r="I153" s="2062"/>
      <c r="J153" s="2062"/>
      <c r="K153" s="2064"/>
      <c r="L153" s="2034"/>
    </row>
    <row r="154" spans="1:12" ht="30" customHeight="1" x14ac:dyDescent="0.2">
      <c r="A154" s="2032"/>
      <c r="B154" s="2075"/>
      <c r="C154" s="2120"/>
      <c r="D154" s="2138"/>
      <c r="E154" s="2042"/>
      <c r="F154" s="2042"/>
      <c r="G154" s="2039"/>
      <c r="H154" s="2042"/>
      <c r="I154" s="2063"/>
      <c r="J154" s="2063"/>
      <c r="K154" s="2060"/>
      <c r="L154" s="2032"/>
    </row>
    <row r="155" spans="1:12" ht="30" customHeight="1" x14ac:dyDescent="0.2">
      <c r="A155" s="4">
        <v>122</v>
      </c>
      <c r="B155" s="3" t="s">
        <v>250</v>
      </c>
      <c r="C155" s="3"/>
      <c r="D155" s="9"/>
      <c r="E155" s="330"/>
      <c r="F155" s="323">
        <v>90000000</v>
      </c>
      <c r="G155" s="20">
        <v>4.4999999999999998E-2</v>
      </c>
      <c r="H155" s="323">
        <f t="shared" si="3"/>
        <v>4050000</v>
      </c>
      <c r="I155" s="16"/>
      <c r="J155" s="16"/>
      <c r="K155" s="92" t="s">
        <v>1779</v>
      </c>
      <c r="L155" s="3"/>
    </row>
    <row r="156" spans="1:12" ht="30" customHeight="1" x14ac:dyDescent="0.2">
      <c r="A156" s="4">
        <v>123</v>
      </c>
      <c r="B156" s="3" t="s">
        <v>251</v>
      </c>
      <c r="C156" s="3"/>
      <c r="D156" s="9"/>
      <c r="E156" s="330"/>
      <c r="F156" s="323">
        <v>50000000</v>
      </c>
      <c r="G156" s="20">
        <v>4.4999999999999998E-2</v>
      </c>
      <c r="H156" s="323">
        <f t="shared" si="3"/>
        <v>2250000</v>
      </c>
      <c r="I156" s="16"/>
      <c r="J156" s="16"/>
      <c r="K156" s="92"/>
      <c r="L156" s="3"/>
    </row>
    <row r="157" spans="1:12" ht="30" customHeight="1" x14ac:dyDescent="0.2">
      <c r="A157" s="2031">
        <v>124</v>
      </c>
      <c r="B157" s="2074" t="s">
        <v>252</v>
      </c>
      <c r="C157" s="52" t="s">
        <v>523</v>
      </c>
      <c r="D157" s="9"/>
      <c r="E157" s="330"/>
      <c r="F157" s="323">
        <v>60000000</v>
      </c>
      <c r="G157" s="20">
        <v>0.05</v>
      </c>
      <c r="H157" s="323">
        <f t="shared" si="3"/>
        <v>3000000</v>
      </c>
      <c r="I157" s="16"/>
      <c r="J157" s="16"/>
      <c r="K157" s="357" t="s">
        <v>1169</v>
      </c>
      <c r="L157" s="3"/>
    </row>
    <row r="158" spans="1:12" ht="30" customHeight="1" x14ac:dyDescent="0.2">
      <c r="A158" s="2032"/>
      <c r="B158" s="2075"/>
      <c r="C158" s="52" t="s">
        <v>739</v>
      </c>
      <c r="D158" s="331" t="s">
        <v>901</v>
      </c>
      <c r="E158" s="7"/>
      <c r="F158" s="323">
        <v>20000000</v>
      </c>
      <c r="G158" s="20">
        <v>7.0000000000000007E-2</v>
      </c>
      <c r="H158" s="323">
        <f t="shared" si="3"/>
        <v>1400000.0000000002</v>
      </c>
      <c r="I158" s="16"/>
      <c r="J158" s="16"/>
      <c r="K158" s="358"/>
      <c r="L158" s="3"/>
    </row>
    <row r="159" spans="1:12" ht="30" customHeight="1" x14ac:dyDescent="0.2">
      <c r="A159" s="4">
        <v>125</v>
      </c>
      <c r="B159" s="3" t="s">
        <v>253</v>
      </c>
      <c r="C159" s="3"/>
      <c r="D159" s="9"/>
      <c r="E159" s="330"/>
      <c r="F159" s="323">
        <v>200000000</v>
      </c>
      <c r="G159" s="20">
        <v>0.05</v>
      </c>
      <c r="H159" s="323">
        <f t="shared" si="3"/>
        <v>10000000</v>
      </c>
      <c r="I159" s="16"/>
      <c r="J159" s="16"/>
      <c r="K159" s="92"/>
      <c r="L159" s="3"/>
    </row>
    <row r="160" spans="1:12" ht="30" customHeight="1" x14ac:dyDescent="0.2">
      <c r="A160" s="4">
        <v>126</v>
      </c>
      <c r="B160" s="3" t="s">
        <v>254</v>
      </c>
      <c r="C160" s="3"/>
      <c r="D160" s="9"/>
      <c r="E160" s="330"/>
      <c r="F160" s="328"/>
      <c r="G160" s="44"/>
      <c r="H160" s="328">
        <f t="shared" si="3"/>
        <v>0</v>
      </c>
      <c r="I160" s="16"/>
      <c r="J160" s="16"/>
      <c r="K160" s="92" t="s">
        <v>1858</v>
      </c>
      <c r="L160" s="3"/>
    </row>
    <row r="161" spans="1:12" ht="30" customHeight="1" x14ac:dyDescent="0.2">
      <c r="A161" s="4">
        <v>127</v>
      </c>
      <c r="B161" s="3" t="s">
        <v>255</v>
      </c>
      <c r="C161" s="3"/>
      <c r="D161" s="9"/>
      <c r="E161" s="330"/>
      <c r="F161" s="510">
        <v>180000000</v>
      </c>
      <c r="G161" s="519">
        <v>4.4999999999999998E-2</v>
      </c>
      <c r="H161" s="510">
        <f t="shared" si="3"/>
        <v>8100000</v>
      </c>
      <c r="I161" s="16"/>
      <c r="J161" s="16"/>
      <c r="K161" s="92" t="s">
        <v>1774</v>
      </c>
      <c r="L161" s="3"/>
    </row>
    <row r="162" spans="1:12" ht="30" customHeight="1" x14ac:dyDescent="0.2">
      <c r="A162" s="4">
        <v>128</v>
      </c>
      <c r="B162" s="3" t="s">
        <v>256</v>
      </c>
      <c r="C162" s="3"/>
      <c r="D162" s="9"/>
      <c r="E162" s="330"/>
      <c r="F162" s="323">
        <v>800000000</v>
      </c>
      <c r="G162" s="20">
        <v>0.05</v>
      </c>
      <c r="H162" s="323">
        <f t="shared" si="3"/>
        <v>40000000</v>
      </c>
      <c r="I162" s="16"/>
      <c r="J162" s="16"/>
      <c r="K162" s="92"/>
      <c r="L162" s="3"/>
    </row>
    <row r="163" spans="1:12" ht="30" customHeight="1" x14ac:dyDescent="0.2">
      <c r="A163" s="4">
        <v>129</v>
      </c>
      <c r="B163" s="3" t="s">
        <v>257</v>
      </c>
      <c r="C163" s="3"/>
      <c r="D163" s="9"/>
      <c r="E163" s="330"/>
      <c r="F163" s="328"/>
      <c r="G163" s="44"/>
      <c r="H163" s="328">
        <f t="shared" si="3"/>
        <v>0</v>
      </c>
      <c r="I163" s="16"/>
      <c r="J163" s="16"/>
      <c r="K163" s="92"/>
      <c r="L163" s="3"/>
    </row>
    <row r="164" spans="1:12" ht="30" customHeight="1" x14ac:dyDescent="0.2">
      <c r="A164" s="2031">
        <v>130</v>
      </c>
      <c r="B164" s="2074" t="s">
        <v>258</v>
      </c>
      <c r="C164" s="2031"/>
      <c r="D164" s="2078"/>
      <c r="E164" s="2040"/>
      <c r="F164" s="2080"/>
      <c r="G164" s="2082"/>
      <c r="H164" s="2080">
        <f t="shared" si="3"/>
        <v>0</v>
      </c>
      <c r="I164" s="16"/>
      <c r="J164" s="16"/>
      <c r="K164" s="2040" t="s">
        <v>1359</v>
      </c>
      <c r="L164" s="2031"/>
    </row>
    <row r="165" spans="1:12" ht="30" customHeight="1" x14ac:dyDescent="0.2">
      <c r="A165" s="2032"/>
      <c r="B165" s="2075"/>
      <c r="C165" s="2032"/>
      <c r="D165" s="2079"/>
      <c r="E165" s="2042"/>
      <c r="F165" s="2081"/>
      <c r="G165" s="2083"/>
      <c r="H165" s="2081"/>
      <c r="I165" s="16"/>
      <c r="J165" s="16"/>
      <c r="K165" s="2042"/>
      <c r="L165" s="2032"/>
    </row>
    <row r="166" spans="1:12" ht="30" customHeight="1" x14ac:dyDescent="0.2">
      <c r="A166" s="2031">
        <v>131</v>
      </c>
      <c r="B166" s="2074" t="s">
        <v>1213</v>
      </c>
      <c r="C166" s="52" t="s">
        <v>1219</v>
      </c>
      <c r="D166" s="2128" t="s">
        <v>1214</v>
      </c>
      <c r="E166" s="2040"/>
      <c r="F166" s="2040">
        <v>200000000</v>
      </c>
      <c r="G166" s="2037">
        <v>0.05</v>
      </c>
      <c r="H166" s="2040">
        <f t="shared" si="3"/>
        <v>10000000</v>
      </c>
      <c r="I166" s="16"/>
      <c r="J166" s="16"/>
      <c r="K166" s="92"/>
      <c r="L166" s="3"/>
    </row>
    <row r="167" spans="1:12" ht="30" customHeight="1" x14ac:dyDescent="0.2">
      <c r="A167" s="2032"/>
      <c r="B167" s="2075"/>
      <c r="C167" s="52" t="s">
        <v>971</v>
      </c>
      <c r="D167" s="2129"/>
      <c r="E167" s="2042"/>
      <c r="F167" s="2042"/>
      <c r="G167" s="2039"/>
      <c r="H167" s="2042"/>
      <c r="I167" s="16"/>
      <c r="J167" s="16"/>
      <c r="K167" s="92"/>
      <c r="L167" s="3"/>
    </row>
    <row r="168" spans="1:12" ht="30" customHeight="1" x14ac:dyDescent="0.2">
      <c r="A168" s="4">
        <v>132</v>
      </c>
      <c r="B168" s="3" t="s">
        <v>259</v>
      </c>
      <c r="C168" s="3"/>
      <c r="D168" s="9"/>
      <c r="E168" s="330"/>
      <c r="F168" s="323">
        <v>200000000</v>
      </c>
      <c r="G168" s="20">
        <v>0.04</v>
      </c>
      <c r="H168" s="323">
        <f t="shared" si="3"/>
        <v>8000000</v>
      </c>
      <c r="I168" s="16"/>
      <c r="J168" s="16"/>
      <c r="K168" s="92"/>
      <c r="L168" s="82" t="s">
        <v>593</v>
      </c>
    </row>
    <row r="169" spans="1:12" ht="30" customHeight="1" x14ac:dyDescent="0.2">
      <c r="A169" s="2031">
        <v>133</v>
      </c>
      <c r="B169" s="2074" t="s">
        <v>1266</v>
      </c>
      <c r="C169" s="2031"/>
      <c r="D169" s="2078"/>
      <c r="E169" s="2040"/>
      <c r="F169" s="2080"/>
      <c r="G169" s="2082"/>
      <c r="H169" s="2080">
        <f t="shared" si="3"/>
        <v>0</v>
      </c>
      <c r="I169" s="16"/>
      <c r="J169" s="16"/>
      <c r="K169" s="92"/>
      <c r="L169" s="3"/>
    </row>
    <row r="170" spans="1:12" ht="30" customHeight="1" x14ac:dyDescent="0.2">
      <c r="A170" s="2034"/>
      <c r="B170" s="2110"/>
      <c r="C170" s="2034"/>
      <c r="D170" s="2111"/>
      <c r="E170" s="2041"/>
      <c r="F170" s="2126"/>
      <c r="G170" s="2127"/>
      <c r="H170" s="2126"/>
      <c r="I170" s="16"/>
      <c r="J170" s="16"/>
      <c r="K170" s="92"/>
      <c r="L170" s="3"/>
    </row>
    <row r="171" spans="1:12" ht="30" customHeight="1" x14ac:dyDescent="0.2">
      <c r="A171" s="2032"/>
      <c r="B171" s="2075"/>
      <c r="C171" s="2032"/>
      <c r="D171" s="2079"/>
      <c r="E171" s="2042"/>
      <c r="F171" s="2081"/>
      <c r="G171" s="2083"/>
      <c r="H171" s="2081"/>
      <c r="I171" s="16"/>
      <c r="J171" s="16"/>
      <c r="K171" s="92"/>
      <c r="L171" s="3"/>
    </row>
    <row r="172" spans="1:12" ht="30" customHeight="1" x14ac:dyDescent="0.2">
      <c r="A172" s="4">
        <v>134</v>
      </c>
      <c r="B172" s="3" t="s">
        <v>178</v>
      </c>
      <c r="C172" s="3"/>
      <c r="D172" s="9"/>
      <c r="E172" s="330"/>
      <c r="F172" s="323">
        <v>100000000</v>
      </c>
      <c r="G172" s="20">
        <v>4.4999999999999998E-2</v>
      </c>
      <c r="H172" s="323">
        <f t="shared" si="3"/>
        <v>4500000</v>
      </c>
      <c r="I172" s="16"/>
      <c r="J172" s="16"/>
      <c r="K172" s="92"/>
      <c r="L172" s="3"/>
    </row>
    <row r="173" spans="1:12" ht="30" customHeight="1" x14ac:dyDescent="0.2">
      <c r="A173" s="4">
        <v>135</v>
      </c>
      <c r="B173" s="3" t="s">
        <v>169</v>
      </c>
      <c r="C173" s="3"/>
      <c r="D173" s="9"/>
      <c r="E173" s="330"/>
      <c r="F173" s="323">
        <v>110000000</v>
      </c>
      <c r="G173" s="20">
        <v>0.04</v>
      </c>
      <c r="H173" s="323">
        <f t="shared" si="3"/>
        <v>4400000</v>
      </c>
      <c r="I173" s="16"/>
      <c r="J173" s="16"/>
      <c r="K173" s="92"/>
      <c r="L173" s="3"/>
    </row>
    <row r="174" spans="1:12" ht="30" customHeight="1" x14ac:dyDescent="0.2">
      <c r="A174" s="2031">
        <v>136</v>
      </c>
      <c r="B174" s="2074" t="s">
        <v>7</v>
      </c>
      <c r="C174" s="2031"/>
      <c r="D174" s="2078"/>
      <c r="E174" s="2040"/>
      <c r="F174" s="323">
        <v>100000000</v>
      </c>
      <c r="G174" s="20">
        <v>0.05</v>
      </c>
      <c r="H174" s="323">
        <f t="shared" si="3"/>
        <v>5000000</v>
      </c>
      <c r="I174" s="2061"/>
      <c r="J174" s="2061"/>
      <c r="K174" s="2059" t="s">
        <v>1778</v>
      </c>
      <c r="L174" s="2031"/>
    </row>
    <row r="175" spans="1:12" ht="30" customHeight="1" x14ac:dyDescent="0.2">
      <c r="A175" s="2032"/>
      <c r="B175" s="2075"/>
      <c r="C175" s="2032"/>
      <c r="D175" s="2079"/>
      <c r="E175" s="2042"/>
      <c r="F175" s="323">
        <v>100000000</v>
      </c>
      <c r="G175" s="20">
        <v>0.06</v>
      </c>
      <c r="H175" s="323">
        <f t="shared" si="3"/>
        <v>6000000</v>
      </c>
      <c r="I175" s="2063"/>
      <c r="J175" s="2063"/>
      <c r="K175" s="2060"/>
      <c r="L175" s="2032"/>
    </row>
    <row r="176" spans="1:12" ht="30" customHeight="1" x14ac:dyDescent="0.2">
      <c r="A176" s="4">
        <v>137</v>
      </c>
      <c r="B176" s="3" t="s">
        <v>260</v>
      </c>
      <c r="C176" s="3"/>
      <c r="D176" s="9"/>
      <c r="E176" s="330"/>
      <c r="F176" s="328"/>
      <c r="G176" s="44"/>
      <c r="H176" s="328">
        <f t="shared" si="3"/>
        <v>0</v>
      </c>
      <c r="I176" s="16"/>
      <c r="J176" s="16"/>
      <c r="K176" s="92" t="s">
        <v>1963</v>
      </c>
      <c r="L176" s="3"/>
    </row>
    <row r="177" spans="1:12" ht="30" customHeight="1" x14ac:dyDescent="0.2">
      <c r="A177" s="4">
        <v>138</v>
      </c>
      <c r="B177" s="3" t="s">
        <v>261</v>
      </c>
      <c r="C177" s="459" t="s">
        <v>1219</v>
      </c>
      <c r="D177" s="9"/>
      <c r="E177" s="330"/>
      <c r="F177" s="348">
        <v>310000000</v>
      </c>
      <c r="G177" s="20">
        <v>4.4999999999999998E-2</v>
      </c>
      <c r="H177" s="348">
        <v>14000000</v>
      </c>
      <c r="I177" s="16"/>
      <c r="J177" s="16"/>
      <c r="K177" s="92" t="s">
        <v>1358</v>
      </c>
      <c r="L177" s="3"/>
    </row>
    <row r="178" spans="1:12" ht="30" customHeight="1" x14ac:dyDescent="0.2">
      <c r="A178" s="4">
        <v>139</v>
      </c>
      <c r="B178" s="3" t="s">
        <v>262</v>
      </c>
      <c r="C178" s="3"/>
      <c r="D178" s="9"/>
      <c r="E178" s="330"/>
      <c r="F178" s="328"/>
      <c r="G178" s="44"/>
      <c r="H178" s="328">
        <f t="shared" si="3"/>
        <v>0</v>
      </c>
      <c r="I178" s="16"/>
      <c r="J178" s="16"/>
      <c r="K178" s="92"/>
      <c r="L178" s="3"/>
    </row>
    <row r="179" spans="1:12" ht="30" customHeight="1" x14ac:dyDescent="0.2">
      <c r="A179" s="4">
        <v>140</v>
      </c>
      <c r="B179" s="3" t="s">
        <v>163</v>
      </c>
      <c r="C179" s="3"/>
      <c r="D179" s="9"/>
      <c r="E179" s="330"/>
      <c r="F179" s="328"/>
      <c r="G179" s="44"/>
      <c r="H179" s="328">
        <f t="shared" si="3"/>
        <v>0</v>
      </c>
      <c r="I179" s="16"/>
      <c r="J179" s="16"/>
      <c r="K179" s="92"/>
      <c r="L179" s="3"/>
    </row>
    <row r="180" spans="1:12" ht="30" customHeight="1" x14ac:dyDescent="0.2">
      <c r="A180" s="4">
        <v>141</v>
      </c>
      <c r="B180" s="3" t="s">
        <v>546</v>
      </c>
      <c r="C180" s="3"/>
      <c r="D180" s="9"/>
      <c r="E180" s="330"/>
      <c r="F180" s="328"/>
      <c r="G180" s="44"/>
      <c r="H180" s="328">
        <f t="shared" si="3"/>
        <v>0</v>
      </c>
      <c r="I180" s="16"/>
      <c r="J180" s="16"/>
      <c r="K180" s="92"/>
      <c r="L180" s="3"/>
    </row>
    <row r="181" spans="1:12" ht="30" customHeight="1" x14ac:dyDescent="0.2">
      <c r="A181" s="4">
        <v>142</v>
      </c>
      <c r="B181" s="3" t="s">
        <v>8</v>
      </c>
      <c r="C181" s="3"/>
      <c r="D181" s="9"/>
      <c r="E181" s="330"/>
      <c r="F181" s="323">
        <v>30000000</v>
      </c>
      <c r="G181" s="20">
        <v>0.05</v>
      </c>
      <c r="H181" s="323">
        <f t="shared" si="3"/>
        <v>1500000</v>
      </c>
      <c r="I181" s="16"/>
      <c r="J181" s="16"/>
      <c r="K181" s="92"/>
      <c r="L181" s="3"/>
    </row>
    <row r="182" spans="1:12" ht="30" customHeight="1" x14ac:dyDescent="0.2">
      <c r="A182" s="4">
        <v>143</v>
      </c>
      <c r="B182" s="3" t="s">
        <v>9</v>
      </c>
      <c r="C182" s="3"/>
      <c r="D182" s="9"/>
      <c r="E182" s="330"/>
      <c r="F182" s="328"/>
      <c r="G182" s="44"/>
      <c r="H182" s="328">
        <f t="shared" si="3"/>
        <v>0</v>
      </c>
      <c r="I182" s="16"/>
      <c r="J182" s="16"/>
      <c r="K182" s="92"/>
      <c r="L182" s="3"/>
    </row>
    <row r="183" spans="1:12" ht="30" customHeight="1" x14ac:dyDescent="0.2">
      <c r="A183" s="4">
        <v>144</v>
      </c>
      <c r="B183" s="3" t="s">
        <v>10</v>
      </c>
      <c r="C183" s="3"/>
      <c r="D183" s="9"/>
      <c r="E183" s="330"/>
      <c r="F183" s="323">
        <v>50000000</v>
      </c>
      <c r="G183" s="20">
        <v>0.04</v>
      </c>
      <c r="H183" s="323">
        <f t="shared" si="3"/>
        <v>2000000</v>
      </c>
      <c r="I183" s="16"/>
      <c r="J183" s="16"/>
      <c r="K183" s="92"/>
      <c r="L183" s="82" t="s">
        <v>532</v>
      </c>
    </row>
    <row r="184" spans="1:12" ht="30" customHeight="1" x14ac:dyDescent="0.2">
      <c r="A184" s="4">
        <v>145</v>
      </c>
      <c r="B184" s="3" t="s">
        <v>527</v>
      </c>
      <c r="C184" s="3"/>
      <c r="D184" s="9"/>
      <c r="E184" s="330"/>
      <c r="F184" s="323">
        <v>5000000</v>
      </c>
      <c r="G184" s="20">
        <v>0.05</v>
      </c>
      <c r="H184" s="323">
        <f t="shared" si="3"/>
        <v>250000</v>
      </c>
      <c r="I184" s="16"/>
      <c r="J184" s="16"/>
      <c r="K184" s="92"/>
      <c r="L184" s="3"/>
    </row>
    <row r="185" spans="1:12" ht="30" customHeight="1" x14ac:dyDescent="0.2">
      <c r="A185" s="4">
        <v>146</v>
      </c>
      <c r="B185" s="3" t="s">
        <v>11</v>
      </c>
      <c r="C185" s="3"/>
      <c r="D185" s="9"/>
      <c r="E185" s="330"/>
      <c r="F185" s="323">
        <v>105000000</v>
      </c>
      <c r="G185" s="20">
        <v>0.04</v>
      </c>
      <c r="H185" s="323">
        <f t="shared" si="3"/>
        <v>4200000</v>
      </c>
      <c r="I185" s="16"/>
      <c r="J185" s="16"/>
      <c r="K185" s="92"/>
      <c r="L185" s="3"/>
    </row>
    <row r="186" spans="1:12" ht="30" customHeight="1" x14ac:dyDescent="0.2">
      <c r="A186" s="4">
        <v>147</v>
      </c>
      <c r="B186" s="3" t="s">
        <v>12</v>
      </c>
      <c r="C186" s="3"/>
      <c r="D186" s="9"/>
      <c r="E186" s="330"/>
      <c r="F186" s="323">
        <v>50000000</v>
      </c>
      <c r="G186" s="20">
        <v>4.4999999999999998E-2</v>
      </c>
      <c r="H186" s="323">
        <f t="shared" si="3"/>
        <v>2250000</v>
      </c>
      <c r="I186" s="16"/>
      <c r="J186" s="16"/>
      <c r="K186" s="92"/>
      <c r="L186" s="3"/>
    </row>
    <row r="187" spans="1:12" ht="30" customHeight="1" x14ac:dyDescent="0.2">
      <c r="A187" s="4">
        <v>148</v>
      </c>
      <c r="B187" s="3" t="s">
        <v>13</v>
      </c>
      <c r="C187" s="52" t="s">
        <v>523</v>
      </c>
      <c r="D187" s="9"/>
      <c r="E187" s="330"/>
      <c r="F187" s="323">
        <v>30000000</v>
      </c>
      <c r="G187" s="20">
        <v>0.04</v>
      </c>
      <c r="H187" s="323">
        <f t="shared" si="3"/>
        <v>1200000</v>
      </c>
      <c r="I187" s="16"/>
      <c r="J187" s="16"/>
      <c r="K187" s="92"/>
      <c r="L187" s="81" t="s">
        <v>526</v>
      </c>
    </row>
    <row r="188" spans="1:12" ht="30" customHeight="1" x14ac:dyDescent="0.2">
      <c r="A188" s="4">
        <v>149</v>
      </c>
      <c r="B188" s="3" t="s">
        <v>14</v>
      </c>
      <c r="C188" s="3"/>
      <c r="D188" s="9"/>
      <c r="E188" s="330"/>
      <c r="F188" s="323">
        <v>55000000</v>
      </c>
      <c r="G188" s="20">
        <v>0.05</v>
      </c>
      <c r="H188" s="323">
        <f t="shared" si="3"/>
        <v>2750000</v>
      </c>
      <c r="I188" s="16"/>
      <c r="J188" s="16"/>
      <c r="K188" s="92"/>
      <c r="L188" s="3"/>
    </row>
    <row r="189" spans="1:12" ht="30" customHeight="1" x14ac:dyDescent="0.2">
      <c r="A189" s="4">
        <v>150</v>
      </c>
      <c r="B189" s="3" t="s">
        <v>15</v>
      </c>
      <c r="C189" s="43" t="s">
        <v>366</v>
      </c>
      <c r="D189" s="330" t="s">
        <v>329</v>
      </c>
      <c r="E189" s="330" t="s">
        <v>363</v>
      </c>
      <c r="F189" s="323">
        <v>80000000</v>
      </c>
      <c r="G189" s="20">
        <v>0.05</v>
      </c>
      <c r="H189" s="323">
        <f t="shared" si="3"/>
        <v>4000000</v>
      </c>
      <c r="I189" s="16"/>
      <c r="J189" s="16"/>
      <c r="K189" s="92">
        <v>9379394609</v>
      </c>
      <c r="L189" s="39" t="s">
        <v>364</v>
      </c>
    </row>
    <row r="190" spans="1:12" ht="30" customHeight="1" x14ac:dyDescent="0.2">
      <c r="A190" s="4">
        <v>151</v>
      </c>
      <c r="B190" s="3" t="s">
        <v>16</v>
      </c>
      <c r="C190" s="3"/>
      <c r="D190" s="9"/>
      <c r="E190" s="330"/>
      <c r="F190" s="328"/>
      <c r="G190" s="44"/>
      <c r="H190" s="328">
        <f t="shared" si="3"/>
        <v>0</v>
      </c>
      <c r="I190" s="16"/>
      <c r="J190" s="16"/>
      <c r="K190" s="92"/>
      <c r="L190" s="3"/>
    </row>
    <row r="191" spans="1:12" ht="30" customHeight="1" x14ac:dyDescent="0.2">
      <c r="A191" s="4">
        <v>152</v>
      </c>
      <c r="B191" s="3" t="s">
        <v>17</v>
      </c>
      <c r="C191" s="3" t="s">
        <v>867</v>
      </c>
      <c r="D191" s="9"/>
      <c r="E191" s="330"/>
      <c r="F191" s="323">
        <v>180000000</v>
      </c>
      <c r="G191" s="20">
        <v>0.05</v>
      </c>
      <c r="H191" s="323">
        <f t="shared" si="3"/>
        <v>9000000</v>
      </c>
      <c r="I191" s="16"/>
      <c r="J191" s="16"/>
      <c r="K191" s="92"/>
      <c r="L191" s="3"/>
    </row>
    <row r="192" spans="1:12" ht="30" customHeight="1" x14ac:dyDescent="0.2">
      <c r="A192" s="4">
        <v>153</v>
      </c>
      <c r="B192" s="3" t="s">
        <v>1146</v>
      </c>
      <c r="C192" s="3"/>
      <c r="D192" s="9"/>
      <c r="E192" s="330"/>
      <c r="F192" s="323">
        <v>35000000</v>
      </c>
      <c r="G192" s="20">
        <v>4.7E-2</v>
      </c>
      <c r="H192" s="323">
        <v>1650000</v>
      </c>
      <c r="I192" s="16"/>
      <c r="J192" s="16"/>
      <c r="K192" s="92"/>
      <c r="L192" s="3"/>
    </row>
    <row r="193" spans="1:12" ht="30" customHeight="1" x14ac:dyDescent="0.2">
      <c r="A193" s="4">
        <v>154</v>
      </c>
      <c r="B193" s="3" t="s">
        <v>18</v>
      </c>
      <c r="C193" s="3"/>
      <c r="D193" s="9"/>
      <c r="E193" s="330"/>
      <c r="F193" s="323">
        <v>30000000</v>
      </c>
      <c r="G193" s="20">
        <v>0.04</v>
      </c>
      <c r="H193" s="323">
        <f t="shared" si="3"/>
        <v>1200000</v>
      </c>
      <c r="I193" s="16"/>
      <c r="J193" s="16"/>
      <c r="K193" s="92" t="s">
        <v>2358</v>
      </c>
      <c r="L193" s="3"/>
    </row>
    <row r="194" spans="1:12" ht="30" customHeight="1" x14ac:dyDescent="0.2">
      <c r="A194" s="4">
        <v>155</v>
      </c>
      <c r="B194" s="3" t="s">
        <v>19</v>
      </c>
      <c r="C194" s="3"/>
      <c r="D194" s="9"/>
      <c r="E194" s="330"/>
      <c r="F194" s="323">
        <v>15000000</v>
      </c>
      <c r="G194" s="20">
        <v>7.0000000000000007E-2</v>
      </c>
      <c r="H194" s="323">
        <f t="shared" si="3"/>
        <v>1050000</v>
      </c>
      <c r="I194" s="16"/>
      <c r="J194" s="16"/>
      <c r="K194" s="92" t="s">
        <v>2361</v>
      </c>
      <c r="L194" s="3"/>
    </row>
    <row r="195" spans="1:12" ht="30" customHeight="1" x14ac:dyDescent="0.2">
      <c r="A195" s="4">
        <v>156</v>
      </c>
      <c r="B195" s="3" t="s">
        <v>20</v>
      </c>
      <c r="C195" s="3"/>
      <c r="D195" s="9"/>
      <c r="E195" s="330"/>
      <c r="F195" s="328"/>
      <c r="G195" s="44"/>
      <c r="H195" s="328">
        <f t="shared" si="3"/>
        <v>0</v>
      </c>
      <c r="I195" s="16"/>
      <c r="J195" s="16"/>
      <c r="K195" s="92"/>
      <c r="L195" s="3"/>
    </row>
    <row r="196" spans="1:12" ht="30" customHeight="1" x14ac:dyDescent="0.2">
      <c r="A196" s="2031">
        <v>157</v>
      </c>
      <c r="B196" s="2074" t="s">
        <v>21</v>
      </c>
      <c r="C196" s="2031"/>
      <c r="D196" s="2078"/>
      <c r="E196" s="2040"/>
      <c r="F196" s="2040">
        <v>50000000</v>
      </c>
      <c r="G196" s="2037">
        <v>0.04</v>
      </c>
      <c r="H196" s="2040">
        <f t="shared" si="3"/>
        <v>2000000</v>
      </c>
      <c r="I196" s="2061"/>
      <c r="J196" s="2061"/>
      <c r="K196" s="2059"/>
      <c r="L196" s="2031"/>
    </row>
    <row r="197" spans="1:12" ht="30" customHeight="1" x14ac:dyDescent="0.2">
      <c r="A197" s="2032"/>
      <c r="B197" s="2075"/>
      <c r="C197" s="2032"/>
      <c r="D197" s="2079"/>
      <c r="E197" s="2042"/>
      <c r="F197" s="2042"/>
      <c r="G197" s="2039"/>
      <c r="H197" s="2042"/>
      <c r="I197" s="2063"/>
      <c r="J197" s="2063"/>
      <c r="K197" s="2060"/>
      <c r="L197" s="2032"/>
    </row>
    <row r="198" spans="1:12" ht="30" customHeight="1" x14ac:dyDescent="0.2">
      <c r="A198" s="4">
        <v>158</v>
      </c>
      <c r="B198" s="3" t="s">
        <v>22</v>
      </c>
      <c r="C198" s="43" t="s">
        <v>710</v>
      </c>
      <c r="D198" s="9"/>
      <c r="E198" s="330"/>
      <c r="F198" s="323">
        <v>20000000</v>
      </c>
      <c r="G198" s="20">
        <v>0.05</v>
      </c>
      <c r="H198" s="323">
        <f t="shared" si="3"/>
        <v>1000000</v>
      </c>
      <c r="I198" s="16"/>
      <c r="J198" s="16"/>
      <c r="K198" s="92"/>
      <c r="L198" s="3"/>
    </row>
    <row r="199" spans="1:12" ht="30" customHeight="1" x14ac:dyDescent="0.2">
      <c r="A199" s="2031">
        <v>159</v>
      </c>
      <c r="B199" s="2031" t="s">
        <v>848</v>
      </c>
      <c r="C199" s="2031"/>
      <c r="D199" s="2078"/>
      <c r="E199" s="2040"/>
      <c r="F199" s="323">
        <v>120000000</v>
      </c>
      <c r="G199" s="20"/>
      <c r="H199" s="323">
        <v>5400000</v>
      </c>
      <c r="I199" s="16"/>
      <c r="J199" s="16"/>
      <c r="K199" s="92"/>
      <c r="L199" s="3"/>
    </row>
    <row r="200" spans="1:12" ht="30" customHeight="1" x14ac:dyDescent="0.2">
      <c r="A200" s="2032"/>
      <c r="B200" s="2032"/>
      <c r="C200" s="2032"/>
      <c r="D200" s="2079"/>
      <c r="E200" s="2042"/>
      <c r="F200" s="323">
        <v>22000000</v>
      </c>
      <c r="G200" s="20"/>
      <c r="H200" s="323">
        <v>1200000</v>
      </c>
      <c r="I200" s="16"/>
      <c r="J200" s="16"/>
      <c r="K200" s="92"/>
      <c r="L200" s="3"/>
    </row>
    <row r="201" spans="1:12" ht="30" customHeight="1" x14ac:dyDescent="0.2">
      <c r="A201" s="4">
        <v>160</v>
      </c>
      <c r="B201" s="3" t="s">
        <v>23</v>
      </c>
      <c r="C201" s="3"/>
      <c r="D201" s="9"/>
      <c r="E201" s="330"/>
      <c r="F201" s="323">
        <v>25000000</v>
      </c>
      <c r="G201" s="20">
        <v>0.05</v>
      </c>
      <c r="H201" s="323">
        <f t="shared" si="3"/>
        <v>1250000</v>
      </c>
      <c r="I201" s="16"/>
      <c r="J201" s="16"/>
      <c r="K201" s="92"/>
      <c r="L201" s="3"/>
    </row>
    <row r="202" spans="1:12" ht="30" customHeight="1" x14ac:dyDescent="0.2">
      <c r="A202" s="4">
        <v>161</v>
      </c>
      <c r="B202" s="3" t="s">
        <v>24</v>
      </c>
      <c r="C202" s="3"/>
      <c r="D202" s="9"/>
      <c r="E202" s="330"/>
      <c r="F202" s="323">
        <v>55000000</v>
      </c>
      <c r="G202" s="20">
        <v>0.05</v>
      </c>
      <c r="H202" s="323">
        <f t="shared" si="3"/>
        <v>2750000</v>
      </c>
      <c r="I202" s="16"/>
      <c r="J202" s="16"/>
      <c r="K202" s="92"/>
      <c r="L202" s="3"/>
    </row>
    <row r="203" spans="1:12" ht="30" customHeight="1" x14ac:dyDescent="0.2">
      <c r="A203" s="4">
        <v>162</v>
      </c>
      <c r="B203" s="3" t="s">
        <v>25</v>
      </c>
      <c r="C203" s="3"/>
      <c r="D203" s="9"/>
      <c r="E203" s="330"/>
      <c r="F203" s="323">
        <v>20000000</v>
      </c>
      <c r="G203" s="20">
        <v>4.4999999999999998E-2</v>
      </c>
      <c r="H203" s="323">
        <f t="shared" ref="H203:H265" si="4">F203*G203</f>
        <v>900000</v>
      </c>
      <c r="I203" s="16"/>
      <c r="J203" s="16"/>
      <c r="K203" s="92"/>
      <c r="L203" s="3"/>
    </row>
    <row r="204" spans="1:12" ht="30" customHeight="1" x14ac:dyDescent="0.2">
      <c r="A204" s="4">
        <v>163</v>
      </c>
      <c r="B204" s="3" t="s">
        <v>26</v>
      </c>
      <c r="C204" s="3"/>
      <c r="D204" s="9"/>
      <c r="E204" s="330"/>
      <c r="F204" s="323">
        <v>180000000</v>
      </c>
      <c r="G204" s="20">
        <v>0.05</v>
      </c>
      <c r="H204" s="323">
        <f t="shared" si="4"/>
        <v>9000000</v>
      </c>
      <c r="I204" s="16"/>
      <c r="J204" s="16"/>
      <c r="K204" s="92"/>
      <c r="L204" s="3"/>
    </row>
    <row r="205" spans="1:12" ht="30" customHeight="1" x14ac:dyDescent="0.2">
      <c r="A205" s="4">
        <v>164</v>
      </c>
      <c r="B205" s="3" t="s">
        <v>854</v>
      </c>
      <c r="C205" s="3"/>
      <c r="D205" s="9"/>
      <c r="E205" s="330"/>
      <c r="F205" s="323">
        <v>200000000</v>
      </c>
      <c r="G205" s="20">
        <v>0.05</v>
      </c>
      <c r="H205" s="323">
        <f t="shared" si="4"/>
        <v>10000000</v>
      </c>
      <c r="I205" s="16"/>
      <c r="J205" s="16"/>
      <c r="K205" s="92"/>
      <c r="L205" s="3"/>
    </row>
    <row r="206" spans="1:12" ht="30" customHeight="1" x14ac:dyDescent="0.2">
      <c r="A206" s="4">
        <v>165</v>
      </c>
      <c r="B206" s="3" t="s">
        <v>27</v>
      </c>
      <c r="C206" s="3"/>
      <c r="D206" s="9"/>
      <c r="E206" s="330"/>
      <c r="F206" s="323">
        <v>50000000</v>
      </c>
      <c r="G206" s="20">
        <v>0.05</v>
      </c>
      <c r="H206" s="323">
        <f t="shared" si="4"/>
        <v>2500000</v>
      </c>
      <c r="I206" s="16"/>
      <c r="J206" s="16"/>
      <c r="K206" s="92"/>
      <c r="L206" s="3"/>
    </row>
    <row r="207" spans="1:12" ht="30" customHeight="1" x14ac:dyDescent="0.2">
      <c r="A207" s="4">
        <v>166</v>
      </c>
      <c r="B207" s="3" t="s">
        <v>28</v>
      </c>
      <c r="C207" s="43" t="s">
        <v>700</v>
      </c>
      <c r="D207" s="9"/>
      <c r="E207" s="330"/>
      <c r="F207" s="323">
        <v>20000000</v>
      </c>
      <c r="G207" s="20">
        <v>0.04</v>
      </c>
      <c r="H207" s="323">
        <f t="shared" si="4"/>
        <v>800000</v>
      </c>
      <c r="I207" s="16"/>
      <c r="J207" s="16"/>
      <c r="K207" s="92"/>
      <c r="L207" s="3"/>
    </row>
    <row r="208" spans="1:12" ht="30" customHeight="1" x14ac:dyDescent="0.2">
      <c r="A208" s="4">
        <v>167</v>
      </c>
      <c r="B208" s="3" t="s">
        <v>29</v>
      </c>
      <c r="C208" s="43" t="s">
        <v>564</v>
      </c>
      <c r="D208" s="9"/>
      <c r="E208" s="330"/>
      <c r="F208" s="323">
        <v>100000000</v>
      </c>
      <c r="G208" s="20">
        <v>0.05</v>
      </c>
      <c r="H208" s="323">
        <f t="shared" si="4"/>
        <v>5000000</v>
      </c>
      <c r="I208" s="16"/>
      <c r="J208" s="16"/>
      <c r="K208" s="92"/>
      <c r="L208" s="3"/>
    </row>
    <row r="209" spans="1:12" ht="30" customHeight="1" x14ac:dyDescent="0.2">
      <c r="A209" s="4">
        <v>168</v>
      </c>
      <c r="B209" s="3" t="s">
        <v>758</v>
      </c>
      <c r="C209" s="3"/>
      <c r="D209" s="9"/>
      <c r="E209" s="330"/>
      <c r="F209" s="323">
        <v>50000000</v>
      </c>
      <c r="G209" s="20">
        <v>0.05</v>
      </c>
      <c r="H209" s="323">
        <f t="shared" si="4"/>
        <v>2500000</v>
      </c>
      <c r="I209" s="16"/>
      <c r="J209" s="16"/>
      <c r="K209" s="92"/>
      <c r="L209" s="3"/>
    </row>
    <row r="210" spans="1:12" ht="30" customHeight="1" x14ac:dyDescent="0.2">
      <c r="A210" s="4">
        <v>169</v>
      </c>
      <c r="B210" s="3" t="s">
        <v>844</v>
      </c>
      <c r="C210" s="3"/>
      <c r="D210" s="9"/>
      <c r="E210" s="330"/>
      <c r="F210" s="323">
        <v>50000000</v>
      </c>
      <c r="G210" s="20">
        <v>7.0000000000000007E-2</v>
      </c>
      <c r="H210" s="323">
        <f t="shared" si="4"/>
        <v>3500000.0000000005</v>
      </c>
      <c r="I210" s="16"/>
      <c r="J210" s="16"/>
      <c r="K210" s="92"/>
      <c r="L210" s="3"/>
    </row>
    <row r="211" spans="1:12" ht="30" customHeight="1" x14ac:dyDescent="0.2">
      <c r="A211" s="4">
        <v>170</v>
      </c>
      <c r="B211" s="3" t="s">
        <v>30</v>
      </c>
      <c r="C211" s="3"/>
      <c r="D211" s="9"/>
      <c r="E211" s="330"/>
      <c r="F211" s="323">
        <v>18000000</v>
      </c>
      <c r="G211" s="20">
        <v>4.4999999999999998E-2</v>
      </c>
      <c r="H211" s="323">
        <f t="shared" si="4"/>
        <v>810000</v>
      </c>
      <c r="I211" s="16"/>
      <c r="J211" s="16"/>
      <c r="K211" s="92"/>
      <c r="L211" s="3"/>
    </row>
    <row r="212" spans="1:12" ht="30" customHeight="1" x14ac:dyDescent="0.2">
      <c r="A212" s="4">
        <v>171</v>
      </c>
      <c r="B212" s="3" t="s">
        <v>31</v>
      </c>
      <c r="C212" s="52" t="s">
        <v>1138</v>
      </c>
      <c r="D212" s="9"/>
      <c r="E212" s="330"/>
      <c r="F212" s="323">
        <v>70000000</v>
      </c>
      <c r="G212" s="20">
        <v>0.05</v>
      </c>
      <c r="H212" s="323">
        <f t="shared" si="4"/>
        <v>3500000</v>
      </c>
      <c r="I212" s="16"/>
      <c r="J212" s="16"/>
      <c r="K212" s="92"/>
      <c r="L212" s="3"/>
    </row>
    <row r="213" spans="1:12" ht="30" customHeight="1" x14ac:dyDescent="0.2">
      <c r="A213" s="4">
        <v>172</v>
      </c>
      <c r="B213" s="3" t="s">
        <v>32</v>
      </c>
      <c r="C213" s="52" t="s">
        <v>688</v>
      </c>
      <c r="D213" s="9"/>
      <c r="E213" s="330"/>
      <c r="F213" s="328"/>
      <c r="G213" s="44"/>
      <c r="H213" s="323">
        <v>400000</v>
      </c>
      <c r="I213" s="16"/>
      <c r="J213" s="16"/>
      <c r="K213" s="92"/>
      <c r="L213" s="103" t="s">
        <v>687</v>
      </c>
    </row>
    <row r="214" spans="1:12" ht="30" customHeight="1" x14ac:dyDescent="0.2">
      <c r="A214" s="2031">
        <v>173</v>
      </c>
      <c r="B214" s="2088" t="s">
        <v>33</v>
      </c>
      <c r="C214" s="2090"/>
      <c r="D214" s="2092"/>
      <c r="E214" s="2080"/>
      <c r="F214" s="328">
        <v>5000000</v>
      </c>
      <c r="G214" s="44">
        <v>0.05</v>
      </c>
      <c r="H214" s="328">
        <f t="shared" si="4"/>
        <v>250000</v>
      </c>
      <c r="I214" s="116"/>
      <c r="J214" s="116"/>
      <c r="K214" s="382"/>
      <c r="L214" s="117"/>
    </row>
    <row r="215" spans="1:12" ht="30" customHeight="1" x14ac:dyDescent="0.2">
      <c r="A215" s="2034"/>
      <c r="B215" s="2132"/>
      <c r="C215" s="2133"/>
      <c r="D215" s="2134"/>
      <c r="E215" s="2126"/>
      <c r="F215" s="328"/>
      <c r="G215" s="44"/>
      <c r="H215" s="328"/>
      <c r="I215" s="116"/>
      <c r="J215" s="116"/>
      <c r="K215" s="382"/>
      <c r="L215" s="117"/>
    </row>
    <row r="216" spans="1:12" ht="30" customHeight="1" x14ac:dyDescent="0.2">
      <c r="A216" s="2032"/>
      <c r="B216" s="2089"/>
      <c r="C216" s="2091"/>
      <c r="D216" s="2093"/>
      <c r="E216" s="2081"/>
      <c r="F216" s="328"/>
      <c r="G216" s="44"/>
      <c r="H216" s="328"/>
      <c r="I216" s="116"/>
      <c r="J216" s="116"/>
      <c r="K216" s="382"/>
      <c r="L216" s="117"/>
    </row>
    <row r="217" spans="1:12" ht="30" customHeight="1" x14ac:dyDescent="0.2">
      <c r="A217" s="4">
        <v>174</v>
      </c>
      <c r="B217" s="3" t="s">
        <v>34</v>
      </c>
      <c r="C217" s="3"/>
      <c r="D217" s="9"/>
      <c r="E217" s="330"/>
      <c r="F217" s="323">
        <v>40000000</v>
      </c>
      <c r="G217" s="20">
        <v>0.05</v>
      </c>
      <c r="H217" s="323">
        <f t="shared" si="4"/>
        <v>2000000</v>
      </c>
      <c r="I217" s="16"/>
      <c r="J217" s="16"/>
      <c r="K217" s="92"/>
      <c r="L217" s="3"/>
    </row>
    <row r="218" spans="1:12" ht="30" customHeight="1" x14ac:dyDescent="0.2">
      <c r="A218" s="2031">
        <v>175</v>
      </c>
      <c r="B218" s="2074" t="s">
        <v>1547</v>
      </c>
      <c r="C218" s="2031"/>
      <c r="D218" s="2078"/>
      <c r="E218" s="2040"/>
      <c r="F218" s="2080"/>
      <c r="G218" s="2082"/>
      <c r="H218" s="2080">
        <f t="shared" si="4"/>
        <v>0</v>
      </c>
      <c r="I218" s="2061"/>
      <c r="J218" s="2061"/>
      <c r="K218" s="2059" t="s">
        <v>1546</v>
      </c>
      <c r="L218" s="2031"/>
    </row>
    <row r="219" spans="1:12" ht="30" customHeight="1" x14ac:dyDescent="0.2">
      <c r="A219" s="2034"/>
      <c r="B219" s="2110"/>
      <c r="C219" s="2034"/>
      <c r="D219" s="2111"/>
      <c r="E219" s="2041"/>
      <c r="F219" s="2126"/>
      <c r="G219" s="2127"/>
      <c r="H219" s="2126"/>
      <c r="I219" s="2062"/>
      <c r="J219" s="2062"/>
      <c r="K219" s="2064"/>
      <c r="L219" s="2034"/>
    </row>
    <row r="220" spans="1:12" ht="30" customHeight="1" x14ac:dyDescent="0.2">
      <c r="A220" s="2032"/>
      <c r="B220" s="2075"/>
      <c r="C220" s="2032"/>
      <c r="D220" s="2079"/>
      <c r="E220" s="2042"/>
      <c r="F220" s="2081"/>
      <c r="G220" s="2083"/>
      <c r="H220" s="2081"/>
      <c r="I220" s="2063"/>
      <c r="J220" s="2063"/>
      <c r="K220" s="2060"/>
      <c r="L220" s="2032"/>
    </row>
    <row r="221" spans="1:12" ht="30" customHeight="1" x14ac:dyDescent="0.2">
      <c r="A221" s="4">
        <v>176</v>
      </c>
      <c r="B221" s="3" t="s">
        <v>37</v>
      </c>
      <c r="C221" s="3"/>
      <c r="D221" s="9"/>
      <c r="E221" s="330"/>
      <c r="F221" s="323">
        <v>200000000</v>
      </c>
      <c r="G221" s="20">
        <v>0.05</v>
      </c>
      <c r="H221" s="323">
        <f t="shared" si="4"/>
        <v>10000000</v>
      </c>
      <c r="I221" s="16"/>
      <c r="J221" s="16"/>
      <c r="K221" s="92"/>
      <c r="L221" s="3"/>
    </row>
    <row r="222" spans="1:12" ht="30" customHeight="1" x14ac:dyDescent="0.2">
      <c r="A222" s="4">
        <v>177</v>
      </c>
      <c r="B222" s="3" t="s">
        <v>38</v>
      </c>
      <c r="C222" s="3"/>
      <c r="D222" s="9"/>
      <c r="E222" s="330"/>
      <c r="F222" s="323">
        <v>150000000</v>
      </c>
      <c r="G222" s="20">
        <v>7.0000000000000007E-2</v>
      </c>
      <c r="H222" s="323">
        <f t="shared" si="4"/>
        <v>10500000.000000002</v>
      </c>
      <c r="I222" s="16"/>
      <c r="J222" s="16"/>
      <c r="K222" s="92"/>
      <c r="L222" s="3"/>
    </row>
    <row r="223" spans="1:12" ht="30" customHeight="1" x14ac:dyDescent="0.2">
      <c r="A223" s="4">
        <v>178</v>
      </c>
      <c r="B223" s="3" t="s">
        <v>39</v>
      </c>
      <c r="C223" s="3"/>
      <c r="D223" s="9"/>
      <c r="E223" s="330"/>
      <c r="F223" s="323">
        <v>25000000</v>
      </c>
      <c r="G223" s="20">
        <v>0.04</v>
      </c>
      <c r="H223" s="323">
        <f t="shared" si="4"/>
        <v>1000000</v>
      </c>
      <c r="I223" s="16"/>
      <c r="J223" s="16"/>
      <c r="K223" s="92"/>
      <c r="L223" s="3"/>
    </row>
    <row r="224" spans="1:12" ht="30" customHeight="1" x14ac:dyDescent="0.2">
      <c r="A224" s="4">
        <v>179</v>
      </c>
      <c r="B224" s="3" t="s">
        <v>40</v>
      </c>
      <c r="C224" s="3"/>
      <c r="D224" s="9"/>
      <c r="E224" s="330"/>
      <c r="F224" s="323">
        <v>90000000</v>
      </c>
      <c r="G224" s="20">
        <v>4.4999999999999998E-2</v>
      </c>
      <c r="H224" s="323">
        <v>4000000</v>
      </c>
      <c r="I224" s="16"/>
      <c r="J224" s="16"/>
      <c r="K224" s="92"/>
      <c r="L224" s="3"/>
    </row>
    <row r="225" spans="1:12" ht="30" customHeight="1" x14ac:dyDescent="0.2">
      <c r="A225" s="4">
        <v>180</v>
      </c>
      <c r="B225" s="3" t="s">
        <v>41</v>
      </c>
      <c r="C225" s="3"/>
      <c r="D225" s="9"/>
      <c r="E225" s="330"/>
      <c r="F225" s="328"/>
      <c r="G225" s="44"/>
      <c r="H225" s="328">
        <f t="shared" si="4"/>
        <v>0</v>
      </c>
      <c r="I225" s="16"/>
      <c r="J225" s="16"/>
      <c r="K225" s="92"/>
      <c r="L225" s="3"/>
    </row>
    <row r="226" spans="1:12" ht="30" customHeight="1" x14ac:dyDescent="0.2">
      <c r="A226" s="4">
        <v>181</v>
      </c>
      <c r="B226" s="3" t="s">
        <v>42</v>
      </c>
      <c r="C226" s="3"/>
      <c r="D226" s="9"/>
      <c r="E226" s="330"/>
      <c r="F226" s="323">
        <v>300000000</v>
      </c>
      <c r="G226" s="20">
        <v>5.7000000000000002E-2</v>
      </c>
      <c r="H226" s="323">
        <v>17000000</v>
      </c>
      <c r="I226" s="16"/>
      <c r="J226" s="16"/>
      <c r="K226" s="92"/>
      <c r="L226" s="3"/>
    </row>
    <row r="227" spans="1:12" ht="30" customHeight="1" x14ac:dyDescent="0.2">
      <c r="A227" s="4">
        <v>182</v>
      </c>
      <c r="B227" s="3" t="s">
        <v>43</v>
      </c>
      <c r="C227" s="173" t="s">
        <v>1018</v>
      </c>
      <c r="D227" s="9"/>
      <c r="E227" s="330"/>
      <c r="F227" s="323">
        <v>50000000</v>
      </c>
      <c r="G227" s="20">
        <v>0.05</v>
      </c>
      <c r="H227" s="323">
        <f t="shared" si="4"/>
        <v>2500000</v>
      </c>
      <c r="I227" s="16"/>
      <c r="J227" s="16"/>
      <c r="K227" s="92"/>
      <c r="L227" s="3"/>
    </row>
    <row r="228" spans="1:12" ht="30" customHeight="1" x14ac:dyDescent="0.2">
      <c r="A228" s="4">
        <v>183</v>
      </c>
      <c r="B228" s="3" t="s">
        <v>44</v>
      </c>
      <c r="C228" s="3"/>
      <c r="D228" s="9"/>
      <c r="E228" s="330"/>
      <c r="F228" s="323">
        <v>25000000</v>
      </c>
      <c r="G228" s="20">
        <v>0.05</v>
      </c>
      <c r="H228" s="323">
        <f t="shared" si="4"/>
        <v>1250000</v>
      </c>
      <c r="I228" s="16"/>
      <c r="J228" s="16"/>
      <c r="K228" s="92"/>
      <c r="L228" s="3"/>
    </row>
    <row r="229" spans="1:12" ht="30" customHeight="1" x14ac:dyDescent="0.2">
      <c r="A229" s="4">
        <v>184</v>
      </c>
      <c r="B229" s="3" t="s">
        <v>45</v>
      </c>
      <c r="C229" s="173" t="s">
        <v>1131</v>
      </c>
      <c r="D229" s="53" t="s">
        <v>1174</v>
      </c>
      <c r="E229" s="330"/>
      <c r="F229" s="323">
        <v>50000000</v>
      </c>
      <c r="G229" s="20">
        <v>0.05</v>
      </c>
      <c r="H229" s="323">
        <f t="shared" si="4"/>
        <v>2500000</v>
      </c>
      <c r="I229" s="16"/>
      <c r="J229" s="16"/>
      <c r="K229" s="92"/>
      <c r="L229" s="3"/>
    </row>
    <row r="230" spans="1:12" ht="30" customHeight="1" x14ac:dyDescent="0.2">
      <c r="A230" s="4">
        <v>185</v>
      </c>
      <c r="B230" s="3" t="s">
        <v>46</v>
      </c>
      <c r="C230" s="3" t="s">
        <v>1018</v>
      </c>
      <c r="D230" s="9"/>
      <c r="E230" s="330"/>
      <c r="F230" s="323">
        <v>20000000</v>
      </c>
      <c r="G230" s="20">
        <v>0.05</v>
      </c>
      <c r="H230" s="323">
        <f t="shared" si="4"/>
        <v>1000000</v>
      </c>
      <c r="I230" s="16"/>
      <c r="J230" s="16"/>
      <c r="K230" s="92"/>
      <c r="L230" s="3"/>
    </row>
    <row r="231" spans="1:12" ht="30" customHeight="1" x14ac:dyDescent="0.2">
      <c r="A231" s="4">
        <v>186</v>
      </c>
      <c r="B231" s="3" t="s">
        <v>47</v>
      </c>
      <c r="C231" s="3"/>
      <c r="D231" s="9"/>
      <c r="E231" s="330"/>
      <c r="F231" s="323">
        <v>70000000</v>
      </c>
      <c r="G231" s="20">
        <v>0.05</v>
      </c>
      <c r="H231" s="323">
        <f t="shared" si="4"/>
        <v>3500000</v>
      </c>
      <c r="I231" s="16"/>
      <c r="J231" s="16"/>
      <c r="K231" s="92"/>
      <c r="L231" s="3"/>
    </row>
    <row r="232" spans="1:12" ht="30" customHeight="1" x14ac:dyDescent="0.2">
      <c r="A232" s="4">
        <v>187</v>
      </c>
      <c r="B232" s="3" t="s">
        <v>48</v>
      </c>
      <c r="C232" s="3"/>
      <c r="D232" s="9"/>
      <c r="E232" s="330"/>
      <c r="F232" s="323">
        <v>8000000</v>
      </c>
      <c r="G232" s="20">
        <v>0.04</v>
      </c>
      <c r="H232" s="323">
        <f t="shared" si="4"/>
        <v>320000</v>
      </c>
      <c r="I232" s="16"/>
      <c r="J232" s="16"/>
      <c r="K232" s="92"/>
      <c r="L232" s="3"/>
    </row>
    <row r="233" spans="1:12" ht="30" customHeight="1" x14ac:dyDescent="0.2">
      <c r="A233" s="4">
        <v>188</v>
      </c>
      <c r="B233" s="3" t="s">
        <v>49</v>
      </c>
      <c r="C233" s="3"/>
      <c r="D233" s="9"/>
      <c r="E233" s="330"/>
      <c r="F233" s="323">
        <v>200000000</v>
      </c>
      <c r="G233" s="20">
        <v>0.05</v>
      </c>
      <c r="H233" s="323">
        <f t="shared" si="4"/>
        <v>10000000</v>
      </c>
      <c r="I233" s="16"/>
      <c r="J233" s="16"/>
      <c r="K233" s="92"/>
      <c r="L233" s="3"/>
    </row>
    <row r="234" spans="1:12" ht="30" customHeight="1" x14ac:dyDescent="0.2">
      <c r="A234" s="4">
        <v>189</v>
      </c>
      <c r="B234" s="3" t="s">
        <v>50</v>
      </c>
      <c r="C234" s="3"/>
      <c r="D234" s="9"/>
      <c r="E234" s="330"/>
      <c r="F234" s="323">
        <v>200000000</v>
      </c>
      <c r="G234" s="20">
        <v>0.05</v>
      </c>
      <c r="H234" s="323">
        <f t="shared" si="4"/>
        <v>10000000</v>
      </c>
      <c r="I234" s="16"/>
      <c r="J234" s="16"/>
      <c r="K234" s="92"/>
      <c r="L234" s="3"/>
    </row>
    <row r="235" spans="1:12" ht="30" customHeight="1" x14ac:dyDescent="0.2">
      <c r="A235" s="4">
        <v>190</v>
      </c>
      <c r="B235" s="3" t="s">
        <v>51</v>
      </c>
      <c r="C235" s="43" t="s">
        <v>700</v>
      </c>
      <c r="D235" s="9"/>
      <c r="E235" s="330"/>
      <c r="F235" s="323">
        <v>15000000</v>
      </c>
      <c r="G235" s="20">
        <v>0.05</v>
      </c>
      <c r="H235" s="323">
        <f t="shared" si="4"/>
        <v>750000</v>
      </c>
      <c r="I235" s="16"/>
      <c r="J235" s="16"/>
      <c r="K235" s="92"/>
      <c r="L235" s="3"/>
    </row>
    <row r="236" spans="1:12" ht="30" customHeight="1" x14ac:dyDescent="0.2">
      <c r="A236" s="2031">
        <v>191</v>
      </c>
      <c r="B236" s="2074" t="s">
        <v>52</v>
      </c>
      <c r="C236" s="43" t="s">
        <v>1131</v>
      </c>
      <c r="D236" s="53" t="s">
        <v>898</v>
      </c>
      <c r="E236" s="53" t="s">
        <v>1321</v>
      </c>
      <c r="F236" s="323">
        <v>80000000</v>
      </c>
      <c r="G236" s="20">
        <v>0.05</v>
      </c>
      <c r="H236" s="323">
        <f t="shared" si="4"/>
        <v>4000000</v>
      </c>
      <c r="I236" s="16"/>
      <c r="J236" s="16"/>
      <c r="K236" s="92" t="s">
        <v>1256</v>
      </c>
      <c r="L236" s="3"/>
    </row>
    <row r="237" spans="1:12" ht="30" customHeight="1" x14ac:dyDescent="0.2">
      <c r="A237" s="2032"/>
      <c r="B237" s="2075"/>
      <c r="C237" s="43" t="s">
        <v>1131</v>
      </c>
      <c r="D237" s="53" t="s">
        <v>1319</v>
      </c>
      <c r="E237" s="53" t="s">
        <v>1320</v>
      </c>
      <c r="F237" s="323">
        <v>200000000</v>
      </c>
      <c r="G237" s="20">
        <v>0.05</v>
      </c>
      <c r="H237" s="323">
        <f t="shared" si="4"/>
        <v>10000000</v>
      </c>
      <c r="I237" s="16"/>
      <c r="J237" s="16"/>
      <c r="K237" s="92"/>
      <c r="L237" s="3"/>
    </row>
    <row r="238" spans="1:12" ht="30" customHeight="1" x14ac:dyDescent="0.2">
      <c r="A238" s="2031">
        <v>192</v>
      </c>
      <c r="B238" s="2088" t="s">
        <v>53</v>
      </c>
      <c r="C238" s="43" t="s">
        <v>1019</v>
      </c>
      <c r="D238" s="9"/>
      <c r="E238" s="330"/>
      <c r="F238" s="323">
        <v>100000000</v>
      </c>
      <c r="G238" s="20">
        <v>0.06</v>
      </c>
      <c r="H238" s="323">
        <f t="shared" si="4"/>
        <v>6000000</v>
      </c>
      <c r="I238" s="16"/>
      <c r="J238" s="16"/>
      <c r="K238" s="92"/>
      <c r="L238" s="3"/>
    </row>
    <row r="239" spans="1:12" ht="30" customHeight="1" x14ac:dyDescent="0.2">
      <c r="A239" s="2032"/>
      <c r="B239" s="2089"/>
      <c r="C239" s="43" t="s">
        <v>380</v>
      </c>
      <c r="D239" s="12"/>
      <c r="E239" s="7"/>
      <c r="F239" s="323">
        <v>300000000</v>
      </c>
      <c r="G239" s="20">
        <v>0.04</v>
      </c>
      <c r="H239" s="323">
        <f>F239*G239</f>
        <v>12000000</v>
      </c>
      <c r="I239" s="16"/>
      <c r="J239" s="16"/>
      <c r="K239" s="92"/>
      <c r="L239" s="3"/>
    </row>
    <row r="240" spans="1:12" ht="30" customHeight="1" x14ac:dyDescent="0.2">
      <c r="A240" s="4">
        <v>193</v>
      </c>
      <c r="B240" s="3" t="s">
        <v>54</v>
      </c>
      <c r="C240" s="3"/>
      <c r="D240" s="9"/>
      <c r="E240" s="330"/>
      <c r="F240" s="328"/>
      <c r="G240" s="44"/>
      <c r="H240" s="328">
        <f t="shared" si="4"/>
        <v>0</v>
      </c>
      <c r="I240" s="16"/>
      <c r="J240" s="16"/>
      <c r="K240" s="92" t="s">
        <v>2114</v>
      </c>
      <c r="L240" s="3"/>
    </row>
    <row r="241" spans="1:12" ht="30" customHeight="1" x14ac:dyDescent="0.2">
      <c r="A241" s="4">
        <v>194</v>
      </c>
      <c r="B241" s="3" t="s">
        <v>55</v>
      </c>
      <c r="C241" s="3"/>
      <c r="D241" s="37" t="s">
        <v>1027</v>
      </c>
      <c r="E241" s="330"/>
      <c r="F241" s="323">
        <v>45000000</v>
      </c>
      <c r="G241" s="20">
        <v>0.04</v>
      </c>
      <c r="H241" s="323">
        <f t="shared" si="4"/>
        <v>1800000</v>
      </c>
      <c r="I241" s="16"/>
      <c r="J241" s="16"/>
      <c r="K241" s="92"/>
      <c r="L241" s="3"/>
    </row>
    <row r="242" spans="1:12" ht="30" customHeight="1" x14ac:dyDescent="0.2">
      <c r="A242" s="2031">
        <v>195</v>
      </c>
      <c r="B242" s="2074" t="s">
        <v>56</v>
      </c>
      <c r="C242" s="2031"/>
      <c r="D242" s="2078"/>
      <c r="E242" s="2040"/>
      <c r="F242" s="2080"/>
      <c r="G242" s="2130"/>
      <c r="H242" s="2080">
        <f t="shared" si="4"/>
        <v>0</v>
      </c>
      <c r="I242" s="16"/>
      <c r="J242" s="16"/>
      <c r="K242" s="92"/>
      <c r="L242" s="3"/>
    </row>
    <row r="243" spans="1:12" ht="30" customHeight="1" x14ac:dyDescent="0.2">
      <c r="A243" s="2032"/>
      <c r="B243" s="2075"/>
      <c r="C243" s="2032"/>
      <c r="D243" s="2079"/>
      <c r="E243" s="2042"/>
      <c r="F243" s="2081"/>
      <c r="G243" s="2131"/>
      <c r="H243" s="2081"/>
      <c r="I243" s="16"/>
      <c r="J243" s="16"/>
      <c r="K243" s="92"/>
      <c r="L243" s="3"/>
    </row>
    <row r="244" spans="1:12" ht="30" customHeight="1" x14ac:dyDescent="0.2">
      <c r="A244" s="4">
        <v>196</v>
      </c>
      <c r="B244" s="3" t="s">
        <v>57</v>
      </c>
      <c r="C244" s="3" t="s">
        <v>1019</v>
      </c>
      <c r="D244" s="9"/>
      <c r="E244" s="330"/>
      <c r="F244" s="323">
        <v>10000000</v>
      </c>
      <c r="G244" s="20">
        <v>0.05</v>
      </c>
      <c r="H244" s="323">
        <f t="shared" si="4"/>
        <v>500000</v>
      </c>
      <c r="I244" s="16"/>
      <c r="J244" s="16"/>
      <c r="K244" s="92"/>
      <c r="L244" s="3"/>
    </row>
    <row r="245" spans="1:12" ht="30" customHeight="1" x14ac:dyDescent="0.2">
      <c r="A245" s="4">
        <v>197</v>
      </c>
      <c r="B245" s="3" t="s">
        <v>58</v>
      </c>
      <c r="C245" s="4" t="s">
        <v>1138</v>
      </c>
      <c r="D245" s="9"/>
      <c r="E245" s="330"/>
      <c r="F245" s="323">
        <v>20000000</v>
      </c>
      <c r="G245" s="20">
        <v>0.04</v>
      </c>
      <c r="H245" s="323">
        <f t="shared" si="4"/>
        <v>800000</v>
      </c>
      <c r="I245" s="16"/>
      <c r="J245" s="16"/>
      <c r="K245" s="92"/>
      <c r="L245" s="3"/>
    </row>
    <row r="246" spans="1:12" ht="30" customHeight="1" x14ac:dyDescent="0.2">
      <c r="A246" s="4">
        <v>198</v>
      </c>
      <c r="B246" s="3" t="s">
        <v>59</v>
      </c>
      <c r="C246" s="3"/>
      <c r="D246" s="9"/>
      <c r="E246" s="330"/>
      <c r="F246" s="323">
        <v>150000000</v>
      </c>
      <c r="G246" s="20">
        <v>0.04</v>
      </c>
      <c r="H246" s="323">
        <f t="shared" si="4"/>
        <v>6000000</v>
      </c>
      <c r="I246" s="16"/>
      <c r="J246" s="16"/>
      <c r="K246" s="92"/>
      <c r="L246" s="3"/>
    </row>
    <row r="247" spans="1:12" ht="30" customHeight="1" x14ac:dyDescent="0.2">
      <c r="A247" s="4">
        <v>199</v>
      </c>
      <c r="B247" s="3" t="s">
        <v>60</v>
      </c>
      <c r="C247" s="3"/>
      <c r="D247" s="9"/>
      <c r="E247" s="330"/>
      <c r="F247" s="323">
        <v>30000000</v>
      </c>
      <c r="G247" s="20">
        <v>8.5000000000000006E-2</v>
      </c>
      <c r="H247" s="323">
        <v>2500000</v>
      </c>
      <c r="I247" s="16"/>
      <c r="J247" s="16"/>
      <c r="K247" s="92"/>
      <c r="L247" s="3"/>
    </row>
    <row r="248" spans="1:12" ht="30" customHeight="1" x14ac:dyDescent="0.2">
      <c r="A248" s="4">
        <v>200</v>
      </c>
      <c r="B248" s="3" t="s">
        <v>61</v>
      </c>
      <c r="C248" s="52" t="s">
        <v>1131</v>
      </c>
      <c r="D248" s="323" t="s">
        <v>1174</v>
      </c>
      <c r="E248" s="330"/>
      <c r="F248" s="323">
        <v>50000000</v>
      </c>
      <c r="G248" s="20">
        <v>0.05</v>
      </c>
      <c r="H248" s="323">
        <f t="shared" si="4"/>
        <v>2500000</v>
      </c>
      <c r="I248" s="16"/>
      <c r="J248" s="16"/>
      <c r="K248" s="92"/>
      <c r="L248" s="3"/>
    </row>
    <row r="249" spans="1:12" ht="30" customHeight="1" x14ac:dyDescent="0.2">
      <c r="A249" s="4">
        <v>201</v>
      </c>
      <c r="B249" s="3" t="s">
        <v>62</v>
      </c>
      <c r="C249" s="3"/>
      <c r="D249" s="9"/>
      <c r="E249" s="330"/>
      <c r="F249" s="323">
        <v>350000000</v>
      </c>
      <c r="G249" s="20">
        <v>7.0000000000000007E-2</v>
      </c>
      <c r="H249" s="323">
        <f t="shared" si="4"/>
        <v>24500000.000000004</v>
      </c>
      <c r="I249" s="16"/>
      <c r="J249" s="16"/>
      <c r="K249" s="92" t="s">
        <v>2618</v>
      </c>
      <c r="L249" s="3"/>
    </row>
    <row r="250" spans="1:12" ht="30" customHeight="1" x14ac:dyDescent="0.2">
      <c r="A250" s="4">
        <v>202</v>
      </c>
      <c r="B250" s="3" t="s">
        <v>63</v>
      </c>
      <c r="C250" s="3"/>
      <c r="D250" s="9"/>
      <c r="E250" s="330"/>
      <c r="F250" s="328"/>
      <c r="G250" s="44"/>
      <c r="H250" s="328">
        <f t="shared" si="4"/>
        <v>0</v>
      </c>
      <c r="I250" s="16"/>
      <c r="J250" s="16"/>
      <c r="K250" s="92" t="s">
        <v>1371</v>
      </c>
      <c r="L250" s="3"/>
    </row>
    <row r="251" spans="1:12" ht="30" customHeight="1" x14ac:dyDescent="0.2">
      <c r="A251" s="4">
        <v>203</v>
      </c>
      <c r="B251" s="3" t="s">
        <v>64</v>
      </c>
      <c r="C251" s="3"/>
      <c r="D251" s="9"/>
      <c r="E251" s="330"/>
      <c r="F251" s="323">
        <v>100000000</v>
      </c>
      <c r="G251" s="20">
        <v>4.4999999999999998E-2</v>
      </c>
      <c r="H251" s="323">
        <f t="shared" si="4"/>
        <v>4500000</v>
      </c>
      <c r="I251" s="16"/>
      <c r="J251" s="16"/>
      <c r="K251" s="92"/>
      <c r="L251" s="3"/>
    </row>
    <row r="252" spans="1:12" ht="30" customHeight="1" x14ac:dyDescent="0.2">
      <c r="A252" s="4">
        <v>204</v>
      </c>
      <c r="B252" s="3" t="s">
        <v>1292</v>
      </c>
      <c r="C252" s="52" t="s">
        <v>1112</v>
      </c>
      <c r="D252" s="9"/>
      <c r="E252" s="330"/>
      <c r="F252" s="323">
        <v>60000000</v>
      </c>
      <c r="G252" s="20">
        <v>0.05</v>
      </c>
      <c r="H252" s="323">
        <f t="shared" si="4"/>
        <v>3000000</v>
      </c>
      <c r="I252" s="16"/>
      <c r="J252" s="16"/>
      <c r="K252" s="92" t="s">
        <v>1193</v>
      </c>
      <c r="L252" s="3"/>
    </row>
    <row r="253" spans="1:12" ht="30" customHeight="1" x14ac:dyDescent="0.2">
      <c r="A253" s="4">
        <v>205</v>
      </c>
      <c r="B253" s="3" t="s">
        <v>65</v>
      </c>
      <c r="C253" s="3"/>
      <c r="D253" s="9"/>
      <c r="E253" s="330"/>
      <c r="F253" s="323">
        <v>30000000</v>
      </c>
      <c r="G253" s="20">
        <v>4.4999999999999998E-2</v>
      </c>
      <c r="H253" s="323">
        <f t="shared" si="4"/>
        <v>1350000</v>
      </c>
      <c r="I253" s="16"/>
      <c r="J253" s="16"/>
      <c r="K253" s="92"/>
      <c r="L253" s="3"/>
    </row>
    <row r="254" spans="1:12" ht="30" customHeight="1" x14ac:dyDescent="0.2">
      <c r="A254" s="4">
        <v>206</v>
      </c>
      <c r="B254" s="3" t="s">
        <v>66</v>
      </c>
      <c r="C254" s="3"/>
      <c r="D254" s="9"/>
      <c r="E254" s="330"/>
      <c r="F254" s="328"/>
      <c r="G254" s="44"/>
      <c r="H254" s="328">
        <f t="shared" si="4"/>
        <v>0</v>
      </c>
      <c r="I254" s="16"/>
      <c r="J254" s="16"/>
      <c r="K254" s="92"/>
      <c r="L254" s="3"/>
    </row>
    <row r="255" spans="1:12" ht="30" customHeight="1" x14ac:dyDescent="0.2">
      <c r="A255" s="4">
        <v>207</v>
      </c>
      <c r="B255" s="3" t="s">
        <v>67</v>
      </c>
      <c r="C255" s="173" t="s">
        <v>1019</v>
      </c>
      <c r="D255" s="9"/>
      <c r="E255" s="330"/>
      <c r="F255" s="323">
        <v>150000000</v>
      </c>
      <c r="G255" s="20">
        <v>0.04</v>
      </c>
      <c r="H255" s="323">
        <f t="shared" si="4"/>
        <v>6000000</v>
      </c>
      <c r="I255" s="16"/>
      <c r="J255" s="16"/>
      <c r="K255" s="92"/>
      <c r="L255" s="3"/>
    </row>
    <row r="256" spans="1:12" ht="30" customHeight="1" x14ac:dyDescent="0.2">
      <c r="A256" s="2031">
        <v>208</v>
      </c>
      <c r="B256" s="2074" t="s">
        <v>69</v>
      </c>
      <c r="C256" s="2031" t="s">
        <v>700</v>
      </c>
      <c r="D256" s="2128" t="s">
        <v>902</v>
      </c>
      <c r="E256" s="2040" t="s">
        <v>1218</v>
      </c>
      <c r="F256" s="323">
        <v>45000000</v>
      </c>
      <c r="G256" s="20">
        <v>0.04</v>
      </c>
      <c r="H256" s="323">
        <f t="shared" si="4"/>
        <v>1800000</v>
      </c>
      <c r="I256" s="2061"/>
      <c r="J256" s="2061"/>
      <c r="K256" s="2059" t="s">
        <v>1203</v>
      </c>
      <c r="L256" s="2031"/>
    </row>
    <row r="257" spans="1:12" ht="30" customHeight="1" x14ac:dyDescent="0.2">
      <c r="A257" s="2032"/>
      <c r="B257" s="2075"/>
      <c r="C257" s="2032"/>
      <c r="D257" s="2129"/>
      <c r="E257" s="2042"/>
      <c r="F257" s="323">
        <v>50000000</v>
      </c>
      <c r="G257" s="20">
        <v>0.04</v>
      </c>
      <c r="H257" s="323">
        <f t="shared" si="4"/>
        <v>2000000</v>
      </c>
      <c r="I257" s="2063"/>
      <c r="J257" s="2063"/>
      <c r="K257" s="2060"/>
      <c r="L257" s="2032"/>
    </row>
    <row r="258" spans="1:12" ht="30" customHeight="1" x14ac:dyDescent="0.2">
      <c r="A258" s="4">
        <v>209</v>
      </c>
      <c r="B258" s="3" t="s">
        <v>70</v>
      </c>
      <c r="C258" s="173" t="s">
        <v>1131</v>
      </c>
      <c r="D258" s="9"/>
      <c r="E258" s="330"/>
      <c r="F258" s="323">
        <v>15000000</v>
      </c>
      <c r="G258" s="20">
        <v>0.04</v>
      </c>
      <c r="H258" s="323">
        <f t="shared" si="4"/>
        <v>600000</v>
      </c>
      <c r="I258" s="16"/>
      <c r="J258" s="16"/>
      <c r="K258" s="92"/>
      <c r="L258" s="3"/>
    </row>
    <row r="259" spans="1:12" ht="30" customHeight="1" x14ac:dyDescent="0.2">
      <c r="A259" s="4">
        <v>210</v>
      </c>
      <c r="B259" s="3" t="s">
        <v>71</v>
      </c>
      <c r="C259" s="3"/>
      <c r="D259" s="9"/>
      <c r="E259" s="330"/>
      <c r="F259" s="323">
        <v>10000000</v>
      </c>
      <c r="G259" s="20">
        <v>0.05</v>
      </c>
      <c r="H259" s="323">
        <f t="shared" si="4"/>
        <v>500000</v>
      </c>
      <c r="I259" s="16"/>
      <c r="J259" s="16"/>
      <c r="K259" s="92"/>
      <c r="L259" s="3"/>
    </row>
    <row r="260" spans="1:12" ht="30" customHeight="1" x14ac:dyDescent="0.2">
      <c r="A260" s="4">
        <v>211</v>
      </c>
      <c r="B260" s="3" t="s">
        <v>73</v>
      </c>
      <c r="C260" s="3"/>
      <c r="D260" s="9"/>
      <c r="E260" s="330"/>
      <c r="F260" s="328"/>
      <c r="G260" s="44"/>
      <c r="H260" s="328">
        <f t="shared" si="4"/>
        <v>0</v>
      </c>
      <c r="I260" s="16"/>
      <c r="J260" s="16"/>
      <c r="K260" s="92"/>
      <c r="L260" s="3"/>
    </row>
    <row r="261" spans="1:12" ht="30" customHeight="1" x14ac:dyDescent="0.2">
      <c r="A261" s="4">
        <v>212</v>
      </c>
      <c r="B261" s="3" t="s">
        <v>74</v>
      </c>
      <c r="C261" s="3"/>
      <c r="D261" s="9"/>
      <c r="E261" s="330"/>
      <c r="F261" s="323">
        <v>100000000</v>
      </c>
      <c r="G261" s="20">
        <v>0.05</v>
      </c>
      <c r="H261" s="323">
        <f t="shared" si="4"/>
        <v>5000000</v>
      </c>
      <c r="I261" s="16"/>
      <c r="J261" s="16"/>
      <c r="K261" s="92"/>
      <c r="L261" s="3"/>
    </row>
    <row r="262" spans="1:12" ht="30" customHeight="1" x14ac:dyDescent="0.2">
      <c r="A262" s="4">
        <v>213</v>
      </c>
      <c r="B262" s="3" t="s">
        <v>75</v>
      </c>
      <c r="C262" s="3"/>
      <c r="D262" s="9"/>
      <c r="E262" s="330"/>
      <c r="F262" s="323">
        <v>30000000</v>
      </c>
      <c r="G262" s="20">
        <v>0.05</v>
      </c>
      <c r="H262" s="323">
        <f t="shared" si="4"/>
        <v>1500000</v>
      </c>
      <c r="I262" s="16"/>
      <c r="J262" s="16"/>
      <c r="K262" s="92"/>
      <c r="L262" s="3"/>
    </row>
    <row r="263" spans="1:12" ht="30" customHeight="1" x14ac:dyDescent="0.2">
      <c r="A263" s="4">
        <v>214</v>
      </c>
      <c r="B263" s="3" t="s">
        <v>76</v>
      </c>
      <c r="C263" s="3"/>
      <c r="D263" s="9"/>
      <c r="E263" s="330"/>
      <c r="F263" s="323">
        <v>15000000</v>
      </c>
      <c r="G263" s="20">
        <v>4.7E-2</v>
      </c>
      <c r="H263" s="323">
        <v>700000</v>
      </c>
      <c r="I263" s="16"/>
      <c r="J263" s="16"/>
      <c r="K263" s="92"/>
      <c r="L263" s="3"/>
    </row>
    <row r="264" spans="1:12" ht="30" customHeight="1" x14ac:dyDescent="0.2">
      <c r="A264" s="4">
        <v>215</v>
      </c>
      <c r="B264" s="3" t="s">
        <v>966</v>
      </c>
      <c r="C264" s="3"/>
      <c r="D264" s="9"/>
      <c r="E264" s="330"/>
      <c r="F264" s="323">
        <v>200000000</v>
      </c>
      <c r="G264" s="20">
        <v>5.5E-2</v>
      </c>
      <c r="H264" s="323">
        <f t="shared" si="4"/>
        <v>11000000</v>
      </c>
      <c r="I264" s="16"/>
      <c r="J264" s="16"/>
      <c r="K264" s="92"/>
      <c r="L264" s="3"/>
    </row>
    <row r="265" spans="1:12" ht="30" customHeight="1" x14ac:dyDescent="0.2">
      <c r="A265" s="4">
        <v>216</v>
      </c>
      <c r="B265" s="3" t="s">
        <v>77</v>
      </c>
      <c r="C265" s="3"/>
      <c r="D265" s="9"/>
      <c r="E265" s="330"/>
      <c r="F265" s="323">
        <v>70000000</v>
      </c>
      <c r="G265" s="20">
        <v>0.05</v>
      </c>
      <c r="H265" s="323">
        <f t="shared" si="4"/>
        <v>3500000</v>
      </c>
      <c r="I265" s="16"/>
      <c r="J265" s="16"/>
      <c r="K265" s="92"/>
      <c r="L265" s="3"/>
    </row>
    <row r="266" spans="1:12" ht="30" customHeight="1" x14ac:dyDescent="0.2">
      <c r="A266" s="4">
        <v>217</v>
      </c>
      <c r="B266" s="3" t="s">
        <v>78</v>
      </c>
      <c r="C266" s="3"/>
      <c r="D266" s="9"/>
      <c r="E266" s="330"/>
      <c r="F266" s="328"/>
      <c r="G266" s="44"/>
      <c r="H266" s="411">
        <v>11250000</v>
      </c>
      <c r="I266" s="16"/>
      <c r="J266" s="16"/>
      <c r="K266" s="92" t="s">
        <v>1538</v>
      </c>
      <c r="L266" s="3"/>
    </row>
    <row r="267" spans="1:12" ht="30" customHeight="1" x14ac:dyDescent="0.2">
      <c r="A267" s="4">
        <v>218</v>
      </c>
      <c r="B267" s="3" t="s">
        <v>80</v>
      </c>
      <c r="C267" s="3"/>
      <c r="D267" s="9"/>
      <c r="E267" s="330"/>
      <c r="F267" s="323">
        <v>160000000</v>
      </c>
      <c r="G267" s="20">
        <v>0.05</v>
      </c>
      <c r="H267" s="323">
        <f t="shared" ref="H267:H324" si="5">F267*G267</f>
        <v>8000000</v>
      </c>
      <c r="I267" s="16"/>
      <c r="J267" s="16"/>
      <c r="K267" s="92"/>
      <c r="L267" s="3"/>
    </row>
    <row r="268" spans="1:12" ht="30" customHeight="1" x14ac:dyDescent="0.2">
      <c r="A268" s="4">
        <v>219</v>
      </c>
      <c r="B268" s="3" t="s">
        <v>81</v>
      </c>
      <c r="C268" s="3"/>
      <c r="D268" s="9"/>
      <c r="E268" s="330"/>
      <c r="F268" s="323">
        <v>45000000</v>
      </c>
      <c r="G268" s="20">
        <v>0.04</v>
      </c>
      <c r="H268" s="323">
        <f t="shared" si="5"/>
        <v>1800000</v>
      </c>
      <c r="I268" s="16"/>
      <c r="J268" s="16"/>
      <c r="K268" s="92"/>
      <c r="L268" s="3"/>
    </row>
    <row r="269" spans="1:12" ht="30" customHeight="1" x14ac:dyDescent="0.2">
      <c r="A269" s="4">
        <v>220</v>
      </c>
      <c r="B269" s="3" t="s">
        <v>82</v>
      </c>
      <c r="C269" s="3"/>
      <c r="D269" s="9"/>
      <c r="E269" s="330"/>
      <c r="F269" s="328"/>
      <c r="G269" s="44"/>
      <c r="H269" s="328">
        <f t="shared" si="5"/>
        <v>0</v>
      </c>
      <c r="I269" s="16"/>
      <c r="J269" s="16"/>
      <c r="K269" s="92"/>
      <c r="L269" s="3"/>
    </row>
    <row r="270" spans="1:12" ht="30" customHeight="1" x14ac:dyDescent="0.2">
      <c r="A270" s="2031">
        <v>221</v>
      </c>
      <c r="B270" s="2031" t="s">
        <v>83</v>
      </c>
      <c r="C270" s="2031"/>
      <c r="D270" s="2078"/>
      <c r="E270" s="2040"/>
      <c r="F270" s="2040">
        <v>203000000</v>
      </c>
      <c r="G270" s="2037">
        <v>0.05</v>
      </c>
      <c r="H270" s="2040">
        <f t="shared" si="5"/>
        <v>10150000</v>
      </c>
      <c r="I270" s="16"/>
      <c r="J270" s="16"/>
      <c r="K270" s="92"/>
      <c r="L270" s="3"/>
    </row>
    <row r="271" spans="1:12" ht="30" customHeight="1" x14ac:dyDescent="0.2">
      <c r="A271" s="2032"/>
      <c r="B271" s="2032"/>
      <c r="C271" s="2032"/>
      <c r="D271" s="2079"/>
      <c r="E271" s="2042"/>
      <c r="F271" s="2042"/>
      <c r="G271" s="2039"/>
      <c r="H271" s="2042"/>
      <c r="I271" s="16"/>
      <c r="J271" s="16"/>
      <c r="K271" s="92"/>
      <c r="L271" s="3"/>
    </row>
    <row r="272" spans="1:12" ht="30" customHeight="1" x14ac:dyDescent="0.2">
      <c r="A272" s="2031">
        <v>222</v>
      </c>
      <c r="B272" s="2074" t="s">
        <v>332</v>
      </c>
      <c r="C272" s="2031"/>
      <c r="D272" s="2078"/>
      <c r="E272" s="2040"/>
      <c r="F272" s="2040">
        <v>275000000</v>
      </c>
      <c r="G272" s="2037">
        <v>4.2000000000000003E-2</v>
      </c>
      <c r="H272" s="2040">
        <f>F272*G272</f>
        <v>11550000</v>
      </c>
      <c r="I272" s="2061"/>
      <c r="J272" s="2061"/>
      <c r="K272" s="92">
        <v>9157054132</v>
      </c>
      <c r="L272" s="2031"/>
    </row>
    <row r="273" spans="1:12" ht="30" customHeight="1" x14ac:dyDescent="0.2">
      <c r="A273" s="2032"/>
      <c r="B273" s="2075"/>
      <c r="C273" s="2032"/>
      <c r="D273" s="2079"/>
      <c r="E273" s="2042"/>
      <c r="F273" s="2042"/>
      <c r="G273" s="2039"/>
      <c r="H273" s="2042"/>
      <c r="I273" s="2063"/>
      <c r="J273" s="2063"/>
      <c r="K273" s="92"/>
      <c r="L273" s="2032"/>
    </row>
    <row r="274" spans="1:12" ht="30" customHeight="1" x14ac:dyDescent="0.2">
      <c r="A274" s="408"/>
      <c r="B274" s="426" t="s">
        <v>84</v>
      </c>
      <c r="C274" s="408"/>
      <c r="D274" s="413"/>
      <c r="E274" s="411"/>
      <c r="F274" s="323">
        <v>700000000</v>
      </c>
      <c r="G274" s="20">
        <v>5.5E-2</v>
      </c>
      <c r="H274" s="330">
        <f>F274*G274</f>
        <v>38500000</v>
      </c>
      <c r="I274" s="16"/>
      <c r="J274" s="16"/>
      <c r="K274" s="92" t="s">
        <v>1253</v>
      </c>
      <c r="L274" s="3"/>
    </row>
    <row r="275" spans="1:12" ht="30" customHeight="1" x14ac:dyDescent="0.2">
      <c r="A275" s="4">
        <v>224</v>
      </c>
      <c r="B275" s="3" t="s">
        <v>85</v>
      </c>
      <c r="C275" s="3" t="s">
        <v>1750</v>
      </c>
      <c r="D275" s="9"/>
      <c r="E275" s="330"/>
      <c r="F275" s="510">
        <v>100000000</v>
      </c>
      <c r="G275" s="519">
        <v>0.05</v>
      </c>
      <c r="H275" s="510">
        <f t="shared" si="5"/>
        <v>5000000</v>
      </c>
      <c r="I275" s="16"/>
      <c r="J275" s="16"/>
      <c r="K275" s="92"/>
      <c r="L275" s="3"/>
    </row>
    <row r="276" spans="1:12" ht="30" customHeight="1" x14ac:dyDescent="0.2">
      <c r="A276" s="4">
        <v>225</v>
      </c>
      <c r="B276" s="3" t="s">
        <v>86</v>
      </c>
      <c r="C276" s="3"/>
      <c r="D276" s="9"/>
      <c r="E276" s="330"/>
      <c r="F276" s="323">
        <v>10000000</v>
      </c>
      <c r="G276" s="20">
        <v>0.05</v>
      </c>
      <c r="H276" s="323">
        <f t="shared" si="5"/>
        <v>500000</v>
      </c>
      <c r="I276" s="16"/>
      <c r="J276" s="16"/>
      <c r="K276" s="92"/>
      <c r="L276" s="3"/>
    </row>
    <row r="277" spans="1:12" ht="30" customHeight="1" x14ac:dyDescent="0.2">
      <c r="A277" s="4">
        <v>226</v>
      </c>
      <c r="B277" s="3" t="s">
        <v>87</v>
      </c>
      <c r="C277" s="3"/>
      <c r="D277" s="9"/>
      <c r="E277" s="330"/>
      <c r="F277" s="328"/>
      <c r="G277" s="44"/>
      <c r="H277" s="328">
        <f t="shared" si="5"/>
        <v>0</v>
      </c>
      <c r="I277" s="16"/>
      <c r="J277" s="16"/>
      <c r="K277" s="92"/>
      <c r="L277" s="82" t="s">
        <v>733</v>
      </c>
    </row>
    <row r="278" spans="1:12" ht="30" customHeight="1" x14ac:dyDescent="0.2">
      <c r="A278" s="2031">
        <v>227</v>
      </c>
      <c r="B278" s="2074" t="s">
        <v>88</v>
      </c>
      <c r="C278" s="2031"/>
      <c r="D278" s="2078"/>
      <c r="E278" s="2040"/>
      <c r="F278" s="174"/>
      <c r="G278" s="2115" t="s">
        <v>1284</v>
      </c>
      <c r="H278" s="2116"/>
      <c r="I278" s="16"/>
      <c r="J278" s="16"/>
      <c r="K278" s="92" t="s">
        <v>1171</v>
      </c>
      <c r="L278" s="3"/>
    </row>
    <row r="279" spans="1:12" ht="30" customHeight="1" x14ac:dyDescent="0.2">
      <c r="A279" s="2032"/>
      <c r="B279" s="2075"/>
      <c r="C279" s="2032"/>
      <c r="D279" s="2079"/>
      <c r="E279" s="2042"/>
      <c r="F279" s="330">
        <v>500000000</v>
      </c>
      <c r="G279" s="20">
        <v>0.06</v>
      </c>
      <c r="H279" s="20">
        <f>F279*G279</f>
        <v>30000000</v>
      </c>
      <c r="I279" s="16"/>
      <c r="J279" s="16"/>
      <c r="K279" s="92"/>
      <c r="L279" s="3"/>
    </row>
    <row r="280" spans="1:12" ht="30" customHeight="1" x14ac:dyDescent="0.2">
      <c r="A280" s="4">
        <v>228</v>
      </c>
      <c r="B280" s="3" t="s">
        <v>89</v>
      </c>
      <c r="C280" s="3"/>
      <c r="D280" s="9"/>
      <c r="E280" s="330"/>
      <c r="F280" s="323">
        <v>20000000</v>
      </c>
      <c r="G280" s="20">
        <v>0.05</v>
      </c>
      <c r="H280" s="323">
        <f>F280*G280</f>
        <v>1000000</v>
      </c>
      <c r="I280" s="16"/>
      <c r="J280" s="16"/>
      <c r="K280" s="92">
        <v>9303150997</v>
      </c>
      <c r="L280" s="3"/>
    </row>
    <row r="281" spans="1:12" ht="30" customHeight="1" x14ac:dyDescent="0.2">
      <c r="A281" s="4">
        <v>229</v>
      </c>
      <c r="B281" s="3" t="s">
        <v>90</v>
      </c>
      <c r="C281" s="3"/>
      <c r="D281" s="9"/>
      <c r="E281" s="330"/>
      <c r="F281" s="328"/>
      <c r="G281" s="44"/>
      <c r="H281" s="328">
        <f t="shared" si="5"/>
        <v>0</v>
      </c>
      <c r="I281" s="16"/>
      <c r="J281" s="16"/>
      <c r="K281" s="92"/>
      <c r="L281" s="3"/>
    </row>
    <row r="282" spans="1:12" ht="30" customHeight="1" x14ac:dyDescent="0.2">
      <c r="A282" s="4">
        <v>230</v>
      </c>
      <c r="B282" s="3" t="s">
        <v>91</v>
      </c>
      <c r="C282" s="3"/>
      <c r="D282" s="9"/>
      <c r="E282" s="330"/>
      <c r="F282" s="328"/>
      <c r="G282" s="44"/>
      <c r="H282" s="328">
        <f t="shared" si="5"/>
        <v>0</v>
      </c>
      <c r="I282" s="16"/>
      <c r="J282" s="16"/>
      <c r="K282" s="92" t="s">
        <v>1861</v>
      </c>
      <c r="L282" s="3"/>
    </row>
    <row r="283" spans="1:12" ht="30" customHeight="1" x14ac:dyDescent="0.2">
      <c r="A283" s="4">
        <v>231</v>
      </c>
      <c r="B283" s="3" t="s">
        <v>92</v>
      </c>
      <c r="C283" s="3"/>
      <c r="D283" s="9"/>
      <c r="E283" s="330"/>
      <c r="F283" s="323">
        <v>20000000</v>
      </c>
      <c r="G283" s="20">
        <v>0.05</v>
      </c>
      <c r="H283" s="323">
        <f t="shared" si="5"/>
        <v>1000000</v>
      </c>
      <c r="I283" s="16"/>
      <c r="J283" s="16"/>
      <c r="K283" s="92"/>
      <c r="L283" s="3"/>
    </row>
    <row r="284" spans="1:12" ht="30" customHeight="1" x14ac:dyDescent="0.2">
      <c r="A284" s="4">
        <v>232</v>
      </c>
      <c r="B284" s="3" t="s">
        <v>93</v>
      </c>
      <c r="C284" s="3"/>
      <c r="D284" s="9"/>
      <c r="E284" s="330"/>
      <c r="F284" s="323">
        <v>30000000</v>
      </c>
      <c r="G284" s="20">
        <v>4.4999999999999998E-2</v>
      </c>
      <c r="H284" s="323">
        <f t="shared" si="5"/>
        <v>1350000</v>
      </c>
      <c r="I284" s="16"/>
      <c r="J284" s="16"/>
      <c r="K284" s="92"/>
      <c r="L284" s="3"/>
    </row>
    <row r="285" spans="1:12" ht="30" customHeight="1" x14ac:dyDescent="0.2">
      <c r="A285" s="4">
        <v>233</v>
      </c>
      <c r="B285" s="3" t="s">
        <v>94</v>
      </c>
      <c r="C285" s="3"/>
      <c r="D285" s="53" t="s">
        <v>383</v>
      </c>
      <c r="E285" s="330"/>
      <c r="F285" s="323">
        <v>55000000</v>
      </c>
      <c r="G285" s="20">
        <v>0.04</v>
      </c>
      <c r="H285" s="323">
        <f t="shared" si="5"/>
        <v>2200000</v>
      </c>
      <c r="I285" s="16"/>
      <c r="J285" s="16"/>
      <c r="K285" s="92"/>
      <c r="L285" s="3"/>
    </row>
    <row r="286" spans="1:12" ht="30" customHeight="1" x14ac:dyDescent="0.2">
      <c r="A286" s="4">
        <v>234</v>
      </c>
      <c r="B286" s="13" t="s">
        <v>280</v>
      </c>
      <c r="C286" s="13"/>
      <c r="D286" s="14"/>
      <c r="E286" s="15"/>
      <c r="F286" s="323">
        <v>50000000</v>
      </c>
      <c r="G286" s="20">
        <v>0.05</v>
      </c>
      <c r="H286" s="323">
        <f t="shared" si="5"/>
        <v>2500000</v>
      </c>
      <c r="I286" s="17"/>
      <c r="J286" s="17"/>
      <c r="K286" s="92"/>
      <c r="L286" s="18" t="s">
        <v>279</v>
      </c>
    </row>
    <row r="287" spans="1:12" ht="30" customHeight="1" x14ac:dyDescent="0.2">
      <c r="A287" s="2031">
        <v>235</v>
      </c>
      <c r="B287" s="2074" t="s">
        <v>95</v>
      </c>
      <c r="C287" s="2031"/>
      <c r="D287" s="2078"/>
      <c r="E287" s="2040"/>
      <c r="F287" s="2080"/>
      <c r="G287" s="2082"/>
      <c r="H287" s="2040">
        <v>21000000</v>
      </c>
      <c r="I287" s="2061"/>
      <c r="J287" s="2061"/>
      <c r="K287" s="2059"/>
      <c r="L287" s="2065" t="s">
        <v>667</v>
      </c>
    </row>
    <row r="288" spans="1:12" ht="30" customHeight="1" x14ac:dyDescent="0.2">
      <c r="A288" s="2034"/>
      <c r="B288" s="2110"/>
      <c r="C288" s="2034"/>
      <c r="D288" s="2111"/>
      <c r="E288" s="2041"/>
      <c r="F288" s="2126"/>
      <c r="G288" s="2127"/>
      <c r="H288" s="2042"/>
      <c r="I288" s="2062"/>
      <c r="J288" s="2062"/>
      <c r="K288" s="2064"/>
      <c r="L288" s="2066"/>
    </row>
    <row r="289" spans="1:12" ht="30" customHeight="1" x14ac:dyDescent="0.2">
      <c r="A289" s="2032"/>
      <c r="B289" s="2075"/>
      <c r="C289" s="2032"/>
      <c r="D289" s="2079"/>
      <c r="E289" s="2042"/>
      <c r="F289" s="2081"/>
      <c r="G289" s="2083"/>
      <c r="H289" s="323">
        <v>21000000</v>
      </c>
      <c r="I289" s="2063"/>
      <c r="J289" s="2063"/>
      <c r="K289" s="2060"/>
      <c r="L289" s="2067"/>
    </row>
    <row r="290" spans="1:12" ht="30" customHeight="1" x14ac:dyDescent="0.2">
      <c r="A290" s="4">
        <v>236</v>
      </c>
      <c r="B290" s="3" t="s">
        <v>96</v>
      </c>
      <c r="C290" s="3"/>
      <c r="D290" s="9"/>
      <c r="E290" s="330"/>
      <c r="F290" s="323">
        <v>50000000</v>
      </c>
      <c r="G290" s="20">
        <v>0.04</v>
      </c>
      <c r="H290" s="323">
        <f t="shared" si="5"/>
        <v>2000000</v>
      </c>
      <c r="I290" s="16"/>
      <c r="J290" s="16"/>
      <c r="K290" s="92"/>
      <c r="L290" s="3"/>
    </row>
    <row r="291" spans="1:12" ht="30" customHeight="1" x14ac:dyDescent="0.2">
      <c r="A291" s="4">
        <v>237</v>
      </c>
      <c r="B291" s="3" t="s">
        <v>97</v>
      </c>
      <c r="C291" s="3"/>
      <c r="D291" s="9"/>
      <c r="E291" s="330"/>
      <c r="F291" s="323">
        <v>37000000</v>
      </c>
      <c r="G291" s="20">
        <v>4.1000000000000002E-2</v>
      </c>
      <c r="H291" s="323">
        <v>1500000</v>
      </c>
      <c r="I291" s="16"/>
      <c r="J291" s="16"/>
      <c r="K291" s="92"/>
      <c r="L291" s="3"/>
    </row>
    <row r="292" spans="1:12" ht="30" customHeight="1" x14ac:dyDescent="0.2">
      <c r="A292" s="4">
        <v>238</v>
      </c>
      <c r="B292" s="3" t="s">
        <v>98</v>
      </c>
      <c r="C292" s="3"/>
      <c r="D292" s="9"/>
      <c r="E292" s="330"/>
      <c r="F292" s="323">
        <v>62500000</v>
      </c>
      <c r="G292" s="20">
        <v>4.8000000000000001E-2</v>
      </c>
      <c r="H292" s="323">
        <f t="shared" si="5"/>
        <v>3000000</v>
      </c>
      <c r="I292" s="16"/>
      <c r="J292" s="16"/>
      <c r="K292" s="92"/>
      <c r="L292" s="3"/>
    </row>
    <row r="293" spans="1:12" ht="30" customHeight="1" x14ac:dyDescent="0.2">
      <c r="A293" s="4">
        <v>239</v>
      </c>
      <c r="B293" s="3" t="s">
        <v>99</v>
      </c>
      <c r="C293" s="3"/>
      <c r="D293" s="9"/>
      <c r="E293" s="330"/>
      <c r="F293" s="323">
        <v>100000000</v>
      </c>
      <c r="G293" s="20">
        <v>0.05</v>
      </c>
      <c r="H293" s="323">
        <f t="shared" si="5"/>
        <v>5000000</v>
      </c>
      <c r="I293" s="16"/>
      <c r="J293" s="16"/>
      <c r="K293" s="92"/>
      <c r="L293" s="3"/>
    </row>
    <row r="294" spans="1:12" ht="30" customHeight="1" x14ac:dyDescent="0.2">
      <c r="A294" s="4">
        <v>240</v>
      </c>
      <c r="B294" s="3" t="s">
        <v>100</v>
      </c>
      <c r="C294" s="3"/>
      <c r="D294" s="9"/>
      <c r="E294" s="330"/>
      <c r="F294" s="323">
        <v>50000000</v>
      </c>
      <c r="G294" s="20">
        <v>0.05</v>
      </c>
      <c r="H294" s="323">
        <f t="shared" si="5"/>
        <v>2500000</v>
      </c>
      <c r="I294" s="16"/>
      <c r="J294" s="16"/>
      <c r="K294" s="92"/>
      <c r="L294" s="3"/>
    </row>
    <row r="295" spans="1:12" ht="30" customHeight="1" x14ac:dyDescent="0.2">
      <c r="A295" s="4">
        <v>241</v>
      </c>
      <c r="B295" s="3" t="s">
        <v>101</v>
      </c>
      <c r="C295" s="3"/>
      <c r="D295" s="9"/>
      <c r="E295" s="330"/>
      <c r="F295" s="323">
        <v>100000000</v>
      </c>
      <c r="G295" s="20">
        <v>0.04</v>
      </c>
      <c r="H295" s="323">
        <f t="shared" si="5"/>
        <v>4000000</v>
      </c>
      <c r="I295" s="16"/>
      <c r="J295" s="16"/>
      <c r="K295" s="92"/>
      <c r="L295" s="3"/>
    </row>
    <row r="296" spans="1:12" ht="30" customHeight="1" x14ac:dyDescent="0.2">
      <c r="A296" s="2031">
        <v>242</v>
      </c>
      <c r="B296" s="2074" t="s">
        <v>573</v>
      </c>
      <c r="C296" s="2031"/>
      <c r="D296" s="2078"/>
      <c r="E296" s="2040"/>
      <c r="F296" s="2040">
        <v>30000000</v>
      </c>
      <c r="G296" s="2082"/>
      <c r="H296" s="2040">
        <v>2350000</v>
      </c>
      <c r="I296" s="2061"/>
      <c r="J296" s="2061"/>
      <c r="K296" s="2059"/>
      <c r="L296" s="2068" t="s">
        <v>673</v>
      </c>
    </row>
    <row r="297" spans="1:12" ht="30" customHeight="1" x14ac:dyDescent="0.2">
      <c r="A297" s="2032"/>
      <c r="B297" s="2075"/>
      <c r="C297" s="2032"/>
      <c r="D297" s="2079"/>
      <c r="E297" s="2042"/>
      <c r="F297" s="2042"/>
      <c r="G297" s="2083"/>
      <c r="H297" s="2042"/>
      <c r="I297" s="2063"/>
      <c r="J297" s="2063"/>
      <c r="K297" s="2060"/>
      <c r="L297" s="2069"/>
    </row>
    <row r="298" spans="1:12" ht="30" customHeight="1" x14ac:dyDescent="0.2">
      <c r="A298" s="4">
        <v>243</v>
      </c>
      <c r="B298" s="3" t="s">
        <v>102</v>
      </c>
      <c r="C298" s="3"/>
      <c r="D298" s="9"/>
      <c r="E298" s="330"/>
      <c r="F298" s="323">
        <v>100000000</v>
      </c>
      <c r="G298" s="20">
        <v>4.4999999999999998E-2</v>
      </c>
      <c r="H298" s="323">
        <f t="shared" si="5"/>
        <v>4500000</v>
      </c>
      <c r="I298" s="16"/>
      <c r="J298" s="16"/>
      <c r="K298" s="92"/>
      <c r="L298" s="3"/>
    </row>
    <row r="299" spans="1:12" ht="30" customHeight="1" x14ac:dyDescent="0.2">
      <c r="A299" s="2031">
        <v>244</v>
      </c>
      <c r="B299" s="2074" t="s">
        <v>519</v>
      </c>
      <c r="C299" s="2123" t="s">
        <v>379</v>
      </c>
      <c r="D299" s="2078"/>
      <c r="E299" s="2040"/>
      <c r="F299" s="330">
        <v>25000000</v>
      </c>
      <c r="G299" s="20">
        <v>0.04</v>
      </c>
      <c r="H299" s="330">
        <f t="shared" si="5"/>
        <v>1000000</v>
      </c>
      <c r="I299" s="2061"/>
      <c r="J299" s="2061"/>
      <c r="K299" s="2059" t="s">
        <v>2091</v>
      </c>
      <c r="L299" s="2031"/>
    </row>
    <row r="300" spans="1:12" ht="30" customHeight="1" x14ac:dyDescent="0.2">
      <c r="A300" s="2034"/>
      <c r="B300" s="2110"/>
      <c r="C300" s="2124"/>
      <c r="D300" s="2111"/>
      <c r="E300" s="2041"/>
      <c r="F300" s="1947" t="s">
        <v>1216</v>
      </c>
      <c r="G300" s="1948"/>
      <c r="H300" s="1949"/>
      <c r="I300" s="2062"/>
      <c r="J300" s="2062"/>
      <c r="K300" s="2064"/>
      <c r="L300" s="2034"/>
    </row>
    <row r="301" spans="1:12" ht="30" customHeight="1" x14ac:dyDescent="0.2">
      <c r="A301" s="2032"/>
      <c r="B301" s="2075"/>
      <c r="C301" s="2125"/>
      <c r="D301" s="2079"/>
      <c r="E301" s="2042"/>
      <c r="F301" s="330">
        <v>20000000</v>
      </c>
      <c r="G301" s="20">
        <v>0.04</v>
      </c>
      <c r="H301" s="330">
        <f>F301*G301</f>
        <v>800000</v>
      </c>
      <c r="I301" s="2063"/>
      <c r="J301" s="2063"/>
      <c r="K301" s="2060"/>
      <c r="L301" s="2032"/>
    </row>
    <row r="302" spans="1:12" ht="30" customHeight="1" x14ac:dyDescent="0.2">
      <c r="A302" s="4">
        <v>245</v>
      </c>
      <c r="B302" s="3" t="s">
        <v>103</v>
      </c>
      <c r="C302" s="3"/>
      <c r="D302" s="9"/>
      <c r="E302" s="330"/>
      <c r="F302" s="323">
        <v>50000000</v>
      </c>
      <c r="G302" s="20">
        <v>0.05</v>
      </c>
      <c r="H302" s="323">
        <f t="shared" si="5"/>
        <v>2500000</v>
      </c>
      <c r="I302" s="16"/>
      <c r="J302" s="16"/>
      <c r="K302" s="92"/>
      <c r="L302" s="3"/>
    </row>
    <row r="303" spans="1:12" ht="30" customHeight="1" x14ac:dyDescent="0.2">
      <c r="A303" s="4">
        <v>246</v>
      </c>
      <c r="B303" s="3" t="s">
        <v>320</v>
      </c>
      <c r="C303" s="3"/>
      <c r="D303" s="9"/>
      <c r="E303" s="330"/>
      <c r="F303" s="323">
        <v>60000000</v>
      </c>
      <c r="G303" s="20">
        <v>0.05</v>
      </c>
      <c r="H303" s="323">
        <f t="shared" si="5"/>
        <v>3000000</v>
      </c>
      <c r="I303" s="16"/>
      <c r="J303" s="16"/>
      <c r="K303" s="92" t="s">
        <v>1862</v>
      </c>
      <c r="L303" s="3"/>
    </row>
    <row r="304" spans="1:12" ht="30" customHeight="1" x14ac:dyDescent="0.2">
      <c r="A304" s="4">
        <v>247</v>
      </c>
      <c r="B304" s="3" t="s">
        <v>105</v>
      </c>
      <c r="C304" s="3"/>
      <c r="D304" s="9"/>
      <c r="E304" s="330"/>
      <c r="F304" s="323">
        <v>85000000</v>
      </c>
      <c r="G304" s="20">
        <v>5.0999999999999997E-2</v>
      </c>
      <c r="H304" s="323">
        <v>4300000</v>
      </c>
      <c r="I304" s="16"/>
      <c r="J304" s="16"/>
      <c r="K304" s="92"/>
      <c r="L304" s="3"/>
    </row>
    <row r="305" spans="1:12" ht="30" customHeight="1" x14ac:dyDescent="0.2">
      <c r="A305" s="4">
        <v>248</v>
      </c>
      <c r="B305" s="3" t="s">
        <v>106</v>
      </c>
      <c r="C305" s="3"/>
      <c r="D305" s="9"/>
      <c r="E305" s="330"/>
      <c r="F305" s="323">
        <v>220000000</v>
      </c>
      <c r="G305" s="20">
        <v>7.0000000000000007E-2</v>
      </c>
      <c r="H305" s="323">
        <f t="shared" si="5"/>
        <v>15400000.000000002</v>
      </c>
      <c r="I305" s="16"/>
      <c r="J305" s="16"/>
      <c r="K305" s="92"/>
      <c r="L305" s="3" t="s">
        <v>347</v>
      </c>
    </row>
    <row r="306" spans="1:12" ht="30" customHeight="1" x14ac:dyDescent="0.2">
      <c r="A306" s="4">
        <v>249</v>
      </c>
      <c r="B306" s="3" t="s">
        <v>107</v>
      </c>
      <c r="C306" s="3"/>
      <c r="D306" s="9"/>
      <c r="E306" s="330"/>
      <c r="F306" s="328"/>
      <c r="G306" s="44"/>
      <c r="H306" s="328">
        <f t="shared" si="5"/>
        <v>0</v>
      </c>
      <c r="I306" s="16"/>
      <c r="J306" s="16"/>
      <c r="K306" s="92"/>
      <c r="L306" s="3"/>
    </row>
    <row r="307" spans="1:12" ht="30" customHeight="1" x14ac:dyDescent="0.2">
      <c r="A307" s="4">
        <v>250</v>
      </c>
      <c r="B307" s="3" t="s">
        <v>108</v>
      </c>
      <c r="C307" s="59" t="s">
        <v>265</v>
      </c>
      <c r="D307" s="9"/>
      <c r="E307" s="330"/>
      <c r="F307" s="323">
        <v>10000000</v>
      </c>
      <c r="G307" s="20">
        <v>0.05</v>
      </c>
      <c r="H307" s="323">
        <f t="shared" si="5"/>
        <v>500000</v>
      </c>
      <c r="I307" s="16"/>
      <c r="J307" s="16"/>
      <c r="K307" s="92"/>
      <c r="L307" s="3"/>
    </row>
    <row r="308" spans="1:12" ht="30" customHeight="1" x14ac:dyDescent="0.2">
      <c r="A308" s="4">
        <v>251</v>
      </c>
      <c r="B308" s="3" t="s">
        <v>109</v>
      </c>
      <c r="C308" s="3"/>
      <c r="D308" s="9"/>
      <c r="E308" s="330"/>
      <c r="F308" s="323">
        <v>200000000</v>
      </c>
      <c r="G308" s="20">
        <v>0.04</v>
      </c>
      <c r="H308" s="323">
        <f t="shared" si="5"/>
        <v>8000000</v>
      </c>
      <c r="I308" s="16"/>
      <c r="J308" s="16"/>
      <c r="K308" s="92"/>
      <c r="L308" s="3"/>
    </row>
    <row r="309" spans="1:12" ht="30" customHeight="1" x14ac:dyDescent="0.2">
      <c r="A309" s="4">
        <v>252</v>
      </c>
      <c r="B309" s="3" t="s">
        <v>110</v>
      </c>
      <c r="C309" s="3"/>
      <c r="D309" s="9"/>
      <c r="E309" s="330"/>
      <c r="F309" s="328"/>
      <c r="G309" s="44"/>
      <c r="H309" s="328">
        <f t="shared" si="5"/>
        <v>0</v>
      </c>
      <c r="I309" s="16"/>
      <c r="J309" s="16"/>
      <c r="K309" s="92"/>
      <c r="L309" s="3" t="s">
        <v>444</v>
      </c>
    </row>
    <row r="310" spans="1:12" ht="30" customHeight="1" x14ac:dyDescent="0.2">
      <c r="A310" s="4">
        <v>253</v>
      </c>
      <c r="B310" s="3" t="s">
        <v>111</v>
      </c>
      <c r="C310" s="3"/>
      <c r="D310" s="9"/>
      <c r="E310" s="330"/>
      <c r="F310" s="323">
        <v>265000000</v>
      </c>
      <c r="G310" s="20">
        <v>0.05</v>
      </c>
      <c r="H310" s="323">
        <f>F310*G310</f>
        <v>13250000</v>
      </c>
      <c r="I310" s="16"/>
      <c r="J310" s="16"/>
      <c r="K310" s="92">
        <v>9151199376</v>
      </c>
      <c r="L310" s="3"/>
    </row>
    <row r="311" spans="1:12" ht="30" customHeight="1" x14ac:dyDescent="0.2">
      <c r="A311" s="4">
        <v>254</v>
      </c>
      <c r="B311" s="3" t="s">
        <v>112</v>
      </c>
      <c r="C311" s="3"/>
      <c r="D311" s="9"/>
      <c r="E311" s="330"/>
      <c r="F311" s="323">
        <v>20000000</v>
      </c>
      <c r="G311" s="20">
        <v>0.05</v>
      </c>
      <c r="H311" s="323">
        <f t="shared" si="5"/>
        <v>1000000</v>
      </c>
      <c r="I311" s="16"/>
      <c r="J311" s="16"/>
      <c r="K311" s="92"/>
      <c r="L311" s="3"/>
    </row>
    <row r="312" spans="1:12" ht="30" customHeight="1" x14ac:dyDescent="0.2">
      <c r="A312" s="4">
        <v>255</v>
      </c>
      <c r="B312" s="3" t="s">
        <v>113</v>
      </c>
      <c r="C312" s="52" t="s">
        <v>380</v>
      </c>
      <c r="D312" s="9"/>
      <c r="E312" s="330"/>
      <c r="F312" s="323">
        <v>180000000</v>
      </c>
      <c r="G312" s="20">
        <v>0.05</v>
      </c>
      <c r="H312" s="323">
        <f t="shared" si="5"/>
        <v>9000000</v>
      </c>
      <c r="I312" s="16"/>
      <c r="J312" s="16"/>
      <c r="K312" s="92"/>
      <c r="L312" s="3"/>
    </row>
    <row r="313" spans="1:12" ht="30" customHeight="1" x14ac:dyDescent="0.2">
      <c r="A313" s="4">
        <v>256</v>
      </c>
      <c r="B313" s="3" t="s">
        <v>114</v>
      </c>
      <c r="C313" s="3"/>
      <c r="D313" s="9"/>
      <c r="E313" s="330"/>
      <c r="F313" s="323">
        <v>275000000</v>
      </c>
      <c r="G313" s="20">
        <v>0.05</v>
      </c>
      <c r="H313" s="323">
        <f t="shared" si="5"/>
        <v>13750000</v>
      </c>
      <c r="I313" s="16"/>
      <c r="J313" s="16"/>
      <c r="K313" s="92"/>
      <c r="L313" s="3"/>
    </row>
    <row r="314" spans="1:12" ht="30" customHeight="1" x14ac:dyDescent="0.2">
      <c r="A314" s="4">
        <v>257</v>
      </c>
      <c r="B314" s="3" t="s">
        <v>115</v>
      </c>
      <c r="C314" s="3"/>
      <c r="D314" s="9"/>
      <c r="E314" s="330"/>
      <c r="F314" s="323">
        <v>40000000</v>
      </c>
      <c r="G314" s="20">
        <v>0.05</v>
      </c>
      <c r="H314" s="323">
        <f t="shared" si="5"/>
        <v>2000000</v>
      </c>
      <c r="I314" s="16"/>
      <c r="J314" s="16"/>
      <c r="K314" s="92" t="s">
        <v>1962</v>
      </c>
      <c r="L314" s="3"/>
    </row>
    <row r="315" spans="1:12" ht="30" customHeight="1" x14ac:dyDescent="0.2">
      <c r="A315" s="4">
        <v>258</v>
      </c>
      <c r="B315" s="3" t="s">
        <v>116</v>
      </c>
      <c r="C315" s="3"/>
      <c r="D315" s="9"/>
      <c r="E315" s="330"/>
      <c r="F315" s="323">
        <v>100000000</v>
      </c>
      <c r="G315" s="20">
        <v>0.05</v>
      </c>
      <c r="H315" s="323">
        <f t="shared" si="5"/>
        <v>5000000</v>
      </c>
      <c r="I315" s="16"/>
      <c r="J315" s="16"/>
      <c r="K315" s="92"/>
      <c r="L315" s="3"/>
    </row>
    <row r="316" spans="1:12" ht="30" customHeight="1" x14ac:dyDescent="0.2">
      <c r="A316" s="4">
        <v>259</v>
      </c>
      <c r="B316" s="3" t="s">
        <v>117</v>
      </c>
      <c r="C316" s="43" t="s">
        <v>493</v>
      </c>
      <c r="D316" s="9"/>
      <c r="E316" s="330"/>
      <c r="F316" s="323">
        <v>30000000</v>
      </c>
      <c r="G316" s="20">
        <v>0.05</v>
      </c>
      <c r="H316" s="323">
        <f t="shared" si="5"/>
        <v>1500000</v>
      </c>
      <c r="I316" s="16"/>
      <c r="J316" s="16"/>
      <c r="K316" s="92"/>
      <c r="L316" s="3"/>
    </row>
    <row r="317" spans="1:12" ht="30" customHeight="1" x14ac:dyDescent="0.2">
      <c r="A317" s="4">
        <v>260</v>
      </c>
      <c r="B317" s="3" t="s">
        <v>876</v>
      </c>
      <c r="C317" s="3"/>
      <c r="D317" s="9"/>
      <c r="E317" s="330"/>
      <c r="F317" s="323">
        <v>12000000</v>
      </c>
      <c r="G317" s="20">
        <v>0.05</v>
      </c>
      <c r="H317" s="323">
        <f t="shared" si="5"/>
        <v>600000</v>
      </c>
      <c r="I317" s="164" t="s">
        <v>923</v>
      </c>
      <c r="J317" s="165">
        <v>12000000</v>
      </c>
      <c r="K317" s="92"/>
      <c r="L317" s="3"/>
    </row>
    <row r="318" spans="1:12" ht="30" customHeight="1" x14ac:dyDescent="0.2">
      <c r="A318" s="4">
        <v>261</v>
      </c>
      <c r="B318" s="3" t="s">
        <v>159</v>
      </c>
      <c r="C318" s="3"/>
      <c r="D318" s="9"/>
      <c r="E318" s="330"/>
      <c r="F318" s="323">
        <v>20000000</v>
      </c>
      <c r="G318" s="20">
        <v>0.05</v>
      </c>
      <c r="H318" s="323">
        <f>F318*G318</f>
        <v>1000000</v>
      </c>
      <c r="I318" s="16" t="s">
        <v>924</v>
      </c>
      <c r="J318" s="16"/>
      <c r="K318" s="92"/>
      <c r="L318" s="3"/>
    </row>
    <row r="319" spans="1:12" ht="30" customHeight="1" x14ac:dyDescent="0.2">
      <c r="A319" s="4">
        <v>262</v>
      </c>
      <c r="B319" s="3" t="s">
        <v>119</v>
      </c>
      <c r="C319" s="52" t="s">
        <v>265</v>
      </c>
      <c r="D319" s="9"/>
      <c r="E319" s="330"/>
      <c r="F319" s="695">
        <v>50000000</v>
      </c>
      <c r="G319" s="699">
        <v>0.05</v>
      </c>
      <c r="H319" s="695">
        <f t="shared" si="5"/>
        <v>2500000</v>
      </c>
      <c r="I319" s="16"/>
      <c r="J319" s="16"/>
      <c r="K319" s="92"/>
      <c r="L319" s="3" t="s">
        <v>467</v>
      </c>
    </row>
    <row r="320" spans="1:12" ht="30" customHeight="1" x14ac:dyDescent="0.2">
      <c r="A320" s="4">
        <v>263</v>
      </c>
      <c r="B320" s="3" t="s">
        <v>120</v>
      </c>
      <c r="C320" s="3"/>
      <c r="D320" s="9"/>
      <c r="E320" s="330"/>
      <c r="F320" s="328"/>
      <c r="G320" s="44"/>
      <c r="H320" s="328">
        <f t="shared" si="5"/>
        <v>0</v>
      </c>
      <c r="I320" s="16"/>
      <c r="J320" s="16"/>
      <c r="K320" s="92"/>
      <c r="L320" s="3"/>
    </row>
    <row r="321" spans="1:12" ht="30" customHeight="1" x14ac:dyDescent="0.2">
      <c r="A321" s="4">
        <v>264</v>
      </c>
      <c r="B321" s="3" t="s">
        <v>121</v>
      </c>
      <c r="C321" s="3"/>
      <c r="D321" s="9"/>
      <c r="E321" s="330"/>
      <c r="F321" s="323">
        <v>7000000</v>
      </c>
      <c r="G321" s="20">
        <v>0.04</v>
      </c>
      <c r="H321" s="323">
        <f t="shared" si="5"/>
        <v>280000</v>
      </c>
      <c r="I321" s="16"/>
      <c r="J321" s="16"/>
      <c r="K321" s="92"/>
      <c r="L321" s="3"/>
    </row>
    <row r="322" spans="1:12" ht="30" customHeight="1" x14ac:dyDescent="0.2">
      <c r="A322" s="4">
        <v>265</v>
      </c>
      <c r="B322" s="3" t="s">
        <v>586</v>
      </c>
      <c r="C322" s="3"/>
      <c r="D322" s="9"/>
      <c r="E322" s="330"/>
      <c r="F322" s="328"/>
      <c r="G322" s="44"/>
      <c r="H322" s="328">
        <f t="shared" si="5"/>
        <v>0</v>
      </c>
      <c r="I322" s="16"/>
      <c r="J322" s="16"/>
      <c r="K322" s="92" t="s">
        <v>2090</v>
      </c>
      <c r="L322" s="71" t="s">
        <v>462</v>
      </c>
    </row>
    <row r="323" spans="1:12" ht="30" customHeight="1" x14ac:dyDescent="0.2">
      <c r="A323" s="4">
        <v>266</v>
      </c>
      <c r="B323" s="3" t="s">
        <v>122</v>
      </c>
      <c r="C323" s="3"/>
      <c r="D323" s="9"/>
      <c r="E323" s="330"/>
      <c r="F323" s="328"/>
      <c r="G323" s="44"/>
      <c r="H323" s="328">
        <f t="shared" si="5"/>
        <v>0</v>
      </c>
      <c r="I323" s="16"/>
      <c r="J323" s="16"/>
      <c r="K323" s="92"/>
      <c r="L323" s="68" t="s">
        <v>421</v>
      </c>
    </row>
    <row r="324" spans="1:12" ht="30" customHeight="1" x14ac:dyDescent="0.2">
      <c r="A324" s="2031">
        <v>267</v>
      </c>
      <c r="B324" s="2074" t="s">
        <v>123</v>
      </c>
      <c r="C324" s="2031"/>
      <c r="D324" s="2078"/>
      <c r="E324" s="2040"/>
      <c r="F324" s="323">
        <v>190000000</v>
      </c>
      <c r="G324" s="20">
        <v>5.5E-2</v>
      </c>
      <c r="H324" s="323">
        <f t="shared" si="5"/>
        <v>10450000</v>
      </c>
      <c r="I324" s="2061"/>
      <c r="J324" s="2061"/>
      <c r="K324" s="2059"/>
      <c r="L324" s="2031"/>
    </row>
    <row r="325" spans="1:12" ht="30" customHeight="1" x14ac:dyDescent="0.2">
      <c r="A325" s="2034"/>
      <c r="B325" s="2110"/>
      <c r="C325" s="2034"/>
      <c r="D325" s="2111"/>
      <c r="E325" s="2041"/>
      <c r="F325" s="2040">
        <v>190000000</v>
      </c>
      <c r="G325" s="2115" t="s">
        <v>884</v>
      </c>
      <c r="H325" s="2116"/>
      <c r="I325" s="2063"/>
      <c r="J325" s="2063"/>
      <c r="K325" s="2060"/>
      <c r="L325" s="2032"/>
    </row>
    <row r="326" spans="1:12" ht="30" customHeight="1" x14ac:dyDescent="0.2">
      <c r="A326" s="2034"/>
      <c r="B326" s="2110"/>
      <c r="C326" s="2034"/>
      <c r="D326" s="2111"/>
      <c r="E326" s="2041"/>
      <c r="F326" s="2041"/>
      <c r="G326" s="2121"/>
      <c r="H326" s="2122"/>
      <c r="I326" s="16"/>
      <c r="J326" s="16"/>
      <c r="K326" s="92"/>
      <c r="L326" s="318"/>
    </row>
    <row r="327" spans="1:12" ht="30" customHeight="1" x14ac:dyDescent="0.2">
      <c r="A327" s="2034"/>
      <c r="B327" s="2110"/>
      <c r="C327" s="2034"/>
      <c r="D327" s="2111"/>
      <c r="E327" s="2041"/>
      <c r="F327" s="2041"/>
      <c r="G327" s="2121"/>
      <c r="H327" s="2122"/>
      <c r="I327" s="16"/>
      <c r="J327" s="16"/>
      <c r="K327" s="92"/>
      <c r="L327" s="318"/>
    </row>
    <row r="328" spans="1:12" ht="30" customHeight="1" x14ac:dyDescent="0.2">
      <c r="A328" s="2034"/>
      <c r="B328" s="2110"/>
      <c r="C328" s="2034"/>
      <c r="D328" s="2111"/>
      <c r="E328" s="2041"/>
      <c r="F328" s="2041"/>
      <c r="G328" s="2121"/>
      <c r="H328" s="2122"/>
      <c r="I328" s="16"/>
      <c r="J328" s="16"/>
      <c r="K328" s="92"/>
      <c r="L328" s="318"/>
    </row>
    <row r="329" spans="1:12" ht="30" customHeight="1" x14ac:dyDescent="0.2">
      <c r="A329" s="2034"/>
      <c r="B329" s="2110"/>
      <c r="C329" s="2034"/>
      <c r="D329" s="2111"/>
      <c r="E329" s="2041"/>
      <c r="F329" s="2041"/>
      <c r="G329" s="2121"/>
      <c r="H329" s="2122"/>
      <c r="I329" s="16"/>
      <c r="J329" s="16"/>
      <c r="K329" s="92"/>
      <c r="L329" s="318"/>
    </row>
    <row r="330" spans="1:12" ht="30" customHeight="1" x14ac:dyDescent="0.2">
      <c r="A330" s="2034"/>
      <c r="B330" s="2110"/>
      <c r="C330" s="2034"/>
      <c r="D330" s="2111"/>
      <c r="E330" s="2041"/>
      <c r="F330" s="2041"/>
      <c r="G330" s="2121"/>
      <c r="H330" s="2122"/>
      <c r="I330" s="16"/>
      <c r="J330" s="16"/>
      <c r="K330" s="92"/>
      <c r="L330" s="318"/>
    </row>
    <row r="331" spans="1:12" ht="30" customHeight="1" x14ac:dyDescent="0.2">
      <c r="A331" s="2032"/>
      <c r="B331" s="2075"/>
      <c r="C331" s="2032"/>
      <c r="D331" s="2079"/>
      <c r="E331" s="2042"/>
      <c r="F331" s="2042"/>
      <c r="G331" s="2117"/>
      <c r="H331" s="2118"/>
      <c r="I331" s="16"/>
      <c r="J331" s="16"/>
      <c r="K331" s="92"/>
      <c r="L331" s="318"/>
    </row>
    <row r="332" spans="1:12" ht="30" customHeight="1" x14ac:dyDescent="0.2">
      <c r="A332" s="4">
        <v>268</v>
      </c>
      <c r="B332" s="3" t="s">
        <v>124</v>
      </c>
      <c r="C332" s="3"/>
      <c r="D332" s="9"/>
      <c r="E332" s="330"/>
      <c r="F332" s="328"/>
      <c r="G332" s="44"/>
      <c r="H332" s="328">
        <f t="shared" ref="H332:H394" si="6">F332*G332</f>
        <v>0</v>
      </c>
      <c r="I332" s="16"/>
      <c r="J332" s="16"/>
      <c r="K332" s="92"/>
      <c r="L332" s="3"/>
    </row>
    <row r="333" spans="1:12" ht="30" customHeight="1" x14ac:dyDescent="0.2">
      <c r="A333" s="4">
        <v>269</v>
      </c>
      <c r="B333" s="3" t="s">
        <v>125</v>
      </c>
      <c r="C333" s="3"/>
      <c r="D333" s="9"/>
      <c r="E333" s="330"/>
      <c r="F333" s="323">
        <v>80000000</v>
      </c>
      <c r="G333" s="20">
        <v>4.4999999999999998E-2</v>
      </c>
      <c r="H333" s="323">
        <f t="shared" si="6"/>
        <v>3600000</v>
      </c>
      <c r="I333" s="16"/>
      <c r="J333" s="16"/>
      <c r="K333" s="92"/>
      <c r="L333" s="3"/>
    </row>
    <row r="334" spans="1:12" ht="30" customHeight="1" x14ac:dyDescent="0.2">
      <c r="A334" s="4">
        <v>270</v>
      </c>
      <c r="B334" s="3" t="s">
        <v>508</v>
      </c>
      <c r="C334" s="3"/>
      <c r="D334" s="9"/>
      <c r="E334" s="330"/>
      <c r="F334" s="323">
        <v>250000000</v>
      </c>
      <c r="G334" s="20">
        <v>0.04</v>
      </c>
      <c r="H334" s="323">
        <f t="shared" si="6"/>
        <v>10000000</v>
      </c>
      <c r="I334" s="16"/>
      <c r="J334" s="16"/>
      <c r="K334" s="92" t="s">
        <v>2092</v>
      </c>
      <c r="L334" s="3"/>
    </row>
    <row r="335" spans="1:12" ht="30" customHeight="1" x14ac:dyDescent="0.2">
      <c r="A335" s="4">
        <v>271</v>
      </c>
      <c r="B335" s="3" t="s">
        <v>400</v>
      </c>
      <c r="C335" s="52" t="s">
        <v>401</v>
      </c>
      <c r="D335" s="9"/>
      <c r="E335" s="330"/>
      <c r="F335" s="323">
        <v>130000000</v>
      </c>
      <c r="G335" s="20">
        <v>4.4999999999999998E-2</v>
      </c>
      <c r="H335" s="323">
        <f t="shared" si="6"/>
        <v>5850000</v>
      </c>
      <c r="I335" s="16"/>
      <c r="J335" s="16"/>
      <c r="K335" s="92"/>
      <c r="L335" s="3"/>
    </row>
    <row r="336" spans="1:12" ht="30" customHeight="1" x14ac:dyDescent="0.2">
      <c r="A336" s="4">
        <v>272</v>
      </c>
      <c r="B336" s="45" t="s">
        <v>126</v>
      </c>
      <c r="C336" s="45"/>
      <c r="D336" s="9"/>
      <c r="E336" s="330"/>
      <c r="F336" s="323">
        <v>200000000</v>
      </c>
      <c r="G336" s="20">
        <v>0.05</v>
      </c>
      <c r="H336" s="323">
        <f t="shared" si="6"/>
        <v>10000000</v>
      </c>
      <c r="I336" s="17"/>
      <c r="J336" s="17"/>
      <c r="K336" s="92"/>
      <c r="L336" s="13"/>
    </row>
    <row r="337" spans="1:12" ht="30" customHeight="1" x14ac:dyDescent="0.2">
      <c r="A337" s="4">
        <v>273</v>
      </c>
      <c r="B337" s="3" t="s">
        <v>127</v>
      </c>
      <c r="C337" s="3"/>
      <c r="D337" s="9"/>
      <c r="E337" s="330"/>
      <c r="F337" s="323">
        <v>20000000</v>
      </c>
      <c r="G337" s="20">
        <v>5.5E-2</v>
      </c>
      <c r="H337" s="323">
        <f t="shared" si="6"/>
        <v>1100000</v>
      </c>
      <c r="I337" s="16"/>
      <c r="J337" s="16"/>
      <c r="K337" s="92"/>
      <c r="L337" s="3"/>
    </row>
    <row r="338" spans="1:12" ht="30" customHeight="1" x14ac:dyDescent="0.2">
      <c r="A338" s="2031">
        <v>301</v>
      </c>
      <c r="B338" s="2074" t="s">
        <v>128</v>
      </c>
      <c r="C338" s="2119" t="s">
        <v>516</v>
      </c>
      <c r="D338" s="2078"/>
      <c r="E338" s="2040"/>
      <c r="F338" s="2040">
        <v>40000000</v>
      </c>
      <c r="G338" s="2037">
        <v>5.5E-2</v>
      </c>
      <c r="H338" s="2040">
        <f t="shared" si="6"/>
        <v>2200000</v>
      </c>
      <c r="I338" s="16"/>
      <c r="J338" s="16"/>
      <c r="K338" s="92"/>
      <c r="L338" s="3"/>
    </row>
    <row r="339" spans="1:12" ht="30" customHeight="1" x14ac:dyDescent="0.2">
      <c r="A339" s="2032"/>
      <c r="B339" s="2075"/>
      <c r="C339" s="2120"/>
      <c r="D339" s="2079"/>
      <c r="E339" s="2042"/>
      <c r="F339" s="2042"/>
      <c r="G339" s="2039"/>
      <c r="H339" s="2042"/>
      <c r="I339" s="16"/>
      <c r="J339" s="16"/>
      <c r="K339" s="92"/>
      <c r="L339" s="3"/>
    </row>
    <row r="340" spans="1:12" ht="30" customHeight="1" x14ac:dyDescent="0.2">
      <c r="A340" s="2031">
        <v>302</v>
      </c>
      <c r="B340" s="2074" t="s">
        <v>129</v>
      </c>
      <c r="C340" s="2031"/>
      <c r="D340" s="2078"/>
      <c r="E340" s="2040"/>
      <c r="F340" s="323">
        <v>560000000</v>
      </c>
      <c r="G340" s="20">
        <v>5.5E-2</v>
      </c>
      <c r="H340" s="323">
        <f t="shared" si="6"/>
        <v>30800000</v>
      </c>
      <c r="I340" s="2061"/>
      <c r="J340" s="2061"/>
      <c r="K340" s="2059" t="s">
        <v>2102</v>
      </c>
      <c r="L340" s="2031"/>
    </row>
    <row r="341" spans="1:12" ht="30" customHeight="1" x14ac:dyDescent="0.2">
      <c r="A341" s="2032"/>
      <c r="B341" s="2075"/>
      <c r="C341" s="2032"/>
      <c r="D341" s="2079"/>
      <c r="E341" s="2042"/>
      <c r="F341" s="323">
        <v>105000000</v>
      </c>
      <c r="G341" s="324">
        <v>0.06</v>
      </c>
      <c r="H341" s="323">
        <f>F341*G341</f>
        <v>6300000</v>
      </c>
      <c r="I341" s="2063"/>
      <c r="J341" s="2063"/>
      <c r="K341" s="2060"/>
      <c r="L341" s="2032"/>
    </row>
    <row r="342" spans="1:12" ht="30" customHeight="1" x14ac:dyDescent="0.2">
      <c r="A342" s="4">
        <v>303</v>
      </c>
      <c r="B342" s="3" t="s">
        <v>130</v>
      </c>
      <c r="C342" s="43" t="s">
        <v>366</v>
      </c>
      <c r="D342" s="9"/>
      <c r="E342" s="330"/>
      <c r="F342" s="323">
        <v>20000000</v>
      </c>
      <c r="G342" s="20">
        <v>0.05</v>
      </c>
      <c r="H342" s="323">
        <f t="shared" si="6"/>
        <v>1000000</v>
      </c>
      <c r="I342" s="16"/>
      <c r="J342" s="16"/>
      <c r="K342" s="92"/>
      <c r="L342" s="3"/>
    </row>
    <row r="343" spans="1:12" ht="30" customHeight="1" x14ac:dyDescent="0.2">
      <c r="A343" s="4">
        <v>304</v>
      </c>
      <c r="B343" s="3" t="s">
        <v>131</v>
      </c>
      <c r="C343" s="3"/>
      <c r="D343" s="9"/>
      <c r="E343" s="330"/>
      <c r="F343" s="323">
        <v>8000000</v>
      </c>
      <c r="G343" s="20">
        <v>0.05</v>
      </c>
      <c r="H343" s="323">
        <f t="shared" si="6"/>
        <v>400000</v>
      </c>
      <c r="I343" s="16"/>
      <c r="J343" s="16"/>
      <c r="K343" s="92"/>
      <c r="L343" s="3"/>
    </row>
    <row r="344" spans="1:12" ht="30" customHeight="1" x14ac:dyDescent="0.2">
      <c r="A344" s="4">
        <v>305</v>
      </c>
      <c r="B344" s="3" t="s">
        <v>132</v>
      </c>
      <c r="C344" s="43" t="s">
        <v>366</v>
      </c>
      <c r="D344" s="9"/>
      <c r="E344" s="330"/>
      <c r="F344" s="323">
        <v>130000000</v>
      </c>
      <c r="G344" s="20">
        <v>0.05</v>
      </c>
      <c r="H344" s="323">
        <f t="shared" si="6"/>
        <v>6500000</v>
      </c>
      <c r="I344" s="16"/>
      <c r="J344" s="16"/>
      <c r="K344" s="92" t="s">
        <v>1167</v>
      </c>
      <c r="L344" s="3"/>
    </row>
    <row r="345" spans="1:12" ht="30" customHeight="1" x14ac:dyDescent="0.2">
      <c r="A345" s="4">
        <v>306</v>
      </c>
      <c r="B345" s="3" t="s">
        <v>133</v>
      </c>
      <c r="C345" s="3"/>
      <c r="D345" s="9"/>
      <c r="E345" s="330"/>
      <c r="F345" s="323">
        <v>95000000</v>
      </c>
      <c r="G345" s="20">
        <v>5.2999999999999999E-2</v>
      </c>
      <c r="H345" s="323">
        <v>5000000</v>
      </c>
      <c r="I345" s="16"/>
      <c r="J345" s="16"/>
      <c r="K345" s="92"/>
      <c r="L345" s="3"/>
    </row>
    <row r="346" spans="1:12" ht="30" customHeight="1" x14ac:dyDescent="0.2">
      <c r="A346" s="4">
        <v>307</v>
      </c>
      <c r="B346" s="3" t="s">
        <v>134</v>
      </c>
      <c r="C346" s="3"/>
      <c r="D346" s="9"/>
      <c r="E346" s="330"/>
      <c r="F346" s="323">
        <v>200000000</v>
      </c>
      <c r="G346" s="20">
        <v>0.05</v>
      </c>
      <c r="H346" s="323">
        <f t="shared" si="6"/>
        <v>10000000</v>
      </c>
      <c r="I346" s="16"/>
      <c r="J346" s="16"/>
      <c r="K346" s="92"/>
      <c r="L346" s="3"/>
    </row>
    <row r="347" spans="1:12" ht="30" customHeight="1" x14ac:dyDescent="0.2">
      <c r="A347" s="4">
        <v>308</v>
      </c>
      <c r="B347" s="3" t="s">
        <v>634</v>
      </c>
      <c r="C347" s="3"/>
      <c r="D347" s="9"/>
      <c r="E347" s="330"/>
      <c r="F347" s="328">
        <v>40000000</v>
      </c>
      <c r="G347" s="44">
        <v>4.2999999999999997E-2</v>
      </c>
      <c r="H347" s="328">
        <v>1750000</v>
      </c>
      <c r="I347" s="16"/>
      <c r="J347" s="16"/>
      <c r="K347" s="92"/>
      <c r="L347" s="3"/>
    </row>
    <row r="348" spans="1:12" ht="30" customHeight="1" x14ac:dyDescent="0.2">
      <c r="A348" s="4">
        <v>309</v>
      </c>
      <c r="B348" s="3" t="s">
        <v>135</v>
      </c>
      <c r="C348" s="3"/>
      <c r="D348" s="9"/>
      <c r="E348" s="330"/>
      <c r="F348" s="323">
        <v>11000000</v>
      </c>
      <c r="G348" s="20">
        <v>4.4999999999999998E-2</v>
      </c>
      <c r="H348" s="323">
        <v>500000</v>
      </c>
      <c r="I348" s="16"/>
      <c r="J348" s="16"/>
      <c r="K348" s="92"/>
      <c r="L348" s="3"/>
    </row>
    <row r="349" spans="1:12" ht="30" customHeight="1" x14ac:dyDescent="0.2">
      <c r="A349" s="4">
        <v>310</v>
      </c>
      <c r="B349" s="3" t="s">
        <v>468</v>
      </c>
      <c r="C349" s="3"/>
      <c r="D349" s="9"/>
      <c r="E349" s="330"/>
      <c r="F349" s="328"/>
      <c r="G349" s="44"/>
      <c r="H349" s="328">
        <f t="shared" si="6"/>
        <v>0</v>
      </c>
      <c r="I349" s="16"/>
      <c r="J349" s="16"/>
      <c r="K349" s="92"/>
      <c r="L349" s="3"/>
    </row>
    <row r="350" spans="1:12" ht="30" customHeight="1" x14ac:dyDescent="0.2">
      <c r="A350" s="2031">
        <v>311</v>
      </c>
      <c r="B350" s="2074" t="s">
        <v>136</v>
      </c>
      <c r="C350" s="2119" t="s">
        <v>568</v>
      </c>
      <c r="D350" s="2078"/>
      <c r="E350" s="2040"/>
      <c r="F350" s="323">
        <v>25000000</v>
      </c>
      <c r="G350" s="20">
        <v>4.8000000000000001E-2</v>
      </c>
      <c r="H350" s="323">
        <f t="shared" si="6"/>
        <v>1200000</v>
      </c>
      <c r="I350" s="16"/>
      <c r="J350" s="16"/>
      <c r="K350" s="92"/>
      <c r="L350" s="3"/>
    </row>
    <row r="351" spans="1:12" ht="30" customHeight="1" x14ac:dyDescent="0.2">
      <c r="A351" s="2032"/>
      <c r="B351" s="2075"/>
      <c r="C351" s="2120"/>
      <c r="D351" s="2079"/>
      <c r="E351" s="2042"/>
      <c r="F351" s="323">
        <v>40000000</v>
      </c>
      <c r="G351" s="20">
        <v>0.05</v>
      </c>
      <c r="H351" s="323">
        <f t="shared" si="6"/>
        <v>2000000</v>
      </c>
      <c r="I351" s="16"/>
      <c r="J351" s="16"/>
      <c r="K351" s="92"/>
      <c r="L351" s="3"/>
    </row>
    <row r="352" spans="1:12" ht="30" customHeight="1" x14ac:dyDescent="0.2">
      <c r="A352" s="4">
        <v>312</v>
      </c>
      <c r="B352" s="3" t="s">
        <v>1054</v>
      </c>
      <c r="C352" s="3"/>
      <c r="D352" s="9"/>
      <c r="E352" s="330"/>
      <c r="F352" s="323">
        <v>20000000</v>
      </c>
      <c r="G352" s="20">
        <v>0.04</v>
      </c>
      <c r="H352" s="323">
        <f t="shared" si="6"/>
        <v>800000</v>
      </c>
      <c r="I352" s="16"/>
      <c r="J352" s="16"/>
      <c r="K352" s="92"/>
      <c r="L352" s="3"/>
    </row>
    <row r="353" spans="1:12" ht="30" customHeight="1" x14ac:dyDescent="0.2">
      <c r="A353" s="2031">
        <v>313</v>
      </c>
      <c r="B353" s="2074" t="s">
        <v>137</v>
      </c>
      <c r="C353" s="2031"/>
      <c r="D353" s="2078"/>
      <c r="E353" s="2040"/>
      <c r="F353" s="2080"/>
      <c r="G353" s="2082"/>
      <c r="H353" s="2040">
        <v>1550000</v>
      </c>
      <c r="I353" s="2061"/>
      <c r="J353" s="2061"/>
      <c r="K353" s="2059"/>
      <c r="L353" s="2072" t="s">
        <v>642</v>
      </c>
    </row>
    <row r="354" spans="1:12" ht="30" customHeight="1" x14ac:dyDescent="0.2">
      <c r="A354" s="2032"/>
      <c r="B354" s="2075"/>
      <c r="C354" s="2032"/>
      <c r="D354" s="2079"/>
      <c r="E354" s="2042"/>
      <c r="F354" s="2081"/>
      <c r="G354" s="2083"/>
      <c r="H354" s="2042"/>
      <c r="I354" s="2063"/>
      <c r="J354" s="2063"/>
      <c r="K354" s="2060"/>
      <c r="L354" s="2073"/>
    </row>
    <row r="355" spans="1:12" ht="30" customHeight="1" x14ac:dyDescent="0.2">
      <c r="A355" s="2031">
        <v>314</v>
      </c>
      <c r="B355" s="2074" t="s">
        <v>1197</v>
      </c>
      <c r="C355" s="2119" t="s">
        <v>379</v>
      </c>
      <c r="D355" s="9"/>
      <c r="E355" s="330"/>
      <c r="F355" s="323">
        <v>115000000</v>
      </c>
      <c r="G355" s="20">
        <v>4.4999999999999998E-2</v>
      </c>
      <c r="H355" s="323">
        <f t="shared" si="6"/>
        <v>5175000</v>
      </c>
      <c r="I355" s="2061"/>
      <c r="J355" s="2061"/>
      <c r="K355" s="2059" t="s">
        <v>1201</v>
      </c>
      <c r="L355" s="2072" t="s">
        <v>1200</v>
      </c>
    </row>
    <row r="356" spans="1:12" ht="30" customHeight="1" x14ac:dyDescent="0.2">
      <c r="A356" s="2032"/>
      <c r="B356" s="2075"/>
      <c r="C356" s="2120"/>
      <c r="D356" s="37" t="s">
        <v>453</v>
      </c>
      <c r="E356" s="330"/>
      <c r="F356" s="323">
        <v>60000000</v>
      </c>
      <c r="G356" s="20">
        <v>0.05</v>
      </c>
      <c r="H356" s="323">
        <f t="shared" si="6"/>
        <v>3000000</v>
      </c>
      <c r="I356" s="2063"/>
      <c r="J356" s="2063"/>
      <c r="K356" s="2060"/>
      <c r="L356" s="2073"/>
    </row>
    <row r="357" spans="1:12" ht="30" customHeight="1" x14ac:dyDescent="0.2">
      <c r="A357" s="4">
        <v>315</v>
      </c>
      <c r="B357" s="3" t="s">
        <v>138</v>
      </c>
      <c r="C357" s="3"/>
      <c r="D357" s="9"/>
      <c r="E357" s="330"/>
      <c r="F357" s="323">
        <v>100000000</v>
      </c>
      <c r="G357" s="20">
        <v>7.0000000000000007E-2</v>
      </c>
      <c r="H357" s="323">
        <f t="shared" si="6"/>
        <v>7000000.0000000009</v>
      </c>
      <c r="I357" s="16"/>
      <c r="J357" s="16"/>
      <c r="K357" s="92"/>
      <c r="L357" s="3"/>
    </row>
    <row r="358" spans="1:12" ht="30" customHeight="1" x14ac:dyDescent="0.2">
      <c r="A358" s="4">
        <v>316</v>
      </c>
      <c r="B358" s="3" t="s">
        <v>139</v>
      </c>
      <c r="C358" s="3"/>
      <c r="D358" s="9"/>
      <c r="E358" s="330"/>
      <c r="F358" s="323">
        <v>35000000</v>
      </c>
      <c r="G358" s="20">
        <v>0.04</v>
      </c>
      <c r="H358" s="323">
        <f t="shared" si="6"/>
        <v>1400000</v>
      </c>
      <c r="I358" s="16"/>
      <c r="J358" s="16"/>
      <c r="K358" s="92"/>
      <c r="L358" s="3"/>
    </row>
    <row r="359" spans="1:12" ht="30" customHeight="1" x14ac:dyDescent="0.2">
      <c r="A359" s="4">
        <v>317</v>
      </c>
      <c r="B359" s="3" t="s">
        <v>140</v>
      </c>
      <c r="C359" s="3"/>
      <c r="D359" s="9"/>
      <c r="E359" s="330"/>
      <c r="F359" s="323">
        <v>15000000</v>
      </c>
      <c r="G359" s="20">
        <v>0.05</v>
      </c>
      <c r="H359" s="323">
        <f t="shared" si="6"/>
        <v>750000</v>
      </c>
      <c r="I359" s="16"/>
      <c r="J359" s="16"/>
      <c r="K359" s="92"/>
      <c r="L359" s="3"/>
    </row>
    <row r="360" spans="1:12" ht="30" customHeight="1" x14ac:dyDescent="0.2">
      <c r="A360" s="4">
        <v>318</v>
      </c>
      <c r="B360" s="3" t="s">
        <v>141</v>
      </c>
      <c r="C360" s="43" t="s">
        <v>691</v>
      </c>
      <c r="D360" s="9"/>
      <c r="E360" s="330"/>
      <c r="F360" s="323">
        <v>50000000</v>
      </c>
      <c r="G360" s="20">
        <v>4.4999999999999998E-2</v>
      </c>
      <c r="H360" s="323">
        <f t="shared" si="6"/>
        <v>2250000</v>
      </c>
      <c r="I360" s="16"/>
      <c r="J360" s="16"/>
      <c r="K360" s="92"/>
      <c r="L360" s="3"/>
    </row>
    <row r="361" spans="1:12" ht="30" customHeight="1" x14ac:dyDescent="0.2">
      <c r="A361" s="4">
        <v>319</v>
      </c>
      <c r="B361" s="3" t="s">
        <v>653</v>
      </c>
      <c r="C361" s="3"/>
      <c r="D361" s="9"/>
      <c r="E361" s="330"/>
      <c r="F361" s="328"/>
      <c r="G361" s="44"/>
      <c r="H361" s="328">
        <f t="shared" si="6"/>
        <v>0</v>
      </c>
      <c r="I361" s="16"/>
      <c r="J361" s="16"/>
      <c r="K361" s="92"/>
      <c r="L361" s="3"/>
    </row>
    <row r="362" spans="1:12" ht="30" customHeight="1" x14ac:dyDescent="0.2">
      <c r="A362" s="4">
        <v>320</v>
      </c>
      <c r="B362" s="3" t="s">
        <v>652</v>
      </c>
      <c r="C362" s="43" t="s">
        <v>637</v>
      </c>
      <c r="D362" s="9"/>
      <c r="E362" s="330"/>
      <c r="F362" s="323">
        <v>550000000</v>
      </c>
      <c r="G362" s="20">
        <v>0.05</v>
      </c>
      <c r="H362" s="323">
        <f t="shared" si="6"/>
        <v>27500000</v>
      </c>
      <c r="I362" s="16"/>
      <c r="J362" s="16"/>
      <c r="K362" s="92" t="s">
        <v>638</v>
      </c>
      <c r="L362" s="93" t="s">
        <v>639</v>
      </c>
    </row>
    <row r="363" spans="1:12" ht="30" customHeight="1" x14ac:dyDescent="0.2">
      <c r="A363" s="2031">
        <v>321</v>
      </c>
      <c r="B363" s="2074" t="s">
        <v>142</v>
      </c>
      <c r="C363" s="2031"/>
      <c r="D363" s="2078"/>
      <c r="E363" s="2040"/>
      <c r="F363" s="323">
        <v>20000000</v>
      </c>
      <c r="G363" s="20">
        <v>0.05</v>
      </c>
      <c r="H363" s="323">
        <f t="shared" si="6"/>
        <v>1000000</v>
      </c>
      <c r="I363" s="16"/>
      <c r="J363" s="16"/>
      <c r="K363" s="92"/>
      <c r="L363" s="3"/>
    </row>
    <row r="364" spans="1:12" ht="30" customHeight="1" x14ac:dyDescent="0.2">
      <c r="A364" s="2034"/>
      <c r="B364" s="2110"/>
      <c r="C364" s="2034"/>
      <c r="D364" s="2111"/>
      <c r="E364" s="2041"/>
      <c r="F364" s="2040">
        <v>20000000</v>
      </c>
      <c r="G364" s="2115" t="s">
        <v>668</v>
      </c>
      <c r="H364" s="2116"/>
      <c r="I364" s="16"/>
      <c r="J364" s="16"/>
      <c r="K364" s="92"/>
      <c r="L364" s="3"/>
    </row>
    <row r="365" spans="1:12" ht="30" customHeight="1" x14ac:dyDescent="0.2">
      <c r="A365" s="2032"/>
      <c r="B365" s="2075"/>
      <c r="C365" s="2032"/>
      <c r="D365" s="2079"/>
      <c r="E365" s="2042"/>
      <c r="F365" s="2042"/>
      <c r="G365" s="2117"/>
      <c r="H365" s="2118"/>
      <c r="I365" s="16"/>
      <c r="J365" s="16"/>
      <c r="K365" s="92"/>
      <c r="L365" s="3"/>
    </row>
    <row r="366" spans="1:12" ht="30" customHeight="1" x14ac:dyDescent="0.2">
      <c r="A366" s="4">
        <v>322</v>
      </c>
      <c r="B366" s="3" t="s">
        <v>143</v>
      </c>
      <c r="C366" s="3"/>
      <c r="D366" s="9"/>
      <c r="E366" s="330"/>
      <c r="F366" s="328"/>
      <c r="G366" s="44"/>
      <c r="H366" s="328">
        <f t="shared" si="6"/>
        <v>0</v>
      </c>
      <c r="I366" s="16"/>
      <c r="J366" s="16"/>
      <c r="K366" s="92" t="s">
        <v>2619</v>
      </c>
      <c r="L366" s="3"/>
    </row>
    <row r="367" spans="1:12" ht="30" customHeight="1" x14ac:dyDescent="0.2">
      <c r="A367" s="4">
        <v>323</v>
      </c>
      <c r="B367" s="3" t="s">
        <v>144</v>
      </c>
      <c r="C367" s="3"/>
      <c r="D367" s="9"/>
      <c r="E367" s="330"/>
      <c r="F367" s="323">
        <v>75000000</v>
      </c>
      <c r="G367" s="20">
        <v>0.04</v>
      </c>
      <c r="H367" s="323">
        <f>F367*G367</f>
        <v>3000000</v>
      </c>
      <c r="I367" s="16"/>
      <c r="J367" s="16"/>
      <c r="K367" s="92"/>
      <c r="L367" s="3"/>
    </row>
    <row r="368" spans="1:12" ht="30" customHeight="1" x14ac:dyDescent="0.2">
      <c r="A368" s="2031">
        <v>324</v>
      </c>
      <c r="B368" s="2074" t="s">
        <v>145</v>
      </c>
      <c r="C368" s="2031"/>
      <c r="D368" s="2078"/>
      <c r="E368" s="2040"/>
      <c r="F368" s="2040">
        <v>100000000</v>
      </c>
      <c r="G368" s="2115" t="s">
        <v>668</v>
      </c>
      <c r="H368" s="2116"/>
      <c r="I368" s="16"/>
      <c r="J368" s="16"/>
      <c r="K368" s="92"/>
      <c r="L368" s="3"/>
    </row>
    <row r="369" spans="1:12" ht="30" customHeight="1" x14ac:dyDescent="0.2">
      <c r="A369" s="2034"/>
      <c r="B369" s="2110"/>
      <c r="C369" s="2034"/>
      <c r="D369" s="2111"/>
      <c r="E369" s="2041"/>
      <c r="F369" s="2042"/>
      <c r="G369" s="2117"/>
      <c r="H369" s="2118"/>
      <c r="I369" s="16"/>
      <c r="J369" s="16"/>
      <c r="K369" s="92"/>
      <c r="L369" s="3"/>
    </row>
    <row r="370" spans="1:12" ht="30" customHeight="1" x14ac:dyDescent="0.2">
      <c r="A370" s="2032"/>
      <c r="B370" s="2075"/>
      <c r="C370" s="2032"/>
      <c r="D370" s="2079"/>
      <c r="E370" s="2042"/>
      <c r="F370" s="323">
        <v>100000000</v>
      </c>
      <c r="G370" s="20">
        <v>0.05</v>
      </c>
      <c r="H370" s="323">
        <f t="shared" si="6"/>
        <v>5000000</v>
      </c>
      <c r="I370" s="16"/>
      <c r="J370" s="16"/>
      <c r="K370" s="92"/>
      <c r="L370" s="3"/>
    </row>
    <row r="371" spans="1:12" ht="30" customHeight="1" x14ac:dyDescent="0.2">
      <c r="A371" s="4">
        <v>325</v>
      </c>
      <c r="B371" s="3" t="s">
        <v>727</v>
      </c>
      <c r="C371" s="3"/>
      <c r="D371" s="9"/>
      <c r="E371" s="330"/>
      <c r="F371" s="323">
        <v>10000000</v>
      </c>
      <c r="G371" s="20">
        <v>0.05</v>
      </c>
      <c r="H371" s="323">
        <f>F371*G371</f>
        <v>500000</v>
      </c>
      <c r="I371" s="16"/>
      <c r="J371" s="16"/>
      <c r="K371" s="92"/>
      <c r="L371" s="3"/>
    </row>
    <row r="372" spans="1:12" ht="30" customHeight="1" x14ac:dyDescent="0.2">
      <c r="A372" s="4">
        <v>326</v>
      </c>
      <c r="B372" s="3" t="s">
        <v>146</v>
      </c>
      <c r="C372" s="3"/>
      <c r="D372" s="9"/>
      <c r="E372" s="330"/>
      <c r="F372" s="323">
        <v>35000000</v>
      </c>
      <c r="G372" s="20">
        <v>0.04</v>
      </c>
      <c r="H372" s="323">
        <f t="shared" si="6"/>
        <v>1400000</v>
      </c>
      <c r="I372" s="16"/>
      <c r="J372" s="16"/>
      <c r="K372" s="92"/>
      <c r="L372" s="3"/>
    </row>
    <row r="373" spans="1:12" ht="30" customHeight="1" x14ac:dyDescent="0.2">
      <c r="A373" s="4">
        <v>327</v>
      </c>
      <c r="B373" s="3" t="s">
        <v>147</v>
      </c>
      <c r="C373" s="3"/>
      <c r="D373" s="9"/>
      <c r="E373" s="330"/>
      <c r="F373" s="323">
        <v>50000000</v>
      </c>
      <c r="G373" s="44"/>
      <c r="H373" s="328">
        <f t="shared" si="6"/>
        <v>0</v>
      </c>
      <c r="I373" s="16"/>
      <c r="J373" s="16"/>
      <c r="K373" s="92"/>
      <c r="L373" s="3"/>
    </row>
    <row r="374" spans="1:12" ht="30" customHeight="1" x14ac:dyDescent="0.2">
      <c r="A374" s="4">
        <v>328</v>
      </c>
      <c r="B374" s="3" t="s">
        <v>148</v>
      </c>
      <c r="C374" s="43" t="s">
        <v>1165</v>
      </c>
      <c r="D374" s="9"/>
      <c r="E374" s="330"/>
      <c r="F374" s="323">
        <v>40000000</v>
      </c>
      <c r="G374" s="20">
        <v>5.1999999999999998E-2</v>
      </c>
      <c r="H374" s="323">
        <v>2000000</v>
      </c>
      <c r="I374" s="16"/>
      <c r="J374" s="16"/>
      <c r="K374" s="92" t="s">
        <v>1166</v>
      </c>
      <c r="L374" s="3"/>
    </row>
    <row r="375" spans="1:12" ht="30" customHeight="1" x14ac:dyDescent="0.2">
      <c r="A375" s="2031">
        <v>329</v>
      </c>
      <c r="B375" s="2074" t="s">
        <v>851</v>
      </c>
      <c r="C375" s="2031"/>
      <c r="D375" s="2078"/>
      <c r="E375" s="2040"/>
      <c r="F375" s="2112">
        <v>200000000</v>
      </c>
      <c r="G375" s="2104" t="s">
        <v>884</v>
      </c>
      <c r="H375" s="2105"/>
      <c r="I375" s="2061"/>
      <c r="J375" s="2061"/>
      <c r="K375" s="2059"/>
      <c r="L375" s="2010"/>
    </row>
    <row r="376" spans="1:12" ht="30" customHeight="1" x14ac:dyDescent="0.2">
      <c r="A376" s="2034"/>
      <c r="B376" s="2110"/>
      <c r="C376" s="2034"/>
      <c r="D376" s="2111"/>
      <c r="E376" s="2041"/>
      <c r="F376" s="2113"/>
      <c r="G376" s="2106"/>
      <c r="H376" s="2107"/>
      <c r="I376" s="2062"/>
      <c r="J376" s="2062"/>
      <c r="K376" s="2064"/>
      <c r="L376" s="2103"/>
    </row>
    <row r="377" spans="1:12" ht="30" customHeight="1" x14ac:dyDescent="0.2">
      <c r="A377" s="2034"/>
      <c r="B377" s="2110"/>
      <c r="C377" s="2034"/>
      <c r="D377" s="2111"/>
      <c r="E377" s="2041"/>
      <c r="F377" s="2113"/>
      <c r="G377" s="2106"/>
      <c r="H377" s="2107"/>
      <c r="I377" s="2062"/>
      <c r="J377" s="2062"/>
      <c r="K377" s="2064"/>
      <c r="L377" s="2103"/>
    </row>
    <row r="378" spans="1:12" ht="30" customHeight="1" x14ac:dyDescent="0.2">
      <c r="A378" s="2034"/>
      <c r="B378" s="2110"/>
      <c r="C378" s="2034"/>
      <c r="D378" s="2111"/>
      <c r="E378" s="2041"/>
      <c r="F378" s="2113"/>
      <c r="G378" s="2106"/>
      <c r="H378" s="2107"/>
      <c r="I378" s="2062"/>
      <c r="J378" s="2062"/>
      <c r="K378" s="2064"/>
      <c r="L378" s="2103"/>
    </row>
    <row r="379" spans="1:12" ht="30" customHeight="1" x14ac:dyDescent="0.2">
      <c r="A379" s="2032"/>
      <c r="B379" s="2075"/>
      <c r="C379" s="2032"/>
      <c r="D379" s="2079"/>
      <c r="E379" s="2042"/>
      <c r="F379" s="2114"/>
      <c r="G379" s="2108"/>
      <c r="H379" s="2109"/>
      <c r="I379" s="2063"/>
      <c r="J379" s="2063"/>
      <c r="K379" s="2060"/>
      <c r="L379" s="2011"/>
    </row>
    <row r="380" spans="1:12" ht="30" customHeight="1" x14ac:dyDescent="0.2">
      <c r="A380" s="4">
        <v>330</v>
      </c>
      <c r="B380" s="3" t="s">
        <v>149</v>
      </c>
      <c r="C380" s="3"/>
      <c r="D380" s="9"/>
      <c r="E380" s="330"/>
      <c r="F380" s="323">
        <v>10000000</v>
      </c>
      <c r="G380" s="20">
        <v>0.05</v>
      </c>
      <c r="H380" s="323">
        <f t="shared" si="6"/>
        <v>500000</v>
      </c>
      <c r="I380" s="16"/>
      <c r="J380" s="16"/>
      <c r="K380" s="92"/>
      <c r="L380" s="3"/>
    </row>
    <row r="381" spans="1:12" ht="30" customHeight="1" x14ac:dyDescent="0.2">
      <c r="A381" s="2031">
        <v>331</v>
      </c>
      <c r="B381" s="2074" t="s">
        <v>150</v>
      </c>
      <c r="C381" s="2031" t="s">
        <v>867</v>
      </c>
      <c r="D381" s="2078"/>
      <c r="E381" s="2040"/>
      <c r="F381" s="2040">
        <v>178000000</v>
      </c>
      <c r="G381" s="2037">
        <v>5.8999999999999997E-2</v>
      </c>
      <c r="H381" s="2040">
        <v>10200000</v>
      </c>
      <c r="I381" s="16"/>
      <c r="J381" s="16"/>
      <c r="K381" s="92"/>
      <c r="L381" s="3"/>
    </row>
    <row r="382" spans="1:12" ht="30" customHeight="1" x14ac:dyDescent="0.2">
      <c r="A382" s="2032"/>
      <c r="B382" s="2075"/>
      <c r="C382" s="2032"/>
      <c r="D382" s="2079"/>
      <c r="E382" s="2042"/>
      <c r="F382" s="2042"/>
      <c r="G382" s="2039"/>
      <c r="H382" s="2042"/>
      <c r="I382" s="16"/>
      <c r="J382" s="16"/>
      <c r="K382" s="92"/>
      <c r="L382" s="3"/>
    </row>
    <row r="383" spans="1:12" ht="30" customHeight="1" x14ac:dyDescent="0.2">
      <c r="A383" s="4">
        <v>332</v>
      </c>
      <c r="B383" s="3" t="s">
        <v>151</v>
      </c>
      <c r="C383" s="3"/>
      <c r="D383" s="9"/>
      <c r="E383" s="330"/>
      <c r="F383" s="323">
        <v>10000000</v>
      </c>
      <c r="G383" s="20">
        <v>0.04</v>
      </c>
      <c r="H383" s="323">
        <f>F383*G383</f>
        <v>400000</v>
      </c>
      <c r="I383" s="16"/>
      <c r="J383" s="16"/>
      <c r="K383" s="92"/>
      <c r="L383" s="82" t="s">
        <v>667</v>
      </c>
    </row>
    <row r="384" spans="1:12" ht="30" customHeight="1" x14ac:dyDescent="0.2">
      <c r="A384" s="4">
        <v>333</v>
      </c>
      <c r="B384" s="3" t="s">
        <v>152</v>
      </c>
      <c r="C384" s="3"/>
      <c r="D384" s="9"/>
      <c r="E384" s="330"/>
      <c r="F384" s="323">
        <v>60000000</v>
      </c>
      <c r="G384" s="20">
        <v>4.4999999999999998E-2</v>
      </c>
      <c r="H384" s="323">
        <f t="shared" si="6"/>
        <v>2700000</v>
      </c>
      <c r="I384" s="16"/>
      <c r="J384" s="16"/>
      <c r="K384" s="92"/>
      <c r="L384" s="3"/>
    </row>
    <row r="385" spans="1:12" ht="30" customHeight="1" x14ac:dyDescent="0.2">
      <c r="A385" s="2031">
        <v>334</v>
      </c>
      <c r="B385" s="2074" t="s">
        <v>153</v>
      </c>
      <c r="C385" s="2031"/>
      <c r="D385" s="2078"/>
      <c r="E385" s="2040"/>
      <c r="F385" s="2080"/>
      <c r="G385" s="2082"/>
      <c r="H385" s="2080">
        <f t="shared" si="6"/>
        <v>0</v>
      </c>
      <c r="I385" s="16"/>
      <c r="J385" s="16"/>
      <c r="K385" s="92"/>
      <c r="L385" s="3"/>
    </row>
    <row r="386" spans="1:12" ht="30" customHeight="1" x14ac:dyDescent="0.2">
      <c r="A386" s="2032"/>
      <c r="B386" s="2075"/>
      <c r="C386" s="2032"/>
      <c r="D386" s="2079"/>
      <c r="E386" s="2042"/>
      <c r="F386" s="2081"/>
      <c r="G386" s="2083"/>
      <c r="H386" s="2081"/>
      <c r="I386" s="16"/>
      <c r="J386" s="16"/>
      <c r="K386" s="92"/>
      <c r="L386" s="3"/>
    </row>
    <row r="387" spans="1:12" ht="30" customHeight="1" x14ac:dyDescent="0.2">
      <c r="A387" s="2031">
        <v>335</v>
      </c>
      <c r="B387" s="2029" t="s">
        <v>154</v>
      </c>
      <c r="C387" s="2101"/>
      <c r="D387" s="2078"/>
      <c r="E387" s="2040"/>
      <c r="F387" s="323">
        <v>10000000</v>
      </c>
      <c r="G387" s="20">
        <v>0.06</v>
      </c>
      <c r="H387" s="323">
        <f t="shared" si="6"/>
        <v>600000</v>
      </c>
      <c r="I387" s="25"/>
      <c r="J387" s="25"/>
      <c r="K387" s="92"/>
      <c r="L387" s="103" t="s">
        <v>1126</v>
      </c>
    </row>
    <row r="388" spans="1:12" ht="30" customHeight="1" x14ac:dyDescent="0.2">
      <c r="A388" s="2032"/>
      <c r="B388" s="2030"/>
      <c r="C388" s="2102"/>
      <c r="D388" s="2079"/>
      <c r="E388" s="2042"/>
      <c r="F388" s="323">
        <v>10000000</v>
      </c>
      <c r="G388" s="20">
        <v>0.06</v>
      </c>
      <c r="H388" s="323">
        <f t="shared" si="6"/>
        <v>600000</v>
      </c>
      <c r="I388" s="25"/>
      <c r="J388" s="25"/>
      <c r="K388" s="92"/>
      <c r="L388" s="45"/>
    </row>
    <row r="389" spans="1:12" ht="30" customHeight="1" x14ac:dyDescent="0.2">
      <c r="A389" s="2031">
        <v>336</v>
      </c>
      <c r="B389" s="2074" t="s">
        <v>155</v>
      </c>
      <c r="C389" s="2031"/>
      <c r="D389" s="2078"/>
      <c r="E389" s="2040"/>
      <c r="F389" s="2080"/>
      <c r="G389" s="2094"/>
      <c r="H389" s="2096">
        <f t="shared" si="6"/>
        <v>0</v>
      </c>
      <c r="I389" s="16"/>
      <c r="J389" s="16"/>
      <c r="K389" s="383" t="s">
        <v>1362</v>
      </c>
      <c r="L389" s="3"/>
    </row>
    <row r="390" spans="1:12" ht="30" customHeight="1" x14ac:dyDescent="0.2">
      <c r="A390" s="2032"/>
      <c r="B390" s="2075"/>
      <c r="C390" s="2032"/>
      <c r="D390" s="2079"/>
      <c r="E390" s="2042"/>
      <c r="F390" s="2081"/>
      <c r="G390" s="2095"/>
      <c r="H390" s="2096"/>
      <c r="I390" s="16"/>
      <c r="J390" s="16"/>
      <c r="K390" s="383" t="s">
        <v>1363</v>
      </c>
      <c r="L390" s="3"/>
    </row>
    <row r="391" spans="1:12" ht="30" customHeight="1" x14ac:dyDescent="0.2">
      <c r="A391" s="2031">
        <v>337</v>
      </c>
      <c r="B391" s="2074" t="s">
        <v>156</v>
      </c>
      <c r="C391" s="2031"/>
      <c r="D391" s="2078"/>
      <c r="E391" s="2040"/>
      <c r="F391" s="2040">
        <v>70000000</v>
      </c>
      <c r="G391" s="2097" t="s">
        <v>668</v>
      </c>
      <c r="H391" s="2098"/>
      <c r="I391" s="16"/>
      <c r="J391" s="16"/>
      <c r="K391" s="2059" t="s">
        <v>1364</v>
      </c>
      <c r="L391" s="3"/>
    </row>
    <row r="392" spans="1:12" ht="30" customHeight="1" x14ac:dyDescent="0.2">
      <c r="A392" s="2032"/>
      <c r="B392" s="2075"/>
      <c r="C392" s="2032"/>
      <c r="D392" s="2079"/>
      <c r="E392" s="2042"/>
      <c r="F392" s="2042"/>
      <c r="G392" s="2099"/>
      <c r="H392" s="2100"/>
      <c r="I392" s="16"/>
      <c r="J392" s="16"/>
      <c r="K392" s="2060"/>
      <c r="L392" s="3"/>
    </row>
    <row r="393" spans="1:12" ht="30" customHeight="1" x14ac:dyDescent="0.2">
      <c r="A393" s="4">
        <v>338</v>
      </c>
      <c r="B393" s="3" t="s">
        <v>157</v>
      </c>
      <c r="C393" s="3"/>
      <c r="D393" s="9"/>
      <c r="E393" s="330"/>
      <c r="F393" s="323">
        <v>100000000</v>
      </c>
      <c r="G393" s="20">
        <v>0.04</v>
      </c>
      <c r="H393" s="323">
        <f t="shared" si="6"/>
        <v>4000000</v>
      </c>
      <c r="I393" s="16"/>
      <c r="J393" s="16"/>
      <c r="K393" s="92"/>
      <c r="L393" s="3"/>
    </row>
    <row r="394" spans="1:12" ht="30" customHeight="1" x14ac:dyDescent="0.2">
      <c r="A394" s="2031">
        <v>339</v>
      </c>
      <c r="B394" s="2074" t="s">
        <v>158</v>
      </c>
      <c r="C394" s="2031"/>
      <c r="D394" s="2078"/>
      <c r="E394" s="2040"/>
      <c r="F394" s="2040">
        <v>300000000</v>
      </c>
      <c r="G394" s="2037">
        <v>0.05</v>
      </c>
      <c r="H394" s="2040">
        <f t="shared" si="6"/>
        <v>15000000</v>
      </c>
      <c r="I394" s="16"/>
      <c r="J394" s="16"/>
      <c r="K394" s="2059" t="s">
        <v>1961</v>
      </c>
      <c r="L394" s="2031"/>
    </row>
    <row r="395" spans="1:12" ht="30" customHeight="1" x14ac:dyDescent="0.2">
      <c r="A395" s="2032"/>
      <c r="B395" s="2075"/>
      <c r="C395" s="2032"/>
      <c r="D395" s="2079"/>
      <c r="E395" s="2042"/>
      <c r="F395" s="2042"/>
      <c r="G395" s="2039"/>
      <c r="H395" s="2042"/>
      <c r="I395" s="16"/>
      <c r="J395" s="16"/>
      <c r="K395" s="2060"/>
      <c r="L395" s="2032"/>
    </row>
    <row r="396" spans="1:12" ht="30" customHeight="1" x14ac:dyDescent="0.2">
      <c r="A396" s="4">
        <v>340</v>
      </c>
      <c r="B396" s="3" t="s">
        <v>160</v>
      </c>
      <c r="C396" s="3"/>
      <c r="D396" s="9"/>
      <c r="E396" s="330"/>
      <c r="F396" s="328"/>
      <c r="G396" s="44"/>
      <c r="H396" s="328">
        <f t="shared" ref="H396:H411" si="7">F396*G396</f>
        <v>0</v>
      </c>
      <c r="I396" s="16"/>
      <c r="J396" s="16"/>
      <c r="K396" s="92"/>
      <c r="L396" s="3"/>
    </row>
    <row r="397" spans="1:12" ht="30" customHeight="1" x14ac:dyDescent="0.2">
      <c r="A397" s="4">
        <v>341</v>
      </c>
      <c r="B397" s="3" t="s">
        <v>161</v>
      </c>
      <c r="C397" s="3"/>
      <c r="D397" s="9"/>
      <c r="E397" s="330"/>
      <c r="F397" s="323">
        <v>52000000</v>
      </c>
      <c r="G397" s="20">
        <v>0.05</v>
      </c>
      <c r="H397" s="323">
        <f t="shared" si="7"/>
        <v>2600000</v>
      </c>
      <c r="I397" s="16"/>
      <c r="J397" s="16"/>
      <c r="K397" s="92" t="s">
        <v>1861</v>
      </c>
      <c r="L397" s="56" t="s">
        <v>393</v>
      </c>
    </row>
    <row r="398" spans="1:12" ht="30" customHeight="1" x14ac:dyDescent="0.2">
      <c r="A398" s="4">
        <v>342</v>
      </c>
      <c r="B398" s="3" t="s">
        <v>162</v>
      </c>
      <c r="C398" s="3"/>
      <c r="D398" s="9"/>
      <c r="E398" s="330"/>
      <c r="F398" s="328"/>
      <c r="G398" s="44"/>
      <c r="H398" s="328">
        <f t="shared" si="7"/>
        <v>0</v>
      </c>
      <c r="I398" s="16"/>
      <c r="J398" s="16"/>
      <c r="K398" s="92"/>
      <c r="L398" s="3"/>
    </row>
    <row r="399" spans="1:12" ht="30" customHeight="1" x14ac:dyDescent="0.2">
      <c r="A399" s="2031">
        <v>343</v>
      </c>
      <c r="B399" s="2074" t="s">
        <v>164</v>
      </c>
      <c r="C399" s="2031"/>
      <c r="D399" s="2078"/>
      <c r="E399" s="2040"/>
      <c r="F399" s="323">
        <v>152000000</v>
      </c>
      <c r="G399" s="20">
        <v>0.05</v>
      </c>
      <c r="H399" s="323">
        <f>F399*G399</f>
        <v>7600000</v>
      </c>
      <c r="I399" s="16"/>
      <c r="J399" s="16"/>
      <c r="K399" s="92"/>
      <c r="L399" s="3"/>
    </row>
    <row r="400" spans="1:12" ht="30" customHeight="1" x14ac:dyDescent="0.2">
      <c r="A400" s="2032"/>
      <c r="B400" s="2075"/>
      <c r="C400" s="2032"/>
      <c r="D400" s="2079"/>
      <c r="E400" s="2042"/>
      <c r="F400" s="1947" t="s">
        <v>1333</v>
      </c>
      <c r="G400" s="1948"/>
      <c r="H400" s="1949"/>
      <c r="I400" s="16"/>
      <c r="J400" s="16"/>
      <c r="K400" s="92"/>
      <c r="L400" s="3"/>
    </row>
    <row r="401" spans="1:12" ht="30" customHeight="1" x14ac:dyDescent="0.2">
      <c r="A401" s="4">
        <v>344</v>
      </c>
      <c r="B401" s="3" t="s">
        <v>165</v>
      </c>
      <c r="C401" s="3"/>
      <c r="D401" s="9"/>
      <c r="E401" s="330"/>
      <c r="F401" s="323">
        <v>20000000</v>
      </c>
      <c r="G401" s="20">
        <v>0.04</v>
      </c>
      <c r="H401" s="323">
        <f t="shared" si="7"/>
        <v>800000</v>
      </c>
      <c r="I401" s="16"/>
      <c r="J401" s="16"/>
      <c r="K401" s="92"/>
      <c r="L401" s="82" t="s">
        <v>749</v>
      </c>
    </row>
    <row r="402" spans="1:12" ht="30" customHeight="1" x14ac:dyDescent="0.2">
      <c r="A402" s="4">
        <v>345</v>
      </c>
      <c r="B402" s="3" t="s">
        <v>166</v>
      </c>
      <c r="C402" s="3"/>
      <c r="D402" s="9"/>
      <c r="E402" s="330"/>
      <c r="F402" s="575">
        <v>400000000</v>
      </c>
      <c r="G402" s="586">
        <v>6.3E-2</v>
      </c>
      <c r="H402" s="575">
        <v>25000000</v>
      </c>
      <c r="I402" s="16"/>
      <c r="J402" s="16"/>
      <c r="K402" s="92" t="s">
        <v>1960</v>
      </c>
      <c r="L402" s="3"/>
    </row>
    <row r="403" spans="1:12" ht="30" customHeight="1" x14ac:dyDescent="0.2">
      <c r="A403" s="4">
        <v>346</v>
      </c>
      <c r="B403" s="3" t="s">
        <v>167</v>
      </c>
      <c r="C403" s="3"/>
      <c r="D403" s="9"/>
      <c r="E403" s="330"/>
      <c r="F403" s="323">
        <v>32500000</v>
      </c>
      <c r="G403" s="20">
        <v>0.04</v>
      </c>
      <c r="H403" s="323">
        <f t="shared" si="7"/>
        <v>1300000</v>
      </c>
      <c r="I403" s="16"/>
      <c r="J403" s="16"/>
      <c r="K403" s="92"/>
      <c r="L403" s="3"/>
    </row>
    <row r="404" spans="1:12" ht="30" customHeight="1" x14ac:dyDescent="0.2">
      <c r="A404" s="4">
        <v>347</v>
      </c>
      <c r="B404" s="3" t="s">
        <v>168</v>
      </c>
      <c r="C404" s="3"/>
      <c r="D404" s="9"/>
      <c r="E404" s="330"/>
      <c r="F404" s="328"/>
      <c r="G404" s="44"/>
      <c r="H404" s="328">
        <f t="shared" si="7"/>
        <v>0</v>
      </c>
      <c r="I404" s="16"/>
      <c r="J404" s="16"/>
      <c r="K404" s="92"/>
      <c r="L404" s="3"/>
    </row>
    <row r="405" spans="1:12" ht="30" customHeight="1" x14ac:dyDescent="0.2">
      <c r="A405" s="4">
        <v>348</v>
      </c>
      <c r="B405" s="3" t="s">
        <v>170</v>
      </c>
      <c r="C405" s="3"/>
      <c r="D405" s="9"/>
      <c r="E405" s="330"/>
      <c r="F405" s="328"/>
      <c r="G405" s="44"/>
      <c r="H405" s="328">
        <f t="shared" si="7"/>
        <v>0</v>
      </c>
      <c r="I405" s="16"/>
      <c r="J405" s="16"/>
      <c r="K405" s="92"/>
      <c r="L405" s="3"/>
    </row>
    <row r="406" spans="1:12" ht="30" customHeight="1" x14ac:dyDescent="0.2">
      <c r="A406" s="4">
        <v>349</v>
      </c>
      <c r="B406" s="3" t="s">
        <v>171</v>
      </c>
      <c r="C406" s="4" t="s">
        <v>366</v>
      </c>
      <c r="D406" s="9"/>
      <c r="E406" s="330"/>
      <c r="F406" s="323">
        <v>200000000</v>
      </c>
      <c r="G406" s="20">
        <v>5.5E-2</v>
      </c>
      <c r="H406" s="323">
        <f t="shared" si="7"/>
        <v>11000000</v>
      </c>
      <c r="I406" s="16"/>
      <c r="J406" s="16"/>
      <c r="K406" s="92"/>
      <c r="L406" s="3"/>
    </row>
    <row r="407" spans="1:12" ht="30" customHeight="1" x14ac:dyDescent="0.2">
      <c r="A407" s="4">
        <v>350</v>
      </c>
      <c r="B407" s="3" t="s">
        <v>172</v>
      </c>
      <c r="C407" s="3"/>
      <c r="D407" s="9"/>
      <c r="E407" s="330"/>
      <c r="F407" s="323">
        <v>135000000</v>
      </c>
      <c r="G407" s="20">
        <v>4.8000000000000001E-2</v>
      </c>
      <c r="H407" s="323">
        <v>6500000</v>
      </c>
      <c r="I407" s="16"/>
      <c r="J407" s="16"/>
      <c r="K407" s="92"/>
      <c r="L407" s="3"/>
    </row>
    <row r="408" spans="1:12" ht="30" customHeight="1" x14ac:dyDescent="0.2">
      <c r="A408" s="4">
        <v>351</v>
      </c>
      <c r="B408" s="3" t="s">
        <v>174</v>
      </c>
      <c r="C408" s="3"/>
      <c r="D408" s="9"/>
      <c r="E408" s="330"/>
      <c r="F408" s="323">
        <v>5000000</v>
      </c>
      <c r="G408" s="20">
        <v>0.04</v>
      </c>
      <c r="H408" s="323">
        <f t="shared" si="7"/>
        <v>200000</v>
      </c>
      <c r="I408" s="16"/>
      <c r="J408" s="16"/>
      <c r="K408" s="92"/>
      <c r="L408" s="3"/>
    </row>
    <row r="409" spans="1:12" ht="30" customHeight="1" x14ac:dyDescent="0.2">
      <c r="A409" s="4">
        <v>352</v>
      </c>
      <c r="B409" s="3" t="s">
        <v>1451</v>
      </c>
      <c r="C409" s="3"/>
      <c r="D409" s="9"/>
      <c r="E409" s="330"/>
      <c r="F409" s="323">
        <v>60000000</v>
      </c>
      <c r="G409" s="20">
        <v>7.0000000000000007E-2</v>
      </c>
      <c r="H409" s="323">
        <f t="shared" si="7"/>
        <v>4200000</v>
      </c>
      <c r="I409" s="16"/>
      <c r="J409" s="16"/>
      <c r="K409" s="92"/>
      <c r="L409" s="3"/>
    </row>
    <row r="410" spans="1:12" ht="30" customHeight="1" x14ac:dyDescent="0.2">
      <c r="A410" s="4"/>
      <c r="B410" s="3" t="s">
        <v>1526</v>
      </c>
      <c r="C410" s="3"/>
      <c r="D410" s="9"/>
      <c r="E410" s="416"/>
      <c r="F410" s="411">
        <v>10000000</v>
      </c>
      <c r="G410" s="20">
        <v>0.05</v>
      </c>
      <c r="H410" s="411">
        <f t="shared" si="7"/>
        <v>500000</v>
      </c>
      <c r="I410" s="16"/>
      <c r="J410" s="16"/>
      <c r="K410" s="92" t="s">
        <v>1527</v>
      </c>
      <c r="L410" s="3"/>
    </row>
    <row r="411" spans="1:12" ht="30" customHeight="1" x14ac:dyDescent="0.2">
      <c r="A411" s="4">
        <v>353</v>
      </c>
      <c r="B411" s="3" t="s">
        <v>175</v>
      </c>
      <c r="C411" s="3"/>
      <c r="D411" s="9"/>
      <c r="E411" s="330"/>
      <c r="F411" s="323">
        <v>60000000</v>
      </c>
      <c r="G411" s="20">
        <v>4.4999999999999998E-2</v>
      </c>
      <c r="H411" s="323">
        <f t="shared" si="7"/>
        <v>2700000</v>
      </c>
      <c r="I411" s="16"/>
      <c r="J411" s="16"/>
      <c r="K411" s="92"/>
      <c r="L411" s="3"/>
    </row>
    <row r="412" spans="1:12" ht="30" customHeight="1" x14ac:dyDescent="0.2">
      <c r="A412" s="4">
        <v>354</v>
      </c>
      <c r="B412" s="45" t="s">
        <v>176</v>
      </c>
      <c r="C412" s="45"/>
      <c r="D412" s="9"/>
      <c r="E412" s="330"/>
      <c r="F412" s="323">
        <v>20000000</v>
      </c>
      <c r="G412" s="20">
        <v>0.05</v>
      </c>
      <c r="H412" s="323">
        <f>F412*G412</f>
        <v>1000000</v>
      </c>
      <c r="I412" s="335"/>
      <c r="J412" s="335"/>
      <c r="K412" s="92"/>
      <c r="L412" s="13" t="s">
        <v>272</v>
      </c>
    </row>
    <row r="413" spans="1:12" ht="30" customHeight="1" x14ac:dyDescent="0.2">
      <c r="A413" s="2031">
        <v>355</v>
      </c>
      <c r="B413" s="2029" t="s">
        <v>273</v>
      </c>
      <c r="C413" s="319"/>
      <c r="D413" s="2078"/>
      <c r="E413" s="2040"/>
      <c r="F413" s="323">
        <v>300000000</v>
      </c>
      <c r="G413" s="47"/>
      <c r="H413" s="323">
        <v>30750000</v>
      </c>
      <c r="I413" s="2055" t="s">
        <v>276</v>
      </c>
      <c r="J413" s="2055">
        <v>440000000</v>
      </c>
      <c r="K413" s="2059" t="s">
        <v>1889</v>
      </c>
      <c r="L413" s="2070"/>
    </row>
    <row r="414" spans="1:12" ht="30" customHeight="1" x14ac:dyDescent="0.2">
      <c r="A414" s="2032"/>
      <c r="B414" s="2030"/>
      <c r="C414" s="320"/>
      <c r="D414" s="2079"/>
      <c r="E414" s="2042"/>
      <c r="F414" s="323">
        <v>140000000</v>
      </c>
      <c r="G414" s="48"/>
      <c r="H414" s="323">
        <v>9800000</v>
      </c>
      <c r="I414" s="2056"/>
      <c r="J414" s="2056"/>
      <c r="K414" s="2060"/>
      <c r="L414" s="2071"/>
    </row>
    <row r="415" spans="1:12" ht="30" customHeight="1" x14ac:dyDescent="0.2">
      <c r="A415" s="2031">
        <v>356</v>
      </c>
      <c r="B415" s="2088" t="s">
        <v>179</v>
      </c>
      <c r="C415" s="2090"/>
      <c r="D415" s="2092"/>
      <c r="E415" s="2080"/>
      <c r="F415" s="2080"/>
      <c r="G415" s="2082"/>
      <c r="H415" s="2080">
        <v>25000000</v>
      </c>
      <c r="I415" s="2084"/>
      <c r="J415" s="2084"/>
      <c r="K415" s="2086"/>
      <c r="L415" s="2076" t="s">
        <v>765</v>
      </c>
    </row>
    <row r="416" spans="1:12" ht="30" customHeight="1" x14ac:dyDescent="0.2">
      <c r="A416" s="2032"/>
      <c r="B416" s="2089"/>
      <c r="C416" s="2091"/>
      <c r="D416" s="2093"/>
      <c r="E416" s="2081"/>
      <c r="F416" s="2081"/>
      <c r="G416" s="2083"/>
      <c r="H416" s="2081"/>
      <c r="I416" s="2085"/>
      <c r="J416" s="2085"/>
      <c r="K416" s="2087"/>
      <c r="L416" s="2077"/>
    </row>
    <row r="417" spans="1:12" ht="30" customHeight="1" x14ac:dyDescent="0.2">
      <c r="A417" s="4">
        <v>357</v>
      </c>
      <c r="B417" s="3" t="s">
        <v>1280</v>
      </c>
      <c r="C417" s="3"/>
      <c r="D417" s="9"/>
      <c r="E417" s="330"/>
      <c r="F417" s="323">
        <v>60000000</v>
      </c>
      <c r="G417" s="20">
        <v>0.05</v>
      </c>
      <c r="H417" s="323">
        <f t="shared" ref="H417:H419" si="8">F417*G417</f>
        <v>3000000</v>
      </c>
      <c r="I417" s="16"/>
      <c r="J417" s="16"/>
      <c r="K417" s="92" t="s">
        <v>1372</v>
      </c>
      <c r="L417" s="82" t="s">
        <v>1281</v>
      </c>
    </row>
    <row r="418" spans="1:12" ht="30" customHeight="1" x14ac:dyDescent="0.2">
      <c r="A418" s="4">
        <v>358</v>
      </c>
      <c r="B418" s="3" t="s">
        <v>1257</v>
      </c>
      <c r="C418" s="4" t="s">
        <v>971</v>
      </c>
      <c r="D418" s="9"/>
      <c r="E418" s="330"/>
      <c r="F418" s="323">
        <v>685000000</v>
      </c>
      <c r="G418" s="20">
        <v>0.06</v>
      </c>
      <c r="H418" s="323">
        <f>F418*G418</f>
        <v>41100000</v>
      </c>
      <c r="I418" s="16"/>
      <c r="J418" s="16"/>
      <c r="K418" s="92" t="s">
        <v>1525</v>
      </c>
      <c r="L418" s="82"/>
    </row>
    <row r="419" spans="1:12" ht="30" customHeight="1" x14ac:dyDescent="0.2">
      <c r="A419" s="2031">
        <v>359</v>
      </c>
      <c r="B419" s="2074" t="s">
        <v>184</v>
      </c>
      <c r="C419" s="2031"/>
      <c r="D419" s="2078"/>
      <c r="E419" s="2040"/>
      <c r="F419" s="2080"/>
      <c r="G419" s="2082"/>
      <c r="H419" s="2080">
        <f t="shared" si="8"/>
        <v>0</v>
      </c>
      <c r="I419" s="2061"/>
      <c r="J419" s="2061"/>
      <c r="K419" s="2059"/>
      <c r="L419" s="2031"/>
    </row>
    <row r="420" spans="1:12" ht="30" customHeight="1" x14ac:dyDescent="0.2">
      <c r="A420" s="2032"/>
      <c r="B420" s="2075"/>
      <c r="C420" s="2032"/>
      <c r="D420" s="2079"/>
      <c r="E420" s="2042"/>
      <c r="F420" s="2081"/>
      <c r="G420" s="2083"/>
      <c r="H420" s="2081"/>
      <c r="I420" s="2063"/>
      <c r="J420" s="2063"/>
      <c r="K420" s="2060"/>
      <c r="L420" s="2032"/>
    </row>
    <row r="421" spans="1:12" ht="30" customHeight="1" x14ac:dyDescent="0.2">
      <c r="A421" s="4">
        <v>360</v>
      </c>
      <c r="B421" s="3" t="s">
        <v>1211</v>
      </c>
      <c r="C421" s="52" t="s">
        <v>1175</v>
      </c>
      <c r="D421" s="330" t="s">
        <v>1132</v>
      </c>
      <c r="E421" s="330" t="s">
        <v>1176</v>
      </c>
      <c r="F421" s="323">
        <v>35000000</v>
      </c>
      <c r="G421" s="20">
        <v>4.2999999999999997E-2</v>
      </c>
      <c r="H421" s="323">
        <v>1500000</v>
      </c>
      <c r="I421" s="16"/>
      <c r="J421" s="16"/>
      <c r="K421" s="92"/>
      <c r="L421" s="3"/>
    </row>
    <row r="422" spans="1:12" ht="30" customHeight="1" x14ac:dyDescent="0.2">
      <c r="A422" s="4">
        <v>361</v>
      </c>
      <c r="B422" s="3" t="s">
        <v>345</v>
      </c>
      <c r="C422" s="3"/>
      <c r="D422" s="330" t="s">
        <v>329</v>
      </c>
      <c r="E422" s="330" t="s">
        <v>346</v>
      </c>
      <c r="F422" s="323">
        <v>150000000</v>
      </c>
      <c r="G422" s="20">
        <v>0.05</v>
      </c>
      <c r="H422" s="323">
        <v>7500000</v>
      </c>
      <c r="I422" s="16"/>
      <c r="J422" s="16"/>
      <c r="K422" s="92"/>
      <c r="L422" s="3"/>
    </row>
    <row r="423" spans="1:12" ht="30" customHeight="1" x14ac:dyDescent="0.2">
      <c r="A423" s="4">
        <v>362</v>
      </c>
      <c r="B423" s="3" t="s">
        <v>378</v>
      </c>
      <c r="C423" s="52" t="s">
        <v>379</v>
      </c>
      <c r="D423" s="37"/>
      <c r="E423" s="330"/>
      <c r="F423" s="323">
        <v>30000000</v>
      </c>
      <c r="G423" s="20">
        <v>0.05</v>
      </c>
      <c r="H423" s="323">
        <f>F423*G423</f>
        <v>1500000</v>
      </c>
      <c r="I423" s="16"/>
      <c r="J423" s="16"/>
      <c r="K423" s="92"/>
      <c r="L423" s="3"/>
    </row>
    <row r="424" spans="1:12" ht="30" customHeight="1" x14ac:dyDescent="0.2">
      <c r="A424" s="2031">
        <v>363</v>
      </c>
      <c r="B424" s="2074" t="s">
        <v>915</v>
      </c>
      <c r="C424" s="52" t="s">
        <v>916</v>
      </c>
      <c r="D424" s="37"/>
      <c r="E424" s="330"/>
      <c r="F424" s="323">
        <v>320000000</v>
      </c>
      <c r="G424" s="20">
        <v>0.05</v>
      </c>
      <c r="H424" s="323">
        <f>F424*G424</f>
        <v>16000000</v>
      </c>
      <c r="I424" s="16"/>
      <c r="J424" s="16"/>
      <c r="K424" s="92"/>
      <c r="L424" s="3"/>
    </row>
    <row r="425" spans="1:12" ht="30" customHeight="1" x14ac:dyDescent="0.2">
      <c r="A425" s="2032"/>
      <c r="B425" s="2075"/>
      <c r="C425" s="52" t="s">
        <v>917</v>
      </c>
      <c r="D425" s="37" t="s">
        <v>839</v>
      </c>
      <c r="E425" s="330"/>
      <c r="F425" s="323">
        <v>100000000</v>
      </c>
      <c r="G425" s="20">
        <v>0.05</v>
      </c>
      <c r="H425" s="323">
        <f>F425*G425</f>
        <v>5000000</v>
      </c>
      <c r="I425" s="16"/>
      <c r="J425" s="16"/>
      <c r="K425" s="92"/>
      <c r="L425" s="3"/>
    </row>
    <row r="426" spans="1:12" ht="30" customHeight="1" x14ac:dyDescent="0.2">
      <c r="A426" s="4">
        <v>364</v>
      </c>
      <c r="B426" s="326" t="s">
        <v>1312</v>
      </c>
      <c r="C426" s="52" t="s">
        <v>916</v>
      </c>
      <c r="D426" s="37" t="s">
        <v>926</v>
      </c>
      <c r="E426" s="330" t="s">
        <v>1313</v>
      </c>
      <c r="F426" s="323">
        <v>100000000</v>
      </c>
      <c r="G426" s="20">
        <v>0.05</v>
      </c>
      <c r="H426" s="323">
        <f>F426*G426</f>
        <v>5000000</v>
      </c>
      <c r="I426" s="16"/>
      <c r="J426" s="16"/>
      <c r="K426" s="92" t="s">
        <v>1567</v>
      </c>
      <c r="L426" s="3"/>
    </row>
    <row r="427" spans="1:12" ht="30" customHeight="1" x14ac:dyDescent="0.2">
      <c r="A427" s="4">
        <v>365</v>
      </c>
      <c r="B427" s="326" t="s">
        <v>1328</v>
      </c>
      <c r="C427" s="52" t="s">
        <v>916</v>
      </c>
      <c r="D427" s="37" t="s">
        <v>926</v>
      </c>
      <c r="E427" s="330" t="s">
        <v>1313</v>
      </c>
      <c r="F427" s="323">
        <v>10000000</v>
      </c>
      <c r="G427" s="20">
        <v>0.05</v>
      </c>
      <c r="H427" s="323">
        <f>F427*G427</f>
        <v>500000</v>
      </c>
      <c r="I427" s="16"/>
      <c r="J427" s="16"/>
      <c r="K427" s="92"/>
      <c r="L427" s="3"/>
    </row>
    <row r="428" spans="1:12" ht="30" customHeight="1" x14ac:dyDescent="0.2">
      <c r="A428" s="4"/>
      <c r="B428" s="326" t="s">
        <v>1339</v>
      </c>
      <c r="C428" s="52"/>
      <c r="D428" s="37"/>
      <c r="E428" s="330"/>
      <c r="F428" s="323"/>
      <c r="G428" s="20"/>
      <c r="H428" s="323">
        <v>10500000</v>
      </c>
      <c r="I428" s="16"/>
      <c r="J428" s="16"/>
      <c r="K428" s="92" t="s">
        <v>1340</v>
      </c>
      <c r="L428" s="3"/>
    </row>
    <row r="429" spans="1:12" ht="30" customHeight="1" x14ac:dyDescent="0.2">
      <c r="A429" s="4"/>
      <c r="B429" s="349" t="s">
        <v>1356</v>
      </c>
      <c r="C429" s="52"/>
      <c r="D429" s="37"/>
      <c r="E429" s="350"/>
      <c r="F429" s="348"/>
      <c r="G429" s="20"/>
      <c r="H429" s="348"/>
      <c r="I429" s="16"/>
      <c r="J429" s="16"/>
      <c r="K429" s="92" t="s">
        <v>1357</v>
      </c>
      <c r="L429" s="3"/>
    </row>
    <row r="430" spans="1:12" ht="30" customHeight="1" x14ac:dyDescent="0.2">
      <c r="A430" s="4"/>
      <c r="B430" s="414" t="s">
        <v>1523</v>
      </c>
      <c r="C430" s="52"/>
      <c r="D430" s="37"/>
      <c r="E430" s="416"/>
      <c r="F430" s="411"/>
      <c r="G430" s="20"/>
      <c r="H430" s="411"/>
      <c r="I430" s="16"/>
      <c r="J430" s="16"/>
      <c r="K430" s="92" t="s">
        <v>1522</v>
      </c>
      <c r="L430" s="3"/>
    </row>
    <row r="431" spans="1:12" ht="30" customHeight="1" x14ac:dyDescent="0.2">
      <c r="A431" s="4"/>
      <c r="B431" s="414" t="s">
        <v>1543</v>
      </c>
      <c r="C431" s="52"/>
      <c r="D431" s="37"/>
      <c r="E431" s="416"/>
      <c r="F431" s="411"/>
      <c r="G431" s="20"/>
      <c r="H431" s="411"/>
      <c r="I431" s="16"/>
      <c r="J431" s="16"/>
      <c r="K431" s="92" t="s">
        <v>1544</v>
      </c>
      <c r="L431" s="3"/>
    </row>
    <row r="432" spans="1:12" ht="30" customHeight="1" x14ac:dyDescent="0.2">
      <c r="A432" s="4"/>
      <c r="B432" s="548" t="s">
        <v>1855</v>
      </c>
      <c r="C432" s="52"/>
      <c r="D432" s="37"/>
      <c r="E432" s="552"/>
      <c r="F432" s="546"/>
      <c r="G432" s="555"/>
      <c r="H432" s="546"/>
      <c r="I432" s="16"/>
      <c r="J432" s="16"/>
      <c r="K432" s="92" t="s">
        <v>1856</v>
      </c>
      <c r="L432" s="3"/>
    </row>
    <row r="433" spans="1:12" ht="30" customHeight="1" x14ac:dyDescent="0.2">
      <c r="A433" s="4"/>
      <c r="B433" s="548" t="s">
        <v>1716</v>
      </c>
      <c r="C433" s="52"/>
      <c r="D433" s="37"/>
      <c r="E433" s="552"/>
      <c r="F433" s="546"/>
      <c r="G433" s="555"/>
      <c r="H433" s="546"/>
      <c r="I433" s="16"/>
      <c r="J433" s="16"/>
      <c r="K433" s="92" t="s">
        <v>1860</v>
      </c>
      <c r="L433" s="3"/>
    </row>
    <row r="434" spans="1:12" ht="30" customHeight="1" x14ac:dyDescent="0.2">
      <c r="A434" s="4"/>
      <c r="B434" s="548" t="s">
        <v>1864</v>
      </c>
      <c r="C434" s="52"/>
      <c r="D434" s="37"/>
      <c r="E434" s="552"/>
      <c r="F434" s="546"/>
      <c r="G434" s="555"/>
      <c r="H434" s="546"/>
      <c r="I434" s="16"/>
      <c r="J434" s="16"/>
      <c r="K434" s="92" t="s">
        <v>1863</v>
      </c>
      <c r="L434" s="3"/>
    </row>
    <row r="435" spans="1:12" ht="30" customHeight="1" x14ac:dyDescent="0.2">
      <c r="A435" s="4"/>
      <c r="B435" s="548" t="s">
        <v>1865</v>
      </c>
      <c r="C435" s="52"/>
      <c r="D435" s="37"/>
      <c r="E435" s="552"/>
      <c r="F435" s="546"/>
      <c r="G435" s="555"/>
      <c r="H435" s="546"/>
      <c r="I435" s="16"/>
      <c r="J435" s="16"/>
      <c r="K435" s="92" t="s">
        <v>1866</v>
      </c>
      <c r="L435" s="3"/>
    </row>
    <row r="436" spans="1:12" ht="30" customHeight="1" x14ac:dyDescent="0.2">
      <c r="A436" s="4"/>
      <c r="B436" s="572" t="s">
        <v>1911</v>
      </c>
      <c r="C436" s="52" t="s">
        <v>1131</v>
      </c>
      <c r="D436" s="37" t="s">
        <v>1912</v>
      </c>
      <c r="E436" s="584"/>
      <c r="F436" s="575"/>
      <c r="G436" s="586"/>
      <c r="H436" s="575"/>
      <c r="I436" s="16"/>
      <c r="J436" s="16"/>
      <c r="K436" s="92" t="s">
        <v>2095</v>
      </c>
      <c r="L436" s="3"/>
    </row>
    <row r="437" spans="1:12" ht="30" customHeight="1" x14ac:dyDescent="0.2">
      <c r="A437" s="4"/>
      <c r="B437" s="572" t="s">
        <v>1940</v>
      </c>
      <c r="C437" s="52" t="s">
        <v>265</v>
      </c>
      <c r="D437" s="37" t="s">
        <v>294</v>
      </c>
      <c r="E437" s="584"/>
      <c r="F437" s="575"/>
      <c r="G437" s="586"/>
      <c r="H437" s="575"/>
      <c r="I437" s="16"/>
      <c r="J437" s="16"/>
      <c r="K437" s="92"/>
      <c r="L437" s="82" t="s">
        <v>1941</v>
      </c>
    </row>
    <row r="438" spans="1:12" ht="30" customHeight="1" x14ac:dyDescent="0.2">
      <c r="A438" s="4"/>
      <c r="B438" s="594" t="s">
        <v>1985</v>
      </c>
      <c r="C438" s="52" t="s">
        <v>265</v>
      </c>
      <c r="D438" s="37" t="s">
        <v>1835</v>
      </c>
      <c r="E438" s="604"/>
      <c r="F438" s="597">
        <v>150000000</v>
      </c>
      <c r="G438" s="608">
        <v>0.08</v>
      </c>
      <c r="H438" s="597">
        <f>F438*G438</f>
        <v>12000000</v>
      </c>
      <c r="I438" s="16"/>
      <c r="J438" s="16"/>
      <c r="K438" s="92"/>
      <c r="L438" s="82"/>
    </row>
    <row r="439" spans="1:12" ht="30" customHeight="1" x14ac:dyDescent="0.2">
      <c r="A439" s="782"/>
      <c r="B439" s="772" t="s">
        <v>2359</v>
      </c>
      <c r="C439" s="52"/>
      <c r="D439" s="780"/>
      <c r="E439" s="778"/>
      <c r="F439" s="773"/>
      <c r="G439" s="781"/>
      <c r="H439" s="773"/>
      <c r="I439" s="16"/>
      <c r="J439" s="16"/>
      <c r="K439" s="92" t="s">
        <v>2360</v>
      </c>
      <c r="L439" s="82"/>
    </row>
    <row r="440" spans="1:12" ht="30" customHeight="1" x14ac:dyDescent="0.2">
      <c r="A440" s="917"/>
      <c r="B440" s="911" t="s">
        <v>2047</v>
      </c>
      <c r="C440" s="52"/>
      <c r="D440" s="919"/>
      <c r="E440" s="915"/>
      <c r="F440" s="912"/>
      <c r="G440" s="916"/>
      <c r="H440" s="912"/>
      <c r="I440" s="16"/>
      <c r="J440" s="16"/>
      <c r="K440" s="92" t="s">
        <v>2566</v>
      </c>
      <c r="L440" s="82"/>
    </row>
    <row r="441" spans="1:12" ht="28.5" customHeight="1" x14ac:dyDescent="0.2">
      <c r="A441" s="4">
        <v>366</v>
      </c>
      <c r="B441" s="3" t="s">
        <v>1341</v>
      </c>
      <c r="C441" s="3"/>
      <c r="D441" s="9"/>
      <c r="E441" s="330"/>
      <c r="F441" s="323"/>
      <c r="G441" s="20"/>
      <c r="H441" s="323"/>
      <c r="I441" s="16"/>
      <c r="J441" s="16"/>
      <c r="K441" s="92"/>
      <c r="L441" s="3"/>
    </row>
  </sheetData>
  <mergeCells count="519">
    <mergeCell ref="F113:F114"/>
    <mergeCell ref="G113:G114"/>
    <mergeCell ref="H113:H114"/>
    <mergeCell ref="I113:I114"/>
    <mergeCell ref="J113:J114"/>
    <mergeCell ref="H164:H165"/>
    <mergeCell ref="F169:F171"/>
    <mergeCell ref="G169:G171"/>
    <mergeCell ref="G218:G220"/>
    <mergeCell ref="H218:H220"/>
    <mergeCell ref="I218:I220"/>
    <mergeCell ref="J218:J220"/>
    <mergeCell ref="K100:K101"/>
    <mergeCell ref="L100:L101"/>
    <mergeCell ref="K174:K175"/>
    <mergeCell ref="L174:L175"/>
    <mergeCell ref="J174:J175"/>
    <mergeCell ref="I174:I175"/>
    <mergeCell ref="K118:K119"/>
    <mergeCell ref="L118:L119"/>
    <mergeCell ref="I152:I154"/>
    <mergeCell ref="J152:J154"/>
    <mergeCell ref="K152:K154"/>
    <mergeCell ref="K116:K117"/>
    <mergeCell ref="J256:J257"/>
    <mergeCell ref="K256:K257"/>
    <mergeCell ref="L256:L257"/>
    <mergeCell ref="K11:K12"/>
    <mergeCell ref="K52:K53"/>
    <mergeCell ref="L13:L14"/>
    <mergeCell ref="I13:I14"/>
    <mergeCell ref="L25:L26"/>
    <mergeCell ref="L74:L77"/>
    <mergeCell ref="I74:I77"/>
    <mergeCell ref="J74:J77"/>
    <mergeCell ref="K74:K77"/>
    <mergeCell ref="L66:L69"/>
    <mergeCell ref="K196:K197"/>
    <mergeCell ref="L218:L220"/>
    <mergeCell ref="K113:K114"/>
    <mergeCell ref="L113:L114"/>
    <mergeCell ref="L196:L197"/>
    <mergeCell ref="I85:I86"/>
    <mergeCell ref="J85:J86"/>
    <mergeCell ref="K85:K86"/>
    <mergeCell ref="L85:L86"/>
    <mergeCell ref="K109:K111"/>
    <mergeCell ref="L109:L111"/>
    <mergeCell ref="A11:A12"/>
    <mergeCell ref="B11:B12"/>
    <mergeCell ref="F11:F12"/>
    <mergeCell ref="G11:G12"/>
    <mergeCell ref="H11:H12"/>
    <mergeCell ref="K164:K165"/>
    <mergeCell ref="D31:D32"/>
    <mergeCell ref="E31:E32"/>
    <mergeCell ref="F31:F32"/>
    <mergeCell ref="G31:G32"/>
    <mergeCell ref="H31:H32"/>
    <mergeCell ref="H25:H26"/>
    <mergeCell ref="I25:I26"/>
    <mergeCell ref="J25:J26"/>
    <mergeCell ref="K25:K26"/>
    <mergeCell ref="A33:A34"/>
    <mergeCell ref="K72:K73"/>
    <mergeCell ref="J13:J14"/>
    <mergeCell ref="K13:K14"/>
    <mergeCell ref="A31:A32"/>
    <mergeCell ref="B31:B32"/>
    <mergeCell ref="A25:A26"/>
    <mergeCell ref="B25:B26"/>
    <mergeCell ref="C25:C26"/>
    <mergeCell ref="D25:D26"/>
    <mergeCell ref="E25:E26"/>
    <mergeCell ref="F25:F26"/>
    <mergeCell ref="G25:G26"/>
    <mergeCell ref="A13:A14"/>
    <mergeCell ref="B13:B14"/>
    <mergeCell ref="C13:C14"/>
    <mergeCell ref="D13:D14"/>
    <mergeCell ref="E13:E14"/>
    <mergeCell ref="A22:A23"/>
    <mergeCell ref="B22:B23"/>
    <mergeCell ref="C22:C23"/>
    <mergeCell ref="C31:C32"/>
    <mergeCell ref="L38:L39"/>
    <mergeCell ref="I38:I39"/>
    <mergeCell ref="J38:J39"/>
    <mergeCell ref="K38:K39"/>
    <mergeCell ref="B33:B34"/>
    <mergeCell ref="C33:C34"/>
    <mergeCell ref="D33:D34"/>
    <mergeCell ref="E33:E34"/>
    <mergeCell ref="F33:F34"/>
    <mergeCell ref="G33:G34"/>
    <mergeCell ref="H33:H34"/>
    <mergeCell ref="A52:A53"/>
    <mergeCell ref="B52:B53"/>
    <mergeCell ref="C52:C53"/>
    <mergeCell ref="D52:D53"/>
    <mergeCell ref="E52:E53"/>
    <mergeCell ref="F52:F53"/>
    <mergeCell ref="G52:G53"/>
    <mergeCell ref="H52:H53"/>
    <mergeCell ref="A38:A39"/>
    <mergeCell ref="B38:B39"/>
    <mergeCell ref="C38:C39"/>
    <mergeCell ref="D38:D39"/>
    <mergeCell ref="E38:E39"/>
    <mergeCell ref="A63:A64"/>
    <mergeCell ref="B63:B64"/>
    <mergeCell ref="C63:C64"/>
    <mergeCell ref="D63:D64"/>
    <mergeCell ref="E63:E64"/>
    <mergeCell ref="F63:H63"/>
    <mergeCell ref="A54:A58"/>
    <mergeCell ref="B54:B58"/>
    <mergeCell ref="C54:C58"/>
    <mergeCell ref="D54:D58"/>
    <mergeCell ref="E54:E58"/>
    <mergeCell ref="F54:H54"/>
    <mergeCell ref="F55:F57"/>
    <mergeCell ref="G55:G57"/>
    <mergeCell ref="H55:H57"/>
    <mergeCell ref="G66:G67"/>
    <mergeCell ref="H66:H67"/>
    <mergeCell ref="I66:I67"/>
    <mergeCell ref="J66:J67"/>
    <mergeCell ref="A66:A69"/>
    <mergeCell ref="B66:B69"/>
    <mergeCell ref="C66:C69"/>
    <mergeCell ref="D66:D69"/>
    <mergeCell ref="E66:E69"/>
    <mergeCell ref="F66:F67"/>
    <mergeCell ref="A72:A73"/>
    <mergeCell ref="B72:B73"/>
    <mergeCell ref="C72:C73"/>
    <mergeCell ref="D72:D73"/>
    <mergeCell ref="E72:E73"/>
    <mergeCell ref="G72:G73"/>
    <mergeCell ref="H72:H73"/>
    <mergeCell ref="A70:A71"/>
    <mergeCell ref="B70:B71"/>
    <mergeCell ref="C70:C71"/>
    <mergeCell ref="D70:D71"/>
    <mergeCell ref="E70:E71"/>
    <mergeCell ref="A85:A86"/>
    <mergeCell ref="B85:B86"/>
    <mergeCell ref="C85:C86"/>
    <mergeCell ref="D85:D86"/>
    <mergeCell ref="E85:E86"/>
    <mergeCell ref="F85:F86"/>
    <mergeCell ref="G85:G86"/>
    <mergeCell ref="H85:H86"/>
    <mergeCell ref="G74:G78"/>
    <mergeCell ref="H74:H78"/>
    <mergeCell ref="A74:A78"/>
    <mergeCell ref="B74:B78"/>
    <mergeCell ref="C74:C78"/>
    <mergeCell ref="D74:D78"/>
    <mergeCell ref="E74:E78"/>
    <mergeCell ref="F74:F78"/>
    <mergeCell ref="A109:A111"/>
    <mergeCell ref="B109:B111"/>
    <mergeCell ref="C109:C111"/>
    <mergeCell ref="D109:D111"/>
    <mergeCell ref="E109:E111"/>
    <mergeCell ref="A100:A101"/>
    <mergeCell ref="B100:B101"/>
    <mergeCell ref="C100:C101"/>
    <mergeCell ref="D100:D101"/>
    <mergeCell ref="E100:E101"/>
    <mergeCell ref="A116:A117"/>
    <mergeCell ref="B116:B117"/>
    <mergeCell ref="C116:C117"/>
    <mergeCell ref="D116:D117"/>
    <mergeCell ref="E116:E117"/>
    <mergeCell ref="A113:A114"/>
    <mergeCell ref="B113:B114"/>
    <mergeCell ref="C113:C114"/>
    <mergeCell ref="D113:D114"/>
    <mergeCell ref="E113:E114"/>
    <mergeCell ref="A118:A119"/>
    <mergeCell ref="B118:B119"/>
    <mergeCell ref="C118:C119"/>
    <mergeCell ref="D118:D119"/>
    <mergeCell ref="E118:E119"/>
    <mergeCell ref="G121:G122"/>
    <mergeCell ref="H121:H122"/>
    <mergeCell ref="A123:A124"/>
    <mergeCell ref="B123:B124"/>
    <mergeCell ref="C123:C124"/>
    <mergeCell ref="D123:D124"/>
    <mergeCell ref="E123:E124"/>
    <mergeCell ref="A121:A122"/>
    <mergeCell ref="B121:B122"/>
    <mergeCell ref="C121:C122"/>
    <mergeCell ref="D121:D122"/>
    <mergeCell ref="E121:E122"/>
    <mergeCell ref="F121:F122"/>
    <mergeCell ref="A133:A134"/>
    <mergeCell ref="B133:B134"/>
    <mergeCell ref="C133:C134"/>
    <mergeCell ref="D133:D134"/>
    <mergeCell ref="E133:E134"/>
    <mergeCell ref="A142:A143"/>
    <mergeCell ref="B142:B143"/>
    <mergeCell ref="C142:C143"/>
    <mergeCell ref="D142:D143"/>
    <mergeCell ref="E142:E143"/>
    <mergeCell ref="A152:A154"/>
    <mergeCell ref="B152:B154"/>
    <mergeCell ref="C152:C154"/>
    <mergeCell ref="D152:D154"/>
    <mergeCell ref="E152:E154"/>
    <mergeCell ref="F152:F154"/>
    <mergeCell ref="G152:G154"/>
    <mergeCell ref="H152:H154"/>
    <mergeCell ref="L164:L165"/>
    <mergeCell ref="A157:A158"/>
    <mergeCell ref="B157:B158"/>
    <mergeCell ref="A164:A165"/>
    <mergeCell ref="B164:B165"/>
    <mergeCell ref="C164:C165"/>
    <mergeCell ref="D164:D165"/>
    <mergeCell ref="E164:E165"/>
    <mergeCell ref="F164:F165"/>
    <mergeCell ref="G164:G165"/>
    <mergeCell ref="L152:L154"/>
    <mergeCell ref="A166:A167"/>
    <mergeCell ref="B166:B167"/>
    <mergeCell ref="D166:D167"/>
    <mergeCell ref="E166:E167"/>
    <mergeCell ref="F166:F167"/>
    <mergeCell ref="G166:G167"/>
    <mergeCell ref="H166:H167"/>
    <mergeCell ref="A174:A175"/>
    <mergeCell ref="B174:B175"/>
    <mergeCell ref="C174:C175"/>
    <mergeCell ref="D174:D175"/>
    <mergeCell ref="E174:E175"/>
    <mergeCell ref="A169:A171"/>
    <mergeCell ref="B169:B171"/>
    <mergeCell ref="C169:C171"/>
    <mergeCell ref="D169:D171"/>
    <mergeCell ref="E169:E171"/>
    <mergeCell ref="H169:H171"/>
    <mergeCell ref="A199:A200"/>
    <mergeCell ref="B199:B200"/>
    <mergeCell ref="C199:C200"/>
    <mergeCell ref="D199:D200"/>
    <mergeCell ref="E199:E200"/>
    <mergeCell ref="G196:G197"/>
    <mergeCell ref="H196:H197"/>
    <mergeCell ref="I196:I197"/>
    <mergeCell ref="J196:J197"/>
    <mergeCell ref="A196:A197"/>
    <mergeCell ref="B196:B197"/>
    <mergeCell ref="C196:C197"/>
    <mergeCell ref="D196:D197"/>
    <mergeCell ref="E196:E197"/>
    <mergeCell ref="F196:F197"/>
    <mergeCell ref="A218:A220"/>
    <mergeCell ref="B218:B220"/>
    <mergeCell ref="C218:C220"/>
    <mergeCell ref="D218:D220"/>
    <mergeCell ref="E218:E220"/>
    <mergeCell ref="F218:F220"/>
    <mergeCell ref="E242:E243"/>
    <mergeCell ref="F242:F243"/>
    <mergeCell ref="A214:A216"/>
    <mergeCell ref="B214:B216"/>
    <mergeCell ref="C214:C216"/>
    <mergeCell ref="D214:D216"/>
    <mergeCell ref="E214:E216"/>
    <mergeCell ref="G242:G243"/>
    <mergeCell ref="H242:H243"/>
    <mergeCell ref="A238:A239"/>
    <mergeCell ref="B238:B239"/>
    <mergeCell ref="A242:A243"/>
    <mergeCell ref="B242:B243"/>
    <mergeCell ref="C242:C243"/>
    <mergeCell ref="D242:D243"/>
    <mergeCell ref="A236:A237"/>
    <mergeCell ref="B236:B237"/>
    <mergeCell ref="A256:A257"/>
    <mergeCell ref="B256:B257"/>
    <mergeCell ref="C256:C257"/>
    <mergeCell ref="D256:D257"/>
    <mergeCell ref="E256:E257"/>
    <mergeCell ref="G270:G271"/>
    <mergeCell ref="H270:H271"/>
    <mergeCell ref="A272:A273"/>
    <mergeCell ref="B272:B273"/>
    <mergeCell ref="C272:C273"/>
    <mergeCell ref="D272:D273"/>
    <mergeCell ref="E272:E273"/>
    <mergeCell ref="F272:F273"/>
    <mergeCell ref="A270:A271"/>
    <mergeCell ref="B270:B271"/>
    <mergeCell ref="C270:C271"/>
    <mergeCell ref="D270:D271"/>
    <mergeCell ref="E270:E271"/>
    <mergeCell ref="F270:F271"/>
    <mergeCell ref="G272:G273"/>
    <mergeCell ref="H272:H273"/>
    <mergeCell ref="A278:A279"/>
    <mergeCell ref="B278:B279"/>
    <mergeCell ref="C278:C279"/>
    <mergeCell ref="D278:D279"/>
    <mergeCell ref="E278:E279"/>
    <mergeCell ref="G278:H278"/>
    <mergeCell ref="F296:F297"/>
    <mergeCell ref="G296:G297"/>
    <mergeCell ref="H296:H297"/>
    <mergeCell ref="A287:A289"/>
    <mergeCell ref="B287:B289"/>
    <mergeCell ref="C287:C289"/>
    <mergeCell ref="D287:D289"/>
    <mergeCell ref="E287:E289"/>
    <mergeCell ref="F287:F289"/>
    <mergeCell ref="G287:G289"/>
    <mergeCell ref="H287:H288"/>
    <mergeCell ref="A296:A297"/>
    <mergeCell ref="B296:B297"/>
    <mergeCell ref="C296:C297"/>
    <mergeCell ref="D296:D297"/>
    <mergeCell ref="E296:E297"/>
    <mergeCell ref="F325:F331"/>
    <mergeCell ref="G325:H331"/>
    <mergeCell ref="A324:A331"/>
    <mergeCell ref="B324:B331"/>
    <mergeCell ref="C324:C331"/>
    <mergeCell ref="D324:D331"/>
    <mergeCell ref="E324:E331"/>
    <mergeCell ref="I324:I325"/>
    <mergeCell ref="A299:A301"/>
    <mergeCell ref="B299:B301"/>
    <mergeCell ref="C299:C301"/>
    <mergeCell ref="D299:D301"/>
    <mergeCell ref="E299:E301"/>
    <mergeCell ref="F300:H300"/>
    <mergeCell ref="I299:I301"/>
    <mergeCell ref="G338:G339"/>
    <mergeCell ref="H338:H339"/>
    <mergeCell ref="A340:A341"/>
    <mergeCell ref="B340:B341"/>
    <mergeCell ref="C340:C341"/>
    <mergeCell ref="D340:D341"/>
    <mergeCell ref="E340:E341"/>
    <mergeCell ref="A338:A339"/>
    <mergeCell ref="B338:B339"/>
    <mergeCell ref="C338:C339"/>
    <mergeCell ref="D338:D339"/>
    <mergeCell ref="E338:E339"/>
    <mergeCell ref="F338:F339"/>
    <mergeCell ref="A353:A354"/>
    <mergeCell ref="B353:B354"/>
    <mergeCell ref="C353:C354"/>
    <mergeCell ref="D353:D354"/>
    <mergeCell ref="E353:E354"/>
    <mergeCell ref="F353:F354"/>
    <mergeCell ref="G353:G354"/>
    <mergeCell ref="H353:H354"/>
    <mergeCell ref="I340:I341"/>
    <mergeCell ref="A350:A351"/>
    <mergeCell ref="B350:B351"/>
    <mergeCell ref="C350:C351"/>
    <mergeCell ref="D350:D351"/>
    <mergeCell ref="E350:E351"/>
    <mergeCell ref="G368:H369"/>
    <mergeCell ref="K355:K356"/>
    <mergeCell ref="A363:A365"/>
    <mergeCell ref="B363:B365"/>
    <mergeCell ref="C363:C365"/>
    <mergeCell ref="D363:D365"/>
    <mergeCell ref="E363:E365"/>
    <mergeCell ref="F364:F365"/>
    <mergeCell ref="G364:H365"/>
    <mergeCell ref="A355:A356"/>
    <mergeCell ref="B355:B356"/>
    <mergeCell ref="C355:C356"/>
    <mergeCell ref="I355:I356"/>
    <mergeCell ref="J355:J356"/>
    <mergeCell ref="D375:D379"/>
    <mergeCell ref="E375:E379"/>
    <mergeCell ref="F375:F379"/>
    <mergeCell ref="A368:A370"/>
    <mergeCell ref="B368:B370"/>
    <mergeCell ref="C368:C370"/>
    <mergeCell ref="D368:D370"/>
    <mergeCell ref="E368:E370"/>
    <mergeCell ref="F368:F369"/>
    <mergeCell ref="A385:A386"/>
    <mergeCell ref="B385:B386"/>
    <mergeCell ref="C385:C386"/>
    <mergeCell ref="D385:D386"/>
    <mergeCell ref="E385:E386"/>
    <mergeCell ref="F385:F386"/>
    <mergeCell ref="G385:G386"/>
    <mergeCell ref="H385:H386"/>
    <mergeCell ref="L375:L379"/>
    <mergeCell ref="A381:A382"/>
    <mergeCell ref="B381:B382"/>
    <mergeCell ref="C381:C382"/>
    <mergeCell ref="D381:D382"/>
    <mergeCell ref="E381:E382"/>
    <mergeCell ref="F381:F382"/>
    <mergeCell ref="G381:G382"/>
    <mergeCell ref="H381:H382"/>
    <mergeCell ref="G375:H379"/>
    <mergeCell ref="I375:I379"/>
    <mergeCell ref="J375:J379"/>
    <mergeCell ref="K375:K379"/>
    <mergeCell ref="A375:A379"/>
    <mergeCell ref="B375:B379"/>
    <mergeCell ref="C375:C379"/>
    <mergeCell ref="A387:A388"/>
    <mergeCell ref="B387:B388"/>
    <mergeCell ref="C387:C388"/>
    <mergeCell ref="D387:D388"/>
    <mergeCell ref="E387:E388"/>
    <mergeCell ref="A389:A390"/>
    <mergeCell ref="B389:B390"/>
    <mergeCell ref="C389:C390"/>
    <mergeCell ref="D389:D390"/>
    <mergeCell ref="E389:E390"/>
    <mergeCell ref="A394:A395"/>
    <mergeCell ref="B394:B395"/>
    <mergeCell ref="C394:C395"/>
    <mergeCell ref="D394:D395"/>
    <mergeCell ref="E394:E395"/>
    <mergeCell ref="F394:F395"/>
    <mergeCell ref="G394:G395"/>
    <mergeCell ref="H394:H395"/>
    <mergeCell ref="F389:F390"/>
    <mergeCell ref="G389:G390"/>
    <mergeCell ref="H389:H390"/>
    <mergeCell ref="A391:A392"/>
    <mergeCell ref="B391:B392"/>
    <mergeCell ref="C391:C392"/>
    <mergeCell ref="D391:D392"/>
    <mergeCell ref="E391:E392"/>
    <mergeCell ref="F391:F392"/>
    <mergeCell ref="G391:H392"/>
    <mergeCell ref="A413:A414"/>
    <mergeCell ref="B413:B414"/>
    <mergeCell ref="D413:D414"/>
    <mergeCell ref="E413:E414"/>
    <mergeCell ref="K413:K414"/>
    <mergeCell ref="A399:A400"/>
    <mergeCell ref="B399:B400"/>
    <mergeCell ref="C399:C400"/>
    <mergeCell ref="D399:D400"/>
    <mergeCell ref="E399:E400"/>
    <mergeCell ref="F400:H400"/>
    <mergeCell ref="I413:I414"/>
    <mergeCell ref="J413:J414"/>
    <mergeCell ref="A424:A425"/>
    <mergeCell ref="B424:B425"/>
    <mergeCell ref="L415:L416"/>
    <mergeCell ref="A419:A420"/>
    <mergeCell ref="B419:B420"/>
    <mergeCell ref="C419:C420"/>
    <mergeCell ref="D419:D420"/>
    <mergeCell ref="E419:E420"/>
    <mergeCell ref="F419:F420"/>
    <mergeCell ref="G419:G420"/>
    <mergeCell ref="H419:H420"/>
    <mergeCell ref="H415:H416"/>
    <mergeCell ref="I415:I416"/>
    <mergeCell ref="J415:J416"/>
    <mergeCell ref="K415:K416"/>
    <mergeCell ref="A415:A416"/>
    <mergeCell ref="B415:B416"/>
    <mergeCell ref="C415:C416"/>
    <mergeCell ref="D415:D416"/>
    <mergeCell ref="E415:E416"/>
    <mergeCell ref="F415:F416"/>
    <mergeCell ref="G415:G416"/>
    <mergeCell ref="I419:I420"/>
    <mergeCell ref="J419:J420"/>
    <mergeCell ref="K419:K420"/>
    <mergeCell ref="L419:L420"/>
    <mergeCell ref="L413:L414"/>
    <mergeCell ref="I353:I354"/>
    <mergeCell ref="J353:J354"/>
    <mergeCell ref="K353:K354"/>
    <mergeCell ref="L353:L354"/>
    <mergeCell ref="L355:L356"/>
    <mergeCell ref="J340:J341"/>
    <mergeCell ref="K340:K341"/>
    <mergeCell ref="L340:L341"/>
    <mergeCell ref="K394:K395"/>
    <mergeCell ref="L394:L395"/>
    <mergeCell ref="K63:K64"/>
    <mergeCell ref="L272:L273"/>
    <mergeCell ref="J287:J289"/>
    <mergeCell ref="K287:K289"/>
    <mergeCell ref="L287:L289"/>
    <mergeCell ref="K391:K392"/>
    <mergeCell ref="I118:I119"/>
    <mergeCell ref="J118:J119"/>
    <mergeCell ref="I287:I289"/>
    <mergeCell ref="I272:I273"/>
    <mergeCell ref="J272:J273"/>
    <mergeCell ref="K299:K301"/>
    <mergeCell ref="L299:L301"/>
    <mergeCell ref="J299:J301"/>
    <mergeCell ref="J296:J297"/>
    <mergeCell ref="K296:K297"/>
    <mergeCell ref="L296:L297"/>
    <mergeCell ref="I296:I297"/>
    <mergeCell ref="J324:J325"/>
    <mergeCell ref="K324:K325"/>
    <mergeCell ref="L324:L325"/>
    <mergeCell ref="K218:K220"/>
    <mergeCell ref="K66:K69"/>
    <mergeCell ref="I256:I25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rightToLeft="1" topLeftCell="A9" zoomScale="70" zoomScaleNormal="70" workbookViewId="0">
      <selection activeCell="B31" sqref="B31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929" t="s">
        <v>2565</v>
      </c>
      <c r="C1" s="1930"/>
      <c r="D1" s="193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50.1" customHeight="1" x14ac:dyDescent="0.2">
      <c r="A3" s="136"/>
      <c r="B3" s="163">
        <v>282750000</v>
      </c>
      <c r="C3" s="1932" t="s">
        <v>904</v>
      </c>
      <c r="D3" s="1933"/>
    </row>
    <row r="4" spans="1:4" ht="30" customHeight="1" x14ac:dyDescent="0.2">
      <c r="A4" s="153">
        <v>1</v>
      </c>
      <c r="B4" s="156">
        <v>20000000</v>
      </c>
      <c r="C4" s="141"/>
      <c r="D4" s="157" t="s">
        <v>891</v>
      </c>
    </row>
    <row r="5" spans="1:4" ht="30" customHeight="1" x14ac:dyDescent="0.2">
      <c r="A5" s="153">
        <v>2</v>
      </c>
      <c r="B5" s="156">
        <v>5000000</v>
      </c>
      <c r="C5" s="139" t="s">
        <v>892</v>
      </c>
      <c r="D5" s="158" t="s">
        <v>893</v>
      </c>
    </row>
    <row r="6" spans="1:4" ht="30" customHeight="1" x14ac:dyDescent="0.2">
      <c r="A6" s="153">
        <v>3</v>
      </c>
      <c r="B6" s="156">
        <v>10000000</v>
      </c>
      <c r="C6" s="139" t="s">
        <v>894</v>
      </c>
      <c r="D6" s="158" t="s">
        <v>897</v>
      </c>
    </row>
    <row r="7" spans="1:4" ht="30" customHeight="1" x14ac:dyDescent="0.2">
      <c r="A7" s="153">
        <v>4</v>
      </c>
      <c r="B7" s="156">
        <v>10000000</v>
      </c>
      <c r="C7" s="139" t="s">
        <v>895</v>
      </c>
      <c r="D7" s="158" t="s">
        <v>896</v>
      </c>
    </row>
    <row r="8" spans="1:4" ht="30" customHeight="1" x14ac:dyDescent="0.2">
      <c r="A8" s="153">
        <v>5</v>
      </c>
      <c r="B8" s="156">
        <v>90000000</v>
      </c>
      <c r="C8" s="139" t="s">
        <v>898</v>
      </c>
      <c r="D8" s="158" t="s">
        <v>899</v>
      </c>
    </row>
    <row r="9" spans="1:4" ht="30" customHeight="1" x14ac:dyDescent="0.2">
      <c r="A9" s="153">
        <v>6</v>
      </c>
      <c r="B9" s="156">
        <v>10000000</v>
      </c>
      <c r="C9" s="139" t="s">
        <v>900</v>
      </c>
      <c r="D9" s="158" t="s">
        <v>896</v>
      </c>
    </row>
    <row r="10" spans="1:4" ht="30" customHeight="1" x14ac:dyDescent="0.2">
      <c r="A10" s="153">
        <v>7</v>
      </c>
      <c r="B10" s="156">
        <v>70000000</v>
      </c>
      <c r="C10" s="139" t="s">
        <v>901</v>
      </c>
      <c r="D10" s="158" t="s">
        <v>899</v>
      </c>
    </row>
    <row r="11" spans="1:4" ht="30" customHeight="1" x14ac:dyDescent="0.2">
      <c r="A11" s="153">
        <v>8</v>
      </c>
      <c r="B11" s="156">
        <v>2250000</v>
      </c>
      <c r="C11" s="139" t="s">
        <v>902</v>
      </c>
      <c r="D11" s="159"/>
    </row>
    <row r="12" spans="1:4" ht="30" customHeight="1" x14ac:dyDescent="0.2">
      <c r="A12" s="153">
        <v>9</v>
      </c>
      <c r="B12" s="156">
        <v>10000000</v>
      </c>
      <c r="C12" s="139" t="s">
        <v>453</v>
      </c>
      <c r="D12" s="158" t="s">
        <v>896</v>
      </c>
    </row>
    <row r="13" spans="1:4" ht="30" customHeight="1" x14ac:dyDescent="0.2">
      <c r="A13" s="153">
        <v>10</v>
      </c>
      <c r="B13" s="156">
        <v>20000000</v>
      </c>
      <c r="C13" s="806"/>
      <c r="D13" s="158" t="s">
        <v>899</v>
      </c>
    </row>
    <row r="14" spans="1:4" ht="30" customHeight="1" x14ac:dyDescent="0.2">
      <c r="A14" s="153">
        <v>11</v>
      </c>
      <c r="B14" s="156">
        <v>29150000</v>
      </c>
      <c r="C14" s="818"/>
      <c r="D14" s="158" t="s">
        <v>2412</v>
      </c>
    </row>
    <row r="15" spans="1:4" ht="30" customHeight="1" x14ac:dyDescent="0.2">
      <c r="A15" s="153">
        <v>12</v>
      </c>
      <c r="B15" s="156">
        <v>10000000</v>
      </c>
      <c r="C15" s="806" t="s">
        <v>2202</v>
      </c>
      <c r="D15" s="158" t="s">
        <v>896</v>
      </c>
    </row>
    <row r="16" spans="1:4" ht="30" customHeight="1" x14ac:dyDescent="0.2">
      <c r="A16" s="153">
        <v>13</v>
      </c>
      <c r="B16" s="156">
        <v>10000000</v>
      </c>
      <c r="C16" s="806" t="s">
        <v>2202</v>
      </c>
      <c r="D16" s="158" t="s">
        <v>896</v>
      </c>
    </row>
    <row r="17" spans="1:4" ht="30" customHeight="1" x14ac:dyDescent="0.2">
      <c r="A17" s="153">
        <v>14</v>
      </c>
      <c r="B17" s="156">
        <v>850000</v>
      </c>
      <c r="C17" s="1266" t="s">
        <v>2396</v>
      </c>
      <c r="D17" s="158" t="s">
        <v>896</v>
      </c>
    </row>
    <row r="18" spans="1:4" ht="30" customHeight="1" x14ac:dyDescent="0.2">
      <c r="A18" s="153">
        <v>15</v>
      </c>
      <c r="B18" s="1285">
        <v>50000000</v>
      </c>
      <c r="C18" s="1266" t="s">
        <v>2040</v>
      </c>
      <c r="D18" s="158" t="s">
        <v>3016</v>
      </c>
    </row>
    <row r="19" spans="1:4" ht="30" customHeight="1" x14ac:dyDescent="0.2">
      <c r="A19" s="153">
        <v>16</v>
      </c>
      <c r="B19" s="1285">
        <v>31900000</v>
      </c>
      <c r="C19" s="1266"/>
      <c r="D19" s="158" t="s">
        <v>3019</v>
      </c>
    </row>
    <row r="20" spans="1:4" ht="30" customHeight="1" x14ac:dyDescent="0.2">
      <c r="A20" s="153">
        <v>17</v>
      </c>
      <c r="B20" s="1285">
        <v>5000000</v>
      </c>
      <c r="C20" s="1266" t="s">
        <v>3017</v>
      </c>
      <c r="D20" s="158"/>
    </row>
    <row r="21" spans="1:4" ht="30" customHeight="1" x14ac:dyDescent="0.2">
      <c r="A21" s="153">
        <v>18</v>
      </c>
      <c r="B21" s="1285">
        <v>10000000</v>
      </c>
      <c r="C21" s="1266" t="s">
        <v>3018</v>
      </c>
      <c r="D21" s="158" t="s">
        <v>896</v>
      </c>
    </row>
    <row r="22" spans="1:4" ht="30" customHeight="1" x14ac:dyDescent="0.2">
      <c r="A22" s="153">
        <v>19</v>
      </c>
      <c r="B22" s="1285">
        <v>2800000</v>
      </c>
      <c r="C22" s="1266" t="s">
        <v>3018</v>
      </c>
      <c r="D22" s="158" t="s">
        <v>896</v>
      </c>
    </row>
    <row r="23" spans="1:4" ht="30" customHeight="1" x14ac:dyDescent="0.2">
      <c r="A23" s="153">
        <v>20</v>
      </c>
      <c r="B23" s="1285">
        <v>10000000</v>
      </c>
      <c r="C23" s="1266" t="s">
        <v>3020</v>
      </c>
      <c r="D23" s="158" t="s">
        <v>896</v>
      </c>
    </row>
    <row r="24" spans="1:4" ht="30" customHeight="1" x14ac:dyDescent="0.2">
      <c r="A24" s="153">
        <v>21</v>
      </c>
      <c r="B24" s="1285">
        <v>9000000</v>
      </c>
      <c r="C24" s="1266" t="s">
        <v>3041</v>
      </c>
      <c r="D24" s="158" t="s">
        <v>896</v>
      </c>
    </row>
    <row r="25" spans="1:4" ht="30" customHeight="1" x14ac:dyDescent="0.2">
      <c r="A25" s="442">
        <v>22</v>
      </c>
      <c r="B25" s="1285">
        <v>10000000</v>
      </c>
      <c r="C25" s="1282" t="s">
        <v>3041</v>
      </c>
      <c r="D25" s="158" t="s">
        <v>896</v>
      </c>
    </row>
    <row r="26" spans="1:4" ht="30" customHeight="1" x14ac:dyDescent="0.2">
      <c r="A26" s="442">
        <v>23</v>
      </c>
      <c r="B26" s="1285">
        <v>10000000</v>
      </c>
      <c r="C26" s="1282" t="s">
        <v>3041</v>
      </c>
      <c r="D26" s="158" t="s">
        <v>896</v>
      </c>
    </row>
    <row r="27" spans="1:4" ht="30" customHeight="1" x14ac:dyDescent="0.2">
      <c r="A27" s="442">
        <v>24</v>
      </c>
      <c r="B27" s="1285">
        <v>2300000</v>
      </c>
      <c r="C27" s="1282" t="s">
        <v>3041</v>
      </c>
      <c r="D27" s="158" t="s">
        <v>896</v>
      </c>
    </row>
    <row r="28" spans="1:4" ht="30" customHeight="1" x14ac:dyDescent="0.2">
      <c r="A28" s="442"/>
      <c r="B28" s="1285">
        <v>9000000</v>
      </c>
      <c r="C28" s="1315" t="s">
        <v>3148</v>
      </c>
      <c r="D28" s="158" t="s">
        <v>896</v>
      </c>
    </row>
    <row r="29" spans="1:4" ht="30" customHeight="1" x14ac:dyDescent="0.2">
      <c r="A29" s="442"/>
      <c r="B29" s="1285">
        <f>SUM(B18:B28)</f>
        <v>150000000</v>
      </c>
      <c r="C29" s="1282"/>
      <c r="D29" s="158"/>
    </row>
    <row r="30" spans="1:4" ht="30" customHeight="1" thickBot="1" x14ac:dyDescent="0.25">
      <c r="A30" s="104" t="s">
        <v>903</v>
      </c>
      <c r="B30" s="160">
        <f>SUM(B3:B28)</f>
        <v>730000000</v>
      </c>
      <c r="C30" s="161"/>
      <c r="D30" s="162"/>
    </row>
  </sheetData>
  <mergeCells count="2">
    <mergeCell ref="B1:D1"/>
    <mergeCell ref="C3:D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4"/>
  <sheetViews>
    <sheetView rightToLeft="1" zoomScale="60" zoomScaleNormal="60" workbookViewId="0">
      <pane ySplit="1" topLeftCell="A142" activePane="bottomLeft" state="frozen"/>
      <selection activeCell="H1" sqref="H1"/>
      <selection pane="bottomLeft" activeCell="B142" sqref="B142:B143"/>
    </sheetView>
  </sheetViews>
  <sheetFormatPr defaultRowHeight="20.25" x14ac:dyDescent="0.2"/>
  <cols>
    <col min="1" max="1" width="5.75" style="5" customWidth="1"/>
    <col min="2" max="2" width="33.625" customWidth="1"/>
    <col min="3" max="3" width="15.625" style="353" customWidth="1"/>
    <col min="4" max="4" width="20.75" style="5" customWidth="1"/>
    <col min="5" max="5" width="11.75" customWidth="1"/>
    <col min="6" max="9" width="20.75" customWidth="1"/>
    <col min="10" max="10" width="24.875" customWidth="1"/>
    <col min="11" max="12" width="20.75" customWidth="1"/>
    <col min="13" max="13" width="81.125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2" t="s">
        <v>271</v>
      </c>
    </row>
    <row r="2" spans="1:13" ht="30" customHeight="1" x14ac:dyDescent="0.2">
      <c r="A2" s="4">
        <v>1</v>
      </c>
      <c r="B2" s="22" t="s">
        <v>284</v>
      </c>
      <c r="C2" s="352"/>
      <c r="D2" s="11">
        <v>600000000</v>
      </c>
      <c r="E2" s="20">
        <v>0.06</v>
      </c>
      <c r="F2" s="11">
        <f>D2*E2</f>
        <v>36000000</v>
      </c>
      <c r="G2" s="11">
        <v>16000000</v>
      </c>
      <c r="H2" s="11" t="s">
        <v>268</v>
      </c>
      <c r="I2" s="23">
        <v>511115</v>
      </c>
      <c r="J2" s="24" t="s">
        <v>285</v>
      </c>
      <c r="K2" s="11">
        <f t="shared" ref="K2:K49" si="0">G2</f>
        <v>16000000</v>
      </c>
      <c r="L2" s="11">
        <f t="shared" ref="L2:L48" si="1">F2-K2</f>
        <v>20000000</v>
      </c>
      <c r="M2" s="26"/>
    </row>
    <row r="3" spans="1:13" ht="30" customHeight="1" x14ac:dyDescent="0.2">
      <c r="A3" s="4">
        <v>1</v>
      </c>
      <c r="B3" s="22" t="s">
        <v>287</v>
      </c>
      <c r="C3" s="352"/>
      <c r="D3" s="11">
        <v>300000000</v>
      </c>
      <c r="E3" s="20">
        <v>0.05</v>
      </c>
      <c r="F3" s="11">
        <f>D3*E3</f>
        <v>15000000</v>
      </c>
      <c r="G3" s="11">
        <v>10000000</v>
      </c>
      <c r="H3" s="11" t="s">
        <v>268</v>
      </c>
      <c r="I3" s="23" t="s">
        <v>288</v>
      </c>
      <c r="J3" s="24" t="s">
        <v>289</v>
      </c>
      <c r="K3" s="11">
        <f t="shared" si="0"/>
        <v>10000000</v>
      </c>
      <c r="L3" s="11">
        <f t="shared" si="1"/>
        <v>5000000</v>
      </c>
      <c r="M3" s="26"/>
    </row>
    <row r="4" spans="1:13" ht="30" customHeight="1" x14ac:dyDescent="0.2">
      <c r="A4" s="4">
        <v>1</v>
      </c>
      <c r="B4" s="22" t="s">
        <v>290</v>
      </c>
      <c r="C4" s="352" t="s">
        <v>367</v>
      </c>
      <c r="D4" s="11">
        <v>36000000</v>
      </c>
      <c r="E4" s="20">
        <v>7.0000000000000007E-2</v>
      </c>
      <c r="F4" s="11">
        <v>2500000</v>
      </c>
      <c r="G4" s="11">
        <v>2500000</v>
      </c>
      <c r="H4" s="11" t="s">
        <v>268</v>
      </c>
      <c r="I4" s="23" t="s">
        <v>291</v>
      </c>
      <c r="J4" s="28" t="s">
        <v>292</v>
      </c>
      <c r="K4" s="11">
        <f t="shared" si="0"/>
        <v>2500000</v>
      </c>
      <c r="L4" s="11">
        <f t="shared" si="1"/>
        <v>0</v>
      </c>
      <c r="M4" s="26"/>
    </row>
    <row r="5" spans="1:13" ht="30" customHeight="1" x14ac:dyDescent="0.2">
      <c r="A5" s="4">
        <v>1</v>
      </c>
      <c r="B5" s="22" t="s">
        <v>315</v>
      </c>
      <c r="C5" s="352"/>
      <c r="D5" s="95">
        <v>535000000</v>
      </c>
      <c r="E5" s="20">
        <v>5.7000000000000002E-2</v>
      </c>
      <c r="F5" s="95">
        <v>30000000</v>
      </c>
      <c r="G5" s="11">
        <v>30000000</v>
      </c>
      <c r="H5" s="11" t="s">
        <v>294</v>
      </c>
      <c r="I5" s="23" t="s">
        <v>316</v>
      </c>
      <c r="J5" s="28" t="s">
        <v>317</v>
      </c>
      <c r="K5" s="11">
        <f t="shared" si="0"/>
        <v>30000000</v>
      </c>
      <c r="L5" s="95">
        <f t="shared" si="1"/>
        <v>0</v>
      </c>
      <c r="M5" s="26"/>
    </row>
    <row r="6" spans="1:13" ht="30" customHeight="1" x14ac:dyDescent="0.2">
      <c r="A6" s="4">
        <v>1</v>
      </c>
      <c r="B6" s="22" t="s">
        <v>323</v>
      </c>
      <c r="C6" s="352"/>
      <c r="D6" s="11">
        <v>20000000</v>
      </c>
      <c r="E6" s="20">
        <v>7.0000000000000007E-2</v>
      </c>
      <c r="F6" s="11">
        <v>1400000</v>
      </c>
      <c r="G6" s="11">
        <v>1400000</v>
      </c>
      <c r="H6" s="11" t="s">
        <v>294</v>
      </c>
      <c r="I6" s="23" t="s">
        <v>324</v>
      </c>
      <c r="J6" s="28" t="s">
        <v>325</v>
      </c>
      <c r="K6" s="11">
        <f t="shared" si="0"/>
        <v>1400000</v>
      </c>
      <c r="L6" s="34">
        <f t="shared" si="1"/>
        <v>0</v>
      </c>
      <c r="M6" s="33" t="s">
        <v>326</v>
      </c>
    </row>
    <row r="7" spans="1:13" ht="30" customHeight="1" x14ac:dyDescent="0.2">
      <c r="A7" s="4">
        <v>1</v>
      </c>
      <c r="B7" s="67" t="s">
        <v>416</v>
      </c>
      <c r="C7" s="352"/>
      <c r="D7" s="34">
        <v>115000000</v>
      </c>
      <c r="E7" s="20">
        <v>0.05</v>
      </c>
      <c r="F7" s="34">
        <f>D7*E7</f>
        <v>5750000</v>
      </c>
      <c r="G7" s="34">
        <v>5750000</v>
      </c>
      <c r="H7" s="34" t="s">
        <v>329</v>
      </c>
      <c r="I7" s="23" t="s">
        <v>350</v>
      </c>
      <c r="J7" s="28" t="s">
        <v>351</v>
      </c>
      <c r="K7" s="34">
        <f t="shared" si="0"/>
        <v>5750000</v>
      </c>
      <c r="L7" s="34">
        <f t="shared" si="1"/>
        <v>0</v>
      </c>
      <c r="M7" s="33"/>
    </row>
    <row r="8" spans="1:13" ht="30" customHeight="1" x14ac:dyDescent="0.2">
      <c r="A8" s="4">
        <v>1</v>
      </c>
      <c r="B8" s="67" t="s">
        <v>104</v>
      </c>
      <c r="C8" s="352"/>
      <c r="D8" s="49">
        <v>45000000</v>
      </c>
      <c r="E8" s="20">
        <v>0.05</v>
      </c>
      <c r="F8" s="49">
        <f>D8*E8</f>
        <v>2250000</v>
      </c>
      <c r="G8" s="49">
        <v>2250000</v>
      </c>
      <c r="H8" s="49" t="s">
        <v>388</v>
      </c>
      <c r="I8" s="23" t="s">
        <v>417</v>
      </c>
      <c r="J8" s="30" t="s">
        <v>418</v>
      </c>
      <c r="K8" s="49">
        <f t="shared" si="0"/>
        <v>2250000</v>
      </c>
      <c r="L8" s="49">
        <f t="shared" si="1"/>
        <v>0</v>
      </c>
      <c r="M8" s="33"/>
    </row>
    <row r="9" spans="1:13" ht="30" customHeight="1" x14ac:dyDescent="0.2">
      <c r="A9" s="4">
        <v>1</v>
      </c>
      <c r="B9" s="22" t="s">
        <v>356</v>
      </c>
      <c r="C9" s="352"/>
      <c r="D9" s="34">
        <v>400000000</v>
      </c>
      <c r="E9" s="20">
        <v>4.4999999999999998E-2</v>
      </c>
      <c r="F9" s="34">
        <f>D9*E9</f>
        <v>18000000</v>
      </c>
      <c r="G9" s="34">
        <v>18000000</v>
      </c>
      <c r="H9" s="34" t="s">
        <v>329</v>
      </c>
      <c r="I9" s="36" t="s">
        <v>357</v>
      </c>
      <c r="J9" s="28" t="s">
        <v>358</v>
      </c>
      <c r="K9" s="34">
        <f t="shared" si="0"/>
        <v>18000000</v>
      </c>
      <c r="L9" s="34">
        <f t="shared" si="1"/>
        <v>0</v>
      </c>
      <c r="M9" s="33"/>
    </row>
    <row r="10" spans="1:13" ht="30" customHeight="1" x14ac:dyDescent="0.2">
      <c r="A10" s="4">
        <v>1</v>
      </c>
      <c r="B10" s="22" t="s">
        <v>387</v>
      </c>
      <c r="C10" s="352"/>
      <c r="D10" s="40">
        <v>10000000</v>
      </c>
      <c r="E10" s="20">
        <v>0.05</v>
      </c>
      <c r="F10" s="40">
        <f>D10*E10</f>
        <v>500000</v>
      </c>
      <c r="G10" s="40">
        <v>500000</v>
      </c>
      <c r="H10" s="40" t="s">
        <v>329</v>
      </c>
      <c r="I10" s="23" t="s">
        <v>386</v>
      </c>
      <c r="J10" s="28" t="s">
        <v>1031</v>
      </c>
      <c r="K10" s="40">
        <f t="shared" si="0"/>
        <v>500000</v>
      </c>
      <c r="L10" s="40">
        <f t="shared" si="1"/>
        <v>0</v>
      </c>
      <c r="M10" s="33"/>
    </row>
    <row r="11" spans="1:13" ht="30" customHeight="1" x14ac:dyDescent="0.2">
      <c r="A11" s="2031">
        <v>10</v>
      </c>
      <c r="B11" s="2029" t="s">
        <v>1029</v>
      </c>
      <c r="C11" s="2149"/>
      <c r="D11" s="2080">
        <v>160000000</v>
      </c>
      <c r="E11" s="2037">
        <v>6.3E-2</v>
      </c>
      <c r="F11" s="2040">
        <v>10000000</v>
      </c>
      <c r="G11" s="182">
        <v>7500000</v>
      </c>
      <c r="H11" s="182" t="s">
        <v>1013</v>
      </c>
      <c r="I11" s="184" t="s">
        <v>1030</v>
      </c>
      <c r="J11" s="28" t="s">
        <v>1031</v>
      </c>
      <c r="K11" s="2040">
        <f>G11</f>
        <v>7500000</v>
      </c>
      <c r="L11" s="2040">
        <f>F11-K11</f>
        <v>2500000</v>
      </c>
      <c r="M11" s="192"/>
    </row>
    <row r="12" spans="1:13" ht="30" customHeight="1" x14ac:dyDescent="0.2">
      <c r="A12" s="2032"/>
      <c r="B12" s="2030"/>
      <c r="C12" s="2150"/>
      <c r="D12" s="2081"/>
      <c r="E12" s="2039"/>
      <c r="F12" s="2042"/>
      <c r="G12" s="287">
        <v>2500000</v>
      </c>
      <c r="H12" s="287"/>
      <c r="I12" s="290"/>
      <c r="J12" s="28"/>
      <c r="K12" s="2042"/>
      <c r="L12" s="2042"/>
      <c r="M12" s="192"/>
    </row>
    <row r="13" spans="1:13" ht="30" customHeight="1" x14ac:dyDescent="0.2">
      <c r="A13" s="2031">
        <v>11</v>
      </c>
      <c r="B13" s="2029" t="s">
        <v>402</v>
      </c>
      <c r="C13" s="2149"/>
      <c r="D13" s="330">
        <v>15000000</v>
      </c>
      <c r="E13" s="20">
        <v>7.0000000000000007E-2</v>
      </c>
      <c r="F13" s="330">
        <f>D13*E13</f>
        <v>1050000</v>
      </c>
      <c r="G13" s="40">
        <v>1050000</v>
      </c>
      <c r="H13" s="40" t="s">
        <v>388</v>
      </c>
      <c r="I13" s="23" t="s">
        <v>405</v>
      </c>
      <c r="J13" s="30" t="s">
        <v>403</v>
      </c>
      <c r="K13" s="330">
        <f t="shared" si="0"/>
        <v>1050000</v>
      </c>
      <c r="L13" s="2040">
        <f>F13-K13</f>
        <v>0</v>
      </c>
      <c r="M13" s="2147" t="s">
        <v>404</v>
      </c>
    </row>
    <row r="14" spans="1:13" ht="30" customHeight="1" x14ac:dyDescent="0.2">
      <c r="A14" s="2032"/>
      <c r="B14" s="2030"/>
      <c r="C14" s="2150"/>
      <c r="D14" s="330">
        <v>5000000</v>
      </c>
      <c r="E14" s="20">
        <v>0.05</v>
      </c>
      <c r="F14" s="330">
        <f>D14*E14</f>
        <v>250000</v>
      </c>
      <c r="G14" s="40"/>
      <c r="H14" s="40"/>
      <c r="I14" s="23"/>
      <c r="J14" s="57"/>
      <c r="K14" s="330"/>
      <c r="L14" s="2042"/>
      <c r="M14" s="2148"/>
    </row>
    <row r="15" spans="1:13" ht="30" customHeight="1" x14ac:dyDescent="0.2">
      <c r="A15" s="41">
        <v>12</v>
      </c>
      <c r="B15" s="46" t="s">
        <v>408</v>
      </c>
      <c r="C15" s="352" t="s">
        <v>411</v>
      </c>
      <c r="D15" s="40">
        <v>75000000</v>
      </c>
      <c r="E15" s="42"/>
      <c r="F15" s="40">
        <v>3750000</v>
      </c>
      <c r="G15" s="40">
        <v>3750000</v>
      </c>
      <c r="H15" s="40" t="s">
        <v>388</v>
      </c>
      <c r="I15" s="23" t="s">
        <v>409</v>
      </c>
      <c r="J15" s="57" t="s">
        <v>410</v>
      </c>
      <c r="K15" s="40">
        <f t="shared" si="0"/>
        <v>3750000</v>
      </c>
      <c r="L15" s="40">
        <f>F15-K15</f>
        <v>0</v>
      </c>
      <c r="M15" s="58"/>
    </row>
    <row r="16" spans="1:13" ht="30" customHeight="1" x14ac:dyDescent="0.2">
      <c r="A16" s="318">
        <v>12</v>
      </c>
      <c r="B16" s="51" t="s">
        <v>429</v>
      </c>
      <c r="C16" s="352" t="s">
        <v>367</v>
      </c>
      <c r="D16" s="49">
        <v>80000000</v>
      </c>
      <c r="E16" s="55"/>
      <c r="F16" s="49">
        <v>4800000</v>
      </c>
      <c r="G16" s="49">
        <v>4800000</v>
      </c>
      <c r="H16" s="49" t="s">
        <v>388</v>
      </c>
      <c r="I16" s="36" t="s">
        <v>431</v>
      </c>
      <c r="J16" s="23" t="s">
        <v>430</v>
      </c>
      <c r="K16" s="49">
        <f t="shared" si="0"/>
        <v>4800000</v>
      </c>
      <c r="L16" s="49">
        <f>F16-K16</f>
        <v>0</v>
      </c>
      <c r="M16" s="58"/>
    </row>
    <row r="17" spans="1:13" ht="30" customHeight="1" x14ac:dyDescent="0.2">
      <c r="A17" s="318">
        <v>12</v>
      </c>
      <c r="B17" s="51" t="s">
        <v>437</v>
      </c>
      <c r="C17" s="352" t="s">
        <v>1355</v>
      </c>
      <c r="D17" s="95">
        <v>150000000</v>
      </c>
      <c r="E17" s="96">
        <v>0.04</v>
      </c>
      <c r="F17" s="95">
        <f>D17*E17</f>
        <v>6000000</v>
      </c>
      <c r="G17" s="49">
        <v>6000000</v>
      </c>
      <c r="H17" s="49" t="s">
        <v>432</v>
      </c>
      <c r="I17" s="23" t="s">
        <v>438</v>
      </c>
      <c r="J17" s="69" t="s">
        <v>439</v>
      </c>
      <c r="K17" s="49">
        <f t="shared" si="0"/>
        <v>6000000</v>
      </c>
      <c r="L17" s="95">
        <f>F17-K17</f>
        <v>0</v>
      </c>
      <c r="M17" s="58"/>
    </row>
    <row r="18" spans="1:13" ht="30" customHeight="1" x14ac:dyDescent="0.2">
      <c r="A18" s="318">
        <v>12</v>
      </c>
      <c r="B18" s="51" t="s">
        <v>445</v>
      </c>
      <c r="C18" s="352"/>
      <c r="D18" s="49">
        <v>13000000</v>
      </c>
      <c r="E18" s="50">
        <v>0.05</v>
      </c>
      <c r="F18" s="49">
        <f>D18*E18</f>
        <v>650000</v>
      </c>
      <c r="G18" s="49"/>
      <c r="H18" s="49"/>
      <c r="I18" s="23"/>
      <c r="J18" s="69"/>
      <c r="K18" s="49"/>
      <c r="L18" s="95">
        <f t="shared" ref="L18:L23" si="2">F18-K18</f>
        <v>650000</v>
      </c>
      <c r="M18" s="58"/>
    </row>
    <row r="19" spans="1:13" ht="30" customHeight="1" x14ac:dyDescent="0.2">
      <c r="A19" s="318">
        <v>12</v>
      </c>
      <c r="B19" s="66" t="s">
        <v>498</v>
      </c>
      <c r="C19" s="352"/>
      <c r="D19" s="62">
        <v>80000000</v>
      </c>
      <c r="E19" s="63">
        <v>0.04</v>
      </c>
      <c r="F19" s="62">
        <f>D19*E19</f>
        <v>3200000</v>
      </c>
      <c r="G19" s="62">
        <v>3200000</v>
      </c>
      <c r="H19" s="62" t="s">
        <v>453</v>
      </c>
      <c r="I19" s="23" t="s">
        <v>499</v>
      </c>
      <c r="J19" s="69" t="s">
        <v>500</v>
      </c>
      <c r="K19" s="62">
        <f t="shared" ref="K19:K23" si="3">G19</f>
        <v>3200000</v>
      </c>
      <c r="L19" s="62">
        <f t="shared" si="2"/>
        <v>0</v>
      </c>
      <c r="M19" s="65"/>
    </row>
    <row r="20" spans="1:13" ht="30" customHeight="1" x14ac:dyDescent="0.2">
      <c r="A20" s="318">
        <v>12</v>
      </c>
      <c r="B20" s="114" t="s">
        <v>768</v>
      </c>
      <c r="C20" s="352"/>
      <c r="D20" s="111">
        <v>100000000</v>
      </c>
      <c r="E20" s="112">
        <v>0.06</v>
      </c>
      <c r="F20" s="111">
        <f t="shared" ref="F20:F21" si="4">D20*E20</f>
        <v>6000000</v>
      </c>
      <c r="G20" s="75">
        <v>6000000</v>
      </c>
      <c r="H20" s="75" t="s">
        <v>557</v>
      </c>
      <c r="I20" s="23" t="s">
        <v>558</v>
      </c>
      <c r="J20" s="69" t="s">
        <v>559</v>
      </c>
      <c r="K20" s="75">
        <f t="shared" si="3"/>
        <v>6000000</v>
      </c>
      <c r="L20" s="287">
        <f t="shared" si="2"/>
        <v>0</v>
      </c>
      <c r="M20" s="80"/>
    </row>
    <row r="21" spans="1:13" ht="30" customHeight="1" x14ac:dyDescent="0.2">
      <c r="A21" s="318">
        <v>12</v>
      </c>
      <c r="B21" s="79" t="s">
        <v>567</v>
      </c>
      <c r="C21" s="352" t="s">
        <v>1355</v>
      </c>
      <c r="D21" s="75">
        <v>50000000</v>
      </c>
      <c r="E21" s="76">
        <v>0.05</v>
      </c>
      <c r="F21" s="75">
        <f t="shared" si="4"/>
        <v>2500000</v>
      </c>
      <c r="G21" s="75">
        <v>2500000</v>
      </c>
      <c r="H21" s="75" t="s">
        <v>557</v>
      </c>
      <c r="I21" s="23" t="s">
        <v>569</v>
      </c>
      <c r="J21" s="69" t="s">
        <v>570</v>
      </c>
      <c r="K21" s="75">
        <f t="shared" si="3"/>
        <v>2500000</v>
      </c>
      <c r="L21" s="75">
        <f t="shared" si="2"/>
        <v>0</v>
      </c>
      <c r="M21" s="80"/>
    </row>
    <row r="22" spans="1:13" ht="30" customHeight="1" x14ac:dyDescent="0.2">
      <c r="A22" s="318">
        <v>12</v>
      </c>
      <c r="B22" s="79" t="s">
        <v>574</v>
      </c>
      <c r="C22" s="352"/>
      <c r="D22" s="95">
        <v>7500000</v>
      </c>
      <c r="E22" s="78"/>
      <c r="F22" s="95">
        <v>300000</v>
      </c>
      <c r="G22" s="75">
        <v>300000</v>
      </c>
      <c r="H22" s="75" t="s">
        <v>557</v>
      </c>
      <c r="I22" s="23" t="s">
        <v>575</v>
      </c>
      <c r="J22" s="69" t="s">
        <v>576</v>
      </c>
      <c r="K22" s="75">
        <f t="shared" si="3"/>
        <v>300000</v>
      </c>
      <c r="L22" s="95">
        <f t="shared" si="2"/>
        <v>0</v>
      </c>
      <c r="M22" s="275" t="s">
        <v>1255</v>
      </c>
    </row>
    <row r="23" spans="1:13" ht="30" customHeight="1" x14ac:dyDescent="0.2">
      <c r="A23" s="318">
        <v>12</v>
      </c>
      <c r="B23" s="86" t="s">
        <v>621</v>
      </c>
      <c r="C23" s="352"/>
      <c r="D23" s="111">
        <v>32000000</v>
      </c>
      <c r="E23" s="113"/>
      <c r="F23" s="111">
        <v>1600000</v>
      </c>
      <c r="G23" s="83">
        <v>1600000</v>
      </c>
      <c r="H23" s="83" t="s">
        <v>594</v>
      </c>
      <c r="I23" s="23" t="s">
        <v>622</v>
      </c>
      <c r="J23" s="69" t="s">
        <v>623</v>
      </c>
      <c r="K23" s="83">
        <f t="shared" si="3"/>
        <v>1600000</v>
      </c>
      <c r="L23" s="287">
        <f t="shared" si="2"/>
        <v>0</v>
      </c>
      <c r="M23" s="85"/>
    </row>
    <row r="24" spans="1:13" ht="30" customHeight="1" x14ac:dyDescent="0.2">
      <c r="A24" s="2031">
        <v>21</v>
      </c>
      <c r="B24" s="2029" t="s">
        <v>674</v>
      </c>
      <c r="C24" s="2149"/>
      <c r="D24" s="2040">
        <v>300000000</v>
      </c>
      <c r="E24" s="2037">
        <v>0.05</v>
      </c>
      <c r="F24" s="2040">
        <f>D24*E24</f>
        <v>15000000</v>
      </c>
      <c r="G24" s="98">
        <v>10000000</v>
      </c>
      <c r="H24" s="98" t="s">
        <v>676</v>
      </c>
      <c r="I24" s="23" t="s">
        <v>677</v>
      </c>
      <c r="J24" s="69" t="s">
        <v>678</v>
      </c>
      <c r="K24" s="2040">
        <f>G24+G25</f>
        <v>15000000</v>
      </c>
      <c r="L24" s="2040">
        <f>F24-K24</f>
        <v>0</v>
      </c>
      <c r="M24" s="2147"/>
    </row>
    <row r="25" spans="1:13" ht="30" customHeight="1" x14ac:dyDescent="0.2">
      <c r="A25" s="2032"/>
      <c r="B25" s="2030"/>
      <c r="C25" s="2150"/>
      <c r="D25" s="2042"/>
      <c r="E25" s="2039"/>
      <c r="F25" s="2042"/>
      <c r="G25" s="98">
        <v>5000000</v>
      </c>
      <c r="H25" s="1947" t="s">
        <v>675</v>
      </c>
      <c r="I25" s="1949"/>
      <c r="J25" s="69"/>
      <c r="K25" s="2042"/>
      <c r="L25" s="2042"/>
      <c r="M25" s="2148"/>
    </row>
    <row r="26" spans="1:13" ht="30" customHeight="1" x14ac:dyDescent="0.2">
      <c r="A26" s="106">
        <v>22</v>
      </c>
      <c r="B26" s="109" t="s">
        <v>718</v>
      </c>
      <c r="C26" s="352"/>
      <c r="D26" s="105">
        <v>140000000</v>
      </c>
      <c r="E26" s="107">
        <v>7.0000000000000007E-2</v>
      </c>
      <c r="F26" s="105">
        <f>D26*E26</f>
        <v>9800000.0000000019</v>
      </c>
      <c r="G26" s="105">
        <v>9800000</v>
      </c>
      <c r="H26" s="104" t="s">
        <v>676</v>
      </c>
      <c r="I26" s="27">
        <v>121359436907</v>
      </c>
      <c r="J26" s="69" t="s">
        <v>719</v>
      </c>
      <c r="K26" s="105">
        <f>G26</f>
        <v>9800000</v>
      </c>
      <c r="L26" s="105">
        <f>F26-G26</f>
        <v>0</v>
      </c>
      <c r="M26" s="110"/>
    </row>
    <row r="27" spans="1:13" ht="30" customHeight="1" x14ac:dyDescent="0.2">
      <c r="A27" s="106">
        <v>23</v>
      </c>
      <c r="B27" s="109" t="s">
        <v>722</v>
      </c>
      <c r="C27" s="352"/>
      <c r="D27" s="105">
        <v>40000000</v>
      </c>
      <c r="E27" s="107">
        <v>0.05</v>
      </c>
      <c r="F27" s="105">
        <f>D27*E27</f>
        <v>2000000</v>
      </c>
      <c r="G27" s="105">
        <v>1000000</v>
      </c>
      <c r="H27" s="104" t="s">
        <v>676</v>
      </c>
      <c r="I27" s="27">
        <v>529113</v>
      </c>
      <c r="J27" s="69" t="s">
        <v>723</v>
      </c>
      <c r="K27" s="105">
        <f>G27</f>
        <v>1000000</v>
      </c>
      <c r="L27" s="105">
        <f>F27-K27</f>
        <v>1000000</v>
      </c>
      <c r="M27" s="115" t="s">
        <v>724</v>
      </c>
    </row>
    <row r="28" spans="1:13" ht="30" customHeight="1" x14ac:dyDescent="0.2">
      <c r="A28" s="318">
        <v>24</v>
      </c>
      <c r="B28" s="109" t="s">
        <v>738</v>
      </c>
      <c r="C28" s="352" t="s">
        <v>1351</v>
      </c>
      <c r="D28" s="111">
        <v>35000000</v>
      </c>
      <c r="E28" s="107">
        <v>5.8000000000000003E-2</v>
      </c>
      <c r="F28" s="105">
        <v>2000000</v>
      </c>
      <c r="G28" s="105">
        <v>2000000</v>
      </c>
      <c r="H28" s="104" t="s">
        <v>728</v>
      </c>
      <c r="I28" s="27">
        <v>121374044740</v>
      </c>
      <c r="J28" s="69" t="s">
        <v>740</v>
      </c>
      <c r="K28" s="105">
        <f>G28</f>
        <v>2000000</v>
      </c>
      <c r="L28" s="105">
        <f>F28-G28</f>
        <v>0</v>
      </c>
      <c r="M28" s="115"/>
    </row>
    <row r="29" spans="1:13" ht="30" customHeight="1" x14ac:dyDescent="0.2">
      <c r="A29" s="318">
        <v>25</v>
      </c>
      <c r="B29" s="133" t="s">
        <v>828</v>
      </c>
      <c r="C29" s="352"/>
      <c r="D29" s="129">
        <v>500000000</v>
      </c>
      <c r="E29" s="131">
        <v>4.4999999999999998E-2</v>
      </c>
      <c r="F29" s="129">
        <f>D29*E29</f>
        <v>22500000</v>
      </c>
      <c r="G29" s="129">
        <v>22500000</v>
      </c>
      <c r="H29" s="104" t="s">
        <v>755</v>
      </c>
      <c r="I29" s="27">
        <v>103212035229345</v>
      </c>
      <c r="J29" s="69" t="s">
        <v>827</v>
      </c>
      <c r="K29" s="129">
        <f>G29</f>
        <v>22500000</v>
      </c>
      <c r="L29" s="129">
        <f>F29-G29</f>
        <v>0</v>
      </c>
      <c r="M29" s="115"/>
    </row>
    <row r="30" spans="1:13" ht="30" customHeight="1" x14ac:dyDescent="0.2">
      <c r="A30" s="2031">
        <v>26</v>
      </c>
      <c r="B30" s="2029" t="s">
        <v>832</v>
      </c>
      <c r="C30" s="2149" t="s">
        <v>1354</v>
      </c>
      <c r="D30" s="2040">
        <v>500000000</v>
      </c>
      <c r="E30" s="2037">
        <v>7.0000000000000007E-2</v>
      </c>
      <c r="F30" s="2040">
        <f>D30*E30</f>
        <v>35000000</v>
      </c>
      <c r="G30" s="129">
        <v>10000000</v>
      </c>
      <c r="H30" s="104" t="s">
        <v>755</v>
      </c>
      <c r="I30" s="27">
        <v>1890633699</v>
      </c>
      <c r="J30" s="69" t="s">
        <v>833</v>
      </c>
      <c r="K30" s="2040">
        <f>G30+G31</f>
        <v>35000000</v>
      </c>
      <c r="L30" s="2040">
        <f>(G30+G31)-K30</f>
        <v>0</v>
      </c>
      <c r="M30" s="115"/>
    </row>
    <row r="31" spans="1:13" ht="30" customHeight="1" x14ac:dyDescent="0.2">
      <c r="A31" s="2032"/>
      <c r="B31" s="2030"/>
      <c r="C31" s="2150"/>
      <c r="D31" s="2042"/>
      <c r="E31" s="2039"/>
      <c r="F31" s="2042"/>
      <c r="G31" s="277">
        <v>25000000</v>
      </c>
      <c r="H31" s="104" t="s">
        <v>755</v>
      </c>
      <c r="I31" s="286">
        <v>1.4010321016255101E+17</v>
      </c>
      <c r="J31" s="69" t="s">
        <v>833</v>
      </c>
      <c r="K31" s="2042"/>
      <c r="L31" s="2042"/>
      <c r="M31" s="279"/>
    </row>
    <row r="32" spans="1:13" ht="30" customHeight="1" x14ac:dyDescent="0.2">
      <c r="A32" s="2031">
        <v>27</v>
      </c>
      <c r="B32" s="2029" t="s">
        <v>845</v>
      </c>
      <c r="C32" s="2149"/>
      <c r="D32" s="2040">
        <v>590000000</v>
      </c>
      <c r="E32" s="2037"/>
      <c r="F32" s="2040">
        <v>30000000</v>
      </c>
      <c r="G32" s="129">
        <v>20000000</v>
      </c>
      <c r="H32" s="104" t="s">
        <v>839</v>
      </c>
      <c r="I32" s="27">
        <v>845033</v>
      </c>
      <c r="J32" s="69" t="s">
        <v>846</v>
      </c>
      <c r="K32" s="2040">
        <f>G32+G33</f>
        <v>30000000</v>
      </c>
      <c r="L32" s="2040">
        <f>F32-K32</f>
        <v>0</v>
      </c>
      <c r="M32" s="115"/>
    </row>
    <row r="33" spans="1:13" ht="30" customHeight="1" x14ac:dyDescent="0.2">
      <c r="A33" s="2032"/>
      <c r="B33" s="2030"/>
      <c r="C33" s="2150"/>
      <c r="D33" s="2042"/>
      <c r="E33" s="2039"/>
      <c r="F33" s="2042"/>
      <c r="G33" s="129">
        <v>10000000</v>
      </c>
      <c r="H33" s="104" t="s">
        <v>676</v>
      </c>
      <c r="I33" s="27">
        <v>558135</v>
      </c>
      <c r="J33" s="69" t="s">
        <v>847</v>
      </c>
      <c r="K33" s="2042"/>
      <c r="L33" s="2042"/>
      <c r="M33" s="115"/>
    </row>
    <row r="34" spans="1:13" ht="30" customHeight="1" x14ac:dyDescent="0.2">
      <c r="A34" s="130">
        <v>28</v>
      </c>
      <c r="B34" s="133" t="s">
        <v>865</v>
      </c>
      <c r="C34" s="352"/>
      <c r="D34" s="287">
        <v>42000000</v>
      </c>
      <c r="E34" s="288">
        <v>7.0000000000000007E-2</v>
      </c>
      <c r="F34" s="287">
        <f>D34*E34</f>
        <v>2940000.0000000005</v>
      </c>
      <c r="G34" s="129">
        <v>2940000</v>
      </c>
      <c r="H34" s="104" t="s">
        <v>839</v>
      </c>
      <c r="I34" s="27">
        <v>121434954724</v>
      </c>
      <c r="J34" s="69" t="s">
        <v>866</v>
      </c>
      <c r="K34" s="129">
        <f>G34</f>
        <v>2940000</v>
      </c>
      <c r="L34" s="287">
        <f>F34-K34</f>
        <v>0</v>
      </c>
      <c r="M34" s="115"/>
    </row>
    <row r="35" spans="1:13" ht="30" customHeight="1" x14ac:dyDescent="0.2">
      <c r="A35" s="318">
        <v>29</v>
      </c>
      <c r="B35" s="133" t="s">
        <v>870</v>
      </c>
      <c r="C35" s="352"/>
      <c r="D35" s="129">
        <v>20000000</v>
      </c>
      <c r="E35" s="131">
        <v>0.04</v>
      </c>
      <c r="F35" s="129">
        <f>D35*E35</f>
        <v>800000</v>
      </c>
      <c r="G35" s="129">
        <v>800000</v>
      </c>
      <c r="H35" s="104" t="s">
        <v>839</v>
      </c>
      <c r="I35" s="27">
        <v>121436337175</v>
      </c>
      <c r="J35" s="69" t="s">
        <v>871</v>
      </c>
      <c r="K35" s="129">
        <f>G35</f>
        <v>800000</v>
      </c>
      <c r="L35" s="287">
        <f>F35-K35</f>
        <v>0</v>
      </c>
      <c r="M35" s="115"/>
    </row>
    <row r="36" spans="1:13" ht="30" customHeight="1" x14ac:dyDescent="0.2">
      <c r="A36" s="318">
        <v>30</v>
      </c>
      <c r="B36" s="149" t="s">
        <v>944</v>
      </c>
      <c r="C36" s="352"/>
      <c r="D36" s="144">
        <v>100000000</v>
      </c>
      <c r="E36" s="146">
        <v>7.0000000000000007E-2</v>
      </c>
      <c r="F36" s="144">
        <f>D36*E36</f>
        <v>7000000.0000000009</v>
      </c>
      <c r="G36" s="144">
        <v>7000000</v>
      </c>
      <c r="H36" s="104" t="s">
        <v>933</v>
      </c>
      <c r="I36" s="27">
        <v>653558748719</v>
      </c>
      <c r="J36" s="69" t="s">
        <v>945</v>
      </c>
      <c r="K36" s="144">
        <f>G36</f>
        <v>7000000</v>
      </c>
      <c r="L36" s="144">
        <f>F36-K36</f>
        <v>0</v>
      </c>
      <c r="M36" s="115"/>
    </row>
    <row r="37" spans="1:13" ht="30" customHeight="1" x14ac:dyDescent="0.2">
      <c r="A37" s="2031">
        <v>31</v>
      </c>
      <c r="B37" s="2029" t="s">
        <v>1011</v>
      </c>
      <c r="C37" s="352"/>
      <c r="D37" s="166">
        <v>100000000</v>
      </c>
      <c r="E37" s="167">
        <v>0.05</v>
      </c>
      <c r="F37" s="166">
        <f t="shared" ref="F37:F38" si="5">D37*E37</f>
        <v>5000000</v>
      </c>
      <c r="G37" s="2040">
        <v>10000000</v>
      </c>
      <c r="H37" s="2040" t="s">
        <v>933</v>
      </c>
      <c r="I37" s="2166">
        <v>375599</v>
      </c>
      <c r="J37" s="2164" t="s">
        <v>1012</v>
      </c>
      <c r="K37" s="2040">
        <f>G37</f>
        <v>10000000</v>
      </c>
      <c r="L37" s="2080">
        <f>(F37+F38)-K37</f>
        <v>-2550000</v>
      </c>
      <c r="M37" s="2051" t="s">
        <v>1020</v>
      </c>
    </row>
    <row r="38" spans="1:13" ht="30" customHeight="1" x14ac:dyDescent="0.2">
      <c r="A38" s="2032"/>
      <c r="B38" s="2030"/>
      <c r="C38" s="352"/>
      <c r="D38" s="166">
        <v>35000000</v>
      </c>
      <c r="E38" s="167">
        <v>7.0000000000000007E-2</v>
      </c>
      <c r="F38" s="166">
        <f t="shared" si="5"/>
        <v>2450000.0000000005</v>
      </c>
      <c r="G38" s="2042"/>
      <c r="H38" s="2042"/>
      <c r="I38" s="2167"/>
      <c r="J38" s="2165"/>
      <c r="K38" s="2042"/>
      <c r="L38" s="2081"/>
      <c r="M38" s="2052"/>
    </row>
    <row r="39" spans="1:13" ht="30" customHeight="1" x14ac:dyDescent="0.2">
      <c r="A39" s="176">
        <v>32</v>
      </c>
      <c r="B39" s="177" t="s">
        <v>1022</v>
      </c>
      <c r="C39" s="352"/>
      <c r="D39" s="178">
        <v>63580000</v>
      </c>
      <c r="E39" s="179">
        <v>7.0000000000000007E-2</v>
      </c>
      <c r="F39" s="178">
        <v>4450000</v>
      </c>
      <c r="G39" s="178">
        <v>4450000</v>
      </c>
      <c r="H39" s="178" t="s">
        <v>453</v>
      </c>
      <c r="I39" s="180" t="s">
        <v>494</v>
      </c>
      <c r="J39" s="69" t="s">
        <v>495</v>
      </c>
      <c r="K39" s="178">
        <f t="shared" ref="K39:K47" si="6">G39</f>
        <v>4450000</v>
      </c>
      <c r="L39" s="287">
        <f>F39-K39</f>
        <v>0</v>
      </c>
      <c r="M39" s="115"/>
    </row>
    <row r="40" spans="1:13" ht="30" customHeight="1" x14ac:dyDescent="0.2">
      <c r="A40" s="229">
        <v>33</v>
      </c>
      <c r="B40" s="230" t="s">
        <v>1141</v>
      </c>
      <c r="C40" s="352"/>
      <c r="D40" s="287">
        <v>20000000</v>
      </c>
      <c r="E40" s="288">
        <v>0.04</v>
      </c>
      <c r="F40" s="287">
        <f>D40*E40</f>
        <v>800000</v>
      </c>
      <c r="G40" s="232">
        <v>800000</v>
      </c>
      <c r="H40" s="232" t="s">
        <v>1132</v>
      </c>
      <c r="I40" s="235" t="s">
        <v>1142</v>
      </c>
      <c r="J40" s="69" t="s">
        <v>1143</v>
      </c>
      <c r="K40" s="232">
        <f t="shared" si="6"/>
        <v>800000</v>
      </c>
      <c r="L40" s="287">
        <f>F40-K40</f>
        <v>0</v>
      </c>
      <c r="M40" s="233"/>
    </row>
    <row r="41" spans="1:13" ht="30" customHeight="1" x14ac:dyDescent="0.2">
      <c r="A41" s="318">
        <v>34</v>
      </c>
      <c r="B41" s="45" t="s">
        <v>1188</v>
      </c>
      <c r="C41" s="352" t="s">
        <v>1175</v>
      </c>
      <c r="D41" s="250">
        <v>150000000</v>
      </c>
      <c r="E41" s="251">
        <v>0.06</v>
      </c>
      <c r="F41" s="250">
        <f>D41*E41</f>
        <v>9000000</v>
      </c>
      <c r="G41" s="250">
        <v>9000000</v>
      </c>
      <c r="H41" s="250" t="s">
        <v>1177</v>
      </c>
      <c r="I41" s="254" t="s">
        <v>1189</v>
      </c>
      <c r="J41" s="69" t="s">
        <v>1190</v>
      </c>
      <c r="K41" s="250">
        <f t="shared" si="6"/>
        <v>9000000</v>
      </c>
      <c r="L41" s="250">
        <f>F41-K41</f>
        <v>0</v>
      </c>
      <c r="M41" s="253"/>
    </row>
    <row r="42" spans="1:13" ht="30" customHeight="1" x14ac:dyDescent="0.2">
      <c r="A42" s="318">
        <v>35</v>
      </c>
      <c r="B42" s="249" t="s">
        <v>1194</v>
      </c>
      <c r="C42" s="352"/>
      <c r="D42" s="250">
        <v>50000000</v>
      </c>
      <c r="E42" s="251">
        <v>7.0000000000000007E-2</v>
      </c>
      <c r="F42" s="250">
        <f>D42*E42</f>
        <v>3500000.0000000005</v>
      </c>
      <c r="G42" s="250">
        <v>3500000</v>
      </c>
      <c r="H42" s="250" t="s">
        <v>1177</v>
      </c>
      <c r="I42" s="254" t="s">
        <v>1195</v>
      </c>
      <c r="J42" s="69" t="s">
        <v>1196</v>
      </c>
      <c r="K42" s="250">
        <f t="shared" si="6"/>
        <v>3500000</v>
      </c>
      <c r="L42" s="250">
        <f>F42-K42</f>
        <v>0</v>
      </c>
      <c r="M42" s="253"/>
    </row>
    <row r="43" spans="1:13" ht="30" customHeight="1" x14ac:dyDescent="0.2">
      <c r="A43" s="318">
        <v>36</v>
      </c>
      <c r="B43" s="268" t="s">
        <v>1269</v>
      </c>
      <c r="C43" s="352"/>
      <c r="D43" s="269">
        <v>140000000</v>
      </c>
      <c r="E43" s="270">
        <v>0.05</v>
      </c>
      <c r="F43" s="269">
        <f>D43*E43</f>
        <v>7000000</v>
      </c>
      <c r="G43" s="269">
        <v>7000000</v>
      </c>
      <c r="H43" s="269" t="s">
        <v>1264</v>
      </c>
      <c r="I43" s="272" t="s">
        <v>1270</v>
      </c>
      <c r="J43" s="69" t="s">
        <v>1271</v>
      </c>
      <c r="K43" s="269">
        <f t="shared" si="6"/>
        <v>7000000</v>
      </c>
      <c r="L43" s="269"/>
      <c r="M43" s="274"/>
    </row>
    <row r="44" spans="1:13" ht="30" customHeight="1" x14ac:dyDescent="0.2">
      <c r="A44" s="318">
        <v>37</v>
      </c>
      <c r="B44" s="294" t="s">
        <v>1302</v>
      </c>
      <c r="C44" s="352"/>
      <c r="D44" s="315"/>
      <c r="E44" s="316"/>
      <c r="F44" s="315"/>
      <c r="G44" s="295">
        <v>500000</v>
      </c>
      <c r="H44" s="295" t="s">
        <v>1297</v>
      </c>
      <c r="I44" s="299" t="s">
        <v>1303</v>
      </c>
      <c r="J44" s="69" t="s">
        <v>1304</v>
      </c>
      <c r="K44" s="295">
        <f t="shared" si="6"/>
        <v>500000</v>
      </c>
      <c r="L44" s="297">
        <f>F44-K44</f>
        <v>-500000</v>
      </c>
      <c r="M44" s="300" t="s">
        <v>1405</v>
      </c>
    </row>
    <row r="45" spans="1:13" ht="30" customHeight="1" x14ac:dyDescent="0.2">
      <c r="A45" s="318">
        <v>38</v>
      </c>
      <c r="B45" s="294" t="s">
        <v>1261</v>
      </c>
      <c r="C45" s="352"/>
      <c r="D45" s="315"/>
      <c r="E45" s="316"/>
      <c r="F45" s="315"/>
      <c r="G45" s="295">
        <v>25000000</v>
      </c>
      <c r="H45" s="295" t="s">
        <v>1297</v>
      </c>
      <c r="I45" s="299" t="s">
        <v>1306</v>
      </c>
      <c r="J45" s="69" t="s">
        <v>1307</v>
      </c>
      <c r="K45" s="295">
        <f t="shared" si="6"/>
        <v>25000000</v>
      </c>
      <c r="L45" s="297">
        <f>F45-K45</f>
        <v>-25000000</v>
      </c>
      <c r="M45" s="300"/>
    </row>
    <row r="46" spans="1:13" ht="30" customHeight="1" x14ac:dyDescent="0.2">
      <c r="A46" s="318">
        <v>39</v>
      </c>
      <c r="B46" s="294" t="s">
        <v>1314</v>
      </c>
      <c r="C46" s="352"/>
      <c r="D46" s="242">
        <v>16000000</v>
      </c>
      <c r="E46" s="317">
        <v>0.05</v>
      </c>
      <c r="F46" s="242">
        <f>D46*E46</f>
        <v>800000</v>
      </c>
      <c r="G46" s="295">
        <v>800000</v>
      </c>
      <c r="H46" s="295" t="s">
        <v>1315</v>
      </c>
      <c r="I46" s="299" t="s">
        <v>1316</v>
      </c>
      <c r="J46" s="69" t="s">
        <v>1317</v>
      </c>
      <c r="K46" s="295">
        <f t="shared" si="6"/>
        <v>800000</v>
      </c>
      <c r="L46" s="295">
        <f>F46-K46</f>
        <v>0</v>
      </c>
      <c r="M46" s="300"/>
    </row>
    <row r="47" spans="1:13" ht="30" customHeight="1" x14ac:dyDescent="0.2">
      <c r="A47" s="318">
        <v>40</v>
      </c>
      <c r="B47" s="319" t="s">
        <v>1337</v>
      </c>
      <c r="C47" s="352"/>
      <c r="D47" s="315"/>
      <c r="E47" s="316"/>
      <c r="F47" s="315"/>
      <c r="G47" s="323">
        <v>20000000</v>
      </c>
      <c r="H47" s="323" t="s">
        <v>1315</v>
      </c>
      <c r="I47" s="36" t="s">
        <v>1335</v>
      </c>
      <c r="J47" s="69" t="s">
        <v>1336</v>
      </c>
      <c r="K47" s="323">
        <f t="shared" si="6"/>
        <v>20000000</v>
      </c>
      <c r="L47" s="328">
        <f>F47-K47</f>
        <v>-20000000</v>
      </c>
      <c r="M47" s="333"/>
    </row>
    <row r="48" spans="1:13" ht="30" customHeight="1" x14ac:dyDescent="0.2">
      <c r="A48" s="318">
        <v>41</v>
      </c>
      <c r="B48" s="188" t="s">
        <v>186</v>
      </c>
      <c r="C48" s="352"/>
      <c r="D48" s="11">
        <v>60000000</v>
      </c>
      <c r="E48" s="20">
        <v>0.05</v>
      </c>
      <c r="F48" s="11">
        <f t="shared" ref="F48:F136" si="7">D48*E48</f>
        <v>3000000</v>
      </c>
      <c r="G48" s="11">
        <v>3000000</v>
      </c>
      <c r="H48" s="11" t="s">
        <v>769</v>
      </c>
      <c r="I48" s="23" t="s">
        <v>987</v>
      </c>
      <c r="J48" s="88" t="s">
        <v>263</v>
      </c>
      <c r="K48" s="11">
        <f t="shared" si="0"/>
        <v>3000000</v>
      </c>
      <c r="L48" s="11">
        <f t="shared" si="1"/>
        <v>0</v>
      </c>
      <c r="M48" s="26"/>
    </row>
    <row r="49" spans="1:13" ht="30" customHeight="1" x14ac:dyDescent="0.2">
      <c r="A49" s="318">
        <v>42</v>
      </c>
      <c r="B49" s="3" t="s">
        <v>1109</v>
      </c>
      <c r="C49" s="352"/>
      <c r="D49" s="287">
        <v>10000000</v>
      </c>
      <c r="E49" s="20">
        <v>0.05</v>
      </c>
      <c r="F49" s="287">
        <f>D49*E49</f>
        <v>500000</v>
      </c>
      <c r="G49" s="217">
        <v>600000</v>
      </c>
      <c r="H49" s="217" t="s">
        <v>703</v>
      </c>
      <c r="I49" s="222" t="s">
        <v>1071</v>
      </c>
      <c r="J49" s="88" t="s">
        <v>263</v>
      </c>
      <c r="K49" s="217">
        <f t="shared" si="0"/>
        <v>600000</v>
      </c>
      <c r="L49" s="287">
        <f>F49-K49</f>
        <v>-100000</v>
      </c>
      <c r="M49" s="26" t="s">
        <v>1293</v>
      </c>
    </row>
    <row r="50" spans="1:13" ht="30" customHeight="1" x14ac:dyDescent="0.2">
      <c r="A50" s="318">
        <v>43</v>
      </c>
      <c r="B50" s="3" t="s">
        <v>187</v>
      </c>
      <c r="C50" s="352"/>
      <c r="D50" s="287">
        <v>150000000</v>
      </c>
      <c r="E50" s="20">
        <v>0.05</v>
      </c>
      <c r="F50" s="287">
        <f t="shared" si="7"/>
        <v>7500000</v>
      </c>
      <c r="G50" s="11">
        <v>7500000</v>
      </c>
      <c r="H50" s="11" t="s">
        <v>703</v>
      </c>
      <c r="I50" s="23" t="s">
        <v>1072</v>
      </c>
      <c r="J50" s="6" t="s">
        <v>1073</v>
      </c>
      <c r="K50" s="11">
        <f t="shared" ref="K50:K137" si="8">G50</f>
        <v>7500000</v>
      </c>
      <c r="L50" s="287">
        <f t="shared" ref="L50:L137" si="9">F50-K50</f>
        <v>0</v>
      </c>
      <c r="M50" s="3"/>
    </row>
    <row r="51" spans="1:13" ht="30" customHeight="1" x14ac:dyDescent="0.2">
      <c r="A51" s="2031">
        <v>44</v>
      </c>
      <c r="B51" s="2074" t="s">
        <v>188</v>
      </c>
      <c r="C51" s="2149" t="s">
        <v>1350</v>
      </c>
      <c r="D51" s="2040">
        <v>1190000000</v>
      </c>
      <c r="E51" s="2037">
        <v>7.0000000000000007E-2</v>
      </c>
      <c r="F51" s="2040">
        <f t="shared" si="7"/>
        <v>83300000.000000015</v>
      </c>
      <c r="G51" s="357">
        <v>44600000</v>
      </c>
      <c r="H51" s="357" t="s">
        <v>702</v>
      </c>
      <c r="I51" s="360" t="s">
        <v>948</v>
      </c>
      <c r="J51" s="24" t="s">
        <v>949</v>
      </c>
      <c r="K51" s="2040">
        <f>G51+G52</f>
        <v>80900000</v>
      </c>
      <c r="L51" s="2040">
        <f>F51-K51</f>
        <v>2400000.0000000149</v>
      </c>
      <c r="M51" s="3"/>
    </row>
    <row r="52" spans="1:13" ht="30" customHeight="1" x14ac:dyDescent="0.2">
      <c r="A52" s="2032"/>
      <c r="B52" s="2075"/>
      <c r="C52" s="2150"/>
      <c r="D52" s="2042"/>
      <c r="E52" s="2039"/>
      <c r="F52" s="2042"/>
      <c r="G52" s="357">
        <v>36300000</v>
      </c>
      <c r="H52" s="357" t="s">
        <v>703</v>
      </c>
      <c r="I52" s="360" t="s">
        <v>1074</v>
      </c>
      <c r="J52" s="24" t="s">
        <v>949</v>
      </c>
      <c r="K52" s="2042"/>
      <c r="L52" s="2042"/>
      <c r="M52" s="3"/>
    </row>
    <row r="53" spans="1:13" ht="30" customHeight="1" x14ac:dyDescent="0.2">
      <c r="A53" s="2031">
        <v>45</v>
      </c>
      <c r="B53" s="2074" t="s">
        <v>189</v>
      </c>
      <c r="C53" s="2149" t="s">
        <v>1112</v>
      </c>
      <c r="D53" s="1947" t="s">
        <v>1247</v>
      </c>
      <c r="E53" s="1948"/>
      <c r="F53" s="1949"/>
      <c r="G53" s="11">
        <v>15000000</v>
      </c>
      <c r="H53" s="11" t="s">
        <v>703</v>
      </c>
      <c r="I53" s="23" t="s">
        <v>1105</v>
      </c>
      <c r="J53" s="24" t="s">
        <v>1106</v>
      </c>
      <c r="K53" s="11">
        <f t="shared" si="8"/>
        <v>15000000</v>
      </c>
      <c r="L53" s="259">
        <v>0</v>
      </c>
      <c r="M53" s="263" t="s">
        <v>1245</v>
      </c>
    </row>
    <row r="54" spans="1:13" ht="30" customHeight="1" x14ac:dyDescent="0.2">
      <c r="A54" s="2034"/>
      <c r="B54" s="2110"/>
      <c r="C54" s="2158"/>
      <c r="D54" s="2040">
        <v>1300000000</v>
      </c>
      <c r="E54" s="2037">
        <v>0.08</v>
      </c>
      <c r="F54" s="2040">
        <f>D54*E54</f>
        <v>104000000</v>
      </c>
      <c r="G54" s="259">
        <v>25000000</v>
      </c>
      <c r="H54" s="259" t="s">
        <v>1264</v>
      </c>
      <c r="I54" s="36" t="s">
        <v>1282</v>
      </c>
      <c r="J54" s="24" t="s">
        <v>1106</v>
      </c>
      <c r="K54" s="2040">
        <f>G54+G55+G56</f>
        <v>95000000</v>
      </c>
      <c r="L54" s="2040">
        <f>F54-K54</f>
        <v>9000000</v>
      </c>
      <c r="M54" s="263"/>
    </row>
    <row r="55" spans="1:13" ht="30" customHeight="1" x14ac:dyDescent="0.2">
      <c r="A55" s="2034"/>
      <c r="B55" s="2110"/>
      <c r="C55" s="2158"/>
      <c r="D55" s="2041"/>
      <c r="E55" s="2038"/>
      <c r="F55" s="2041"/>
      <c r="G55" s="323">
        <v>70000000</v>
      </c>
      <c r="H55" s="323" t="s">
        <v>1297</v>
      </c>
      <c r="I55" s="36" t="s">
        <v>1332</v>
      </c>
      <c r="J55" s="24" t="s">
        <v>1106</v>
      </c>
      <c r="K55" s="2041"/>
      <c r="L55" s="2041"/>
      <c r="M55" s="263"/>
    </row>
    <row r="56" spans="1:13" ht="30" customHeight="1" x14ac:dyDescent="0.2">
      <c r="A56" s="2034"/>
      <c r="B56" s="2110"/>
      <c r="C56" s="2158"/>
      <c r="D56" s="2042"/>
      <c r="E56" s="2039"/>
      <c r="F56" s="2042"/>
      <c r="G56" s="323"/>
      <c r="H56" s="323"/>
      <c r="I56" s="36"/>
      <c r="J56" s="24"/>
      <c r="K56" s="2042"/>
      <c r="L56" s="2042"/>
      <c r="M56" s="263"/>
    </row>
    <row r="57" spans="1:13" ht="30" customHeight="1" x14ac:dyDescent="0.2">
      <c r="A57" s="2032"/>
      <c r="B57" s="2075"/>
      <c r="C57" s="2150"/>
      <c r="D57" s="259">
        <v>1200000000</v>
      </c>
      <c r="E57" s="20">
        <v>0.08</v>
      </c>
      <c r="F57" s="259">
        <f>D57*E57</f>
        <v>96000000</v>
      </c>
      <c r="G57" s="2154" t="s">
        <v>1246</v>
      </c>
      <c r="H57" s="2155"/>
      <c r="I57" s="2155"/>
      <c r="J57" s="2155"/>
      <c r="K57" s="2155"/>
      <c r="L57" s="2156"/>
      <c r="M57" s="263"/>
    </row>
    <row r="58" spans="1:13" ht="30" customHeight="1" x14ac:dyDescent="0.2">
      <c r="A58" s="4">
        <v>46</v>
      </c>
      <c r="B58" s="3" t="s">
        <v>190</v>
      </c>
      <c r="C58" s="352" t="s">
        <v>1110</v>
      </c>
      <c r="D58" s="11">
        <v>20000000</v>
      </c>
      <c r="E58" s="20">
        <v>0.05</v>
      </c>
      <c r="F58" s="11">
        <f t="shared" si="7"/>
        <v>1000000</v>
      </c>
      <c r="G58" s="11">
        <v>1000000</v>
      </c>
      <c r="H58" s="11" t="s">
        <v>703</v>
      </c>
      <c r="I58" s="23" t="s">
        <v>1077</v>
      </c>
      <c r="J58" s="24" t="s">
        <v>1078</v>
      </c>
      <c r="K58" s="11">
        <f t="shared" si="8"/>
        <v>1000000</v>
      </c>
      <c r="L58" s="11">
        <f t="shared" si="9"/>
        <v>0</v>
      </c>
      <c r="M58" s="3"/>
    </row>
    <row r="59" spans="1:13" ht="30" customHeight="1" x14ac:dyDescent="0.2">
      <c r="A59" s="4">
        <v>47</v>
      </c>
      <c r="B59" s="3" t="s">
        <v>191</v>
      </c>
      <c r="C59" s="352" t="s">
        <v>1112</v>
      </c>
      <c r="D59" s="11">
        <v>100000000</v>
      </c>
      <c r="E59" s="20">
        <v>0.05</v>
      </c>
      <c r="F59" s="11">
        <f t="shared" si="7"/>
        <v>5000000</v>
      </c>
      <c r="G59" s="11">
        <v>5000000</v>
      </c>
      <c r="H59" s="11" t="s">
        <v>703</v>
      </c>
      <c r="I59" s="23" t="s">
        <v>1079</v>
      </c>
      <c r="J59" s="24" t="s">
        <v>1080</v>
      </c>
      <c r="K59" s="11">
        <f t="shared" si="8"/>
        <v>5000000</v>
      </c>
      <c r="L59" s="11">
        <f t="shared" si="9"/>
        <v>0</v>
      </c>
      <c r="M59" s="3"/>
    </row>
    <row r="60" spans="1:13" ht="30" customHeight="1" x14ac:dyDescent="0.2">
      <c r="A60" s="4">
        <v>48</v>
      </c>
      <c r="B60" s="3" t="s">
        <v>192</v>
      </c>
      <c r="C60" s="352" t="s">
        <v>1350</v>
      </c>
      <c r="D60" s="355">
        <v>230000000</v>
      </c>
      <c r="E60" s="20">
        <v>0.05</v>
      </c>
      <c r="F60" s="355">
        <f t="shared" si="7"/>
        <v>11500000</v>
      </c>
      <c r="G60" s="11">
        <v>9000000</v>
      </c>
      <c r="H60" s="11" t="s">
        <v>703</v>
      </c>
      <c r="I60" s="36" t="s">
        <v>1081</v>
      </c>
      <c r="J60" s="24" t="s">
        <v>1082</v>
      </c>
      <c r="K60" s="11">
        <f t="shared" si="8"/>
        <v>9000000</v>
      </c>
      <c r="L60" s="355">
        <f t="shared" si="9"/>
        <v>2500000</v>
      </c>
      <c r="M60" s="3"/>
    </row>
    <row r="61" spans="1:13" ht="30" customHeight="1" x14ac:dyDescent="0.2">
      <c r="A61" s="4">
        <v>49</v>
      </c>
      <c r="B61" s="3" t="s">
        <v>193</v>
      </c>
      <c r="C61" s="352"/>
      <c r="D61" s="221">
        <v>350000000</v>
      </c>
      <c r="E61" s="44">
        <v>0.05</v>
      </c>
      <c r="F61" s="221">
        <f t="shared" si="7"/>
        <v>17500000</v>
      </c>
      <c r="G61" s="11">
        <v>17500000</v>
      </c>
      <c r="H61" s="11" t="s">
        <v>703</v>
      </c>
      <c r="I61" s="23" t="s">
        <v>1083</v>
      </c>
      <c r="J61" s="24" t="s">
        <v>1084</v>
      </c>
      <c r="K61" s="11">
        <f t="shared" si="8"/>
        <v>17500000</v>
      </c>
      <c r="L61" s="221">
        <f t="shared" si="9"/>
        <v>0</v>
      </c>
      <c r="M61" s="3"/>
    </row>
    <row r="62" spans="1:13" ht="30" customHeight="1" x14ac:dyDescent="0.2">
      <c r="A62" s="2031">
        <v>50</v>
      </c>
      <c r="B62" s="2074" t="s">
        <v>194</v>
      </c>
      <c r="C62" s="2149"/>
      <c r="D62" s="2115" t="s">
        <v>1294</v>
      </c>
      <c r="E62" s="2142"/>
      <c r="F62" s="2116"/>
      <c r="G62" s="11">
        <v>3000000</v>
      </c>
      <c r="H62" s="11" t="s">
        <v>703</v>
      </c>
      <c r="I62" s="23" t="s">
        <v>1085</v>
      </c>
      <c r="J62" s="24" t="s">
        <v>1086</v>
      </c>
      <c r="K62" s="1947"/>
      <c r="L62" s="1949"/>
      <c r="M62" s="3"/>
    </row>
    <row r="63" spans="1:13" ht="30" customHeight="1" x14ac:dyDescent="0.2">
      <c r="A63" s="2032"/>
      <c r="B63" s="2075"/>
      <c r="C63" s="2150"/>
      <c r="D63" s="293">
        <v>111000000</v>
      </c>
      <c r="E63" s="20">
        <v>4.4999999999999998E-2</v>
      </c>
      <c r="F63" s="293">
        <v>5000000</v>
      </c>
      <c r="G63" s="232">
        <v>5000000</v>
      </c>
      <c r="H63" s="232" t="s">
        <v>1032</v>
      </c>
      <c r="I63" s="235" t="s">
        <v>1118</v>
      </c>
      <c r="J63" s="24" t="s">
        <v>1119</v>
      </c>
      <c r="K63" s="293">
        <f>G63</f>
        <v>5000000</v>
      </c>
      <c r="L63" s="293">
        <f>F63-K63</f>
        <v>0</v>
      </c>
      <c r="M63" s="3"/>
    </row>
    <row r="64" spans="1:13" ht="30" customHeight="1" x14ac:dyDescent="0.2">
      <c r="A64" s="4">
        <v>51</v>
      </c>
      <c r="B64" s="3" t="s">
        <v>195</v>
      </c>
      <c r="C64" s="352"/>
      <c r="D64" s="221"/>
      <c r="E64" s="44"/>
      <c r="F64" s="221">
        <f t="shared" si="7"/>
        <v>0</v>
      </c>
      <c r="G64" s="11">
        <v>2700000</v>
      </c>
      <c r="H64" s="11" t="s">
        <v>703</v>
      </c>
      <c r="I64" s="23" t="s">
        <v>1087</v>
      </c>
      <c r="J64" s="24" t="s">
        <v>1088</v>
      </c>
      <c r="K64" s="11">
        <f t="shared" si="8"/>
        <v>2700000</v>
      </c>
      <c r="L64" s="221">
        <f t="shared" si="9"/>
        <v>-2700000</v>
      </c>
      <c r="M64" s="3"/>
    </row>
    <row r="65" spans="1:13" ht="30" customHeight="1" x14ac:dyDescent="0.2">
      <c r="A65" s="2031">
        <v>52</v>
      </c>
      <c r="B65" s="2074" t="s">
        <v>196</v>
      </c>
      <c r="C65" s="2149"/>
      <c r="D65" s="2040">
        <v>350000000</v>
      </c>
      <c r="E65" s="2037">
        <v>7.0000000000000007E-2</v>
      </c>
      <c r="F65" s="2040">
        <f t="shared" si="7"/>
        <v>24500000.000000004</v>
      </c>
      <c r="G65" s="11">
        <v>10000000</v>
      </c>
      <c r="H65" s="11" t="s">
        <v>268</v>
      </c>
      <c r="I65" s="23">
        <v>875354278</v>
      </c>
      <c r="J65" s="24" t="s">
        <v>286</v>
      </c>
      <c r="K65" s="2040">
        <f>G65+G66</f>
        <v>24500000</v>
      </c>
      <c r="L65" s="2040">
        <f>F65-K65</f>
        <v>0</v>
      </c>
      <c r="M65" s="2031"/>
    </row>
    <row r="66" spans="1:13" ht="30" customHeight="1" x14ac:dyDescent="0.2">
      <c r="A66" s="2034"/>
      <c r="B66" s="2110"/>
      <c r="C66" s="2158"/>
      <c r="D66" s="2042"/>
      <c r="E66" s="2039"/>
      <c r="F66" s="2042"/>
      <c r="G66" s="105">
        <v>14500000</v>
      </c>
      <c r="H66" s="105" t="s">
        <v>676</v>
      </c>
      <c r="I66" s="292" t="s">
        <v>713</v>
      </c>
      <c r="J66" s="24" t="s">
        <v>714</v>
      </c>
      <c r="K66" s="2042"/>
      <c r="L66" s="2042"/>
      <c r="M66" s="2032"/>
    </row>
    <row r="67" spans="1:13" ht="30" customHeight="1" x14ac:dyDescent="0.2">
      <c r="A67" s="2034"/>
      <c r="B67" s="2110"/>
      <c r="C67" s="2158"/>
      <c r="D67" s="221"/>
      <c r="E67" s="220"/>
      <c r="F67" s="221"/>
      <c r="G67" s="291">
        <v>5000000</v>
      </c>
      <c r="H67" s="291" t="s">
        <v>703</v>
      </c>
      <c r="I67" s="118" t="s">
        <v>1089</v>
      </c>
      <c r="J67" s="61" t="s">
        <v>286</v>
      </c>
      <c r="K67" s="291">
        <f>G67</f>
        <v>5000000</v>
      </c>
      <c r="L67" s="221"/>
      <c r="M67" s="216"/>
    </row>
    <row r="68" spans="1:13" ht="30" customHeight="1" x14ac:dyDescent="0.2">
      <c r="A68" s="2032"/>
      <c r="B68" s="2075"/>
      <c r="C68" s="2150"/>
      <c r="D68" s="221"/>
      <c r="E68" s="220"/>
      <c r="F68" s="221"/>
      <c r="G68" s="301">
        <v>9700000</v>
      </c>
      <c r="H68" s="301" t="s">
        <v>1099</v>
      </c>
      <c r="I68" s="302" t="s">
        <v>1104</v>
      </c>
      <c r="J68" s="303" t="s">
        <v>286</v>
      </c>
      <c r="K68" s="301">
        <f>G68</f>
        <v>9700000</v>
      </c>
      <c r="L68" s="221"/>
      <c r="M68" s="216"/>
    </row>
    <row r="69" spans="1:13" ht="30" customHeight="1" x14ac:dyDescent="0.2">
      <c r="A69" s="2031">
        <v>53</v>
      </c>
      <c r="B69" s="2074" t="s">
        <v>1090</v>
      </c>
      <c r="C69" s="2149"/>
      <c r="D69" s="11">
        <v>35000000</v>
      </c>
      <c r="E69" s="20">
        <v>7.1999999999999995E-2</v>
      </c>
      <c r="F69" s="11">
        <v>2500000</v>
      </c>
      <c r="G69" s="2040">
        <v>3500000</v>
      </c>
      <c r="H69" s="2040" t="s">
        <v>703</v>
      </c>
      <c r="I69" s="2159" t="s">
        <v>1091</v>
      </c>
      <c r="J69" s="2128" t="s">
        <v>975</v>
      </c>
      <c r="K69" s="2040">
        <f t="shared" si="8"/>
        <v>3500000</v>
      </c>
      <c r="L69" s="2040">
        <f>(F69+F70)-K69</f>
        <v>0</v>
      </c>
      <c r="M69" s="3"/>
    </row>
    <row r="70" spans="1:13" ht="30" customHeight="1" x14ac:dyDescent="0.2">
      <c r="A70" s="2032"/>
      <c r="B70" s="2075"/>
      <c r="C70" s="2150"/>
      <c r="D70" s="217">
        <v>13000000</v>
      </c>
      <c r="E70" s="20">
        <v>7.6999999999999999E-2</v>
      </c>
      <c r="F70" s="217">
        <v>1000000</v>
      </c>
      <c r="G70" s="2042"/>
      <c r="H70" s="2042"/>
      <c r="I70" s="2160"/>
      <c r="J70" s="2129"/>
      <c r="K70" s="2042"/>
      <c r="L70" s="2042"/>
      <c r="M70" s="3"/>
    </row>
    <row r="71" spans="1:13" ht="30" customHeight="1" x14ac:dyDescent="0.2">
      <c r="A71" s="2031">
        <v>54</v>
      </c>
      <c r="B71" s="2074" t="s">
        <v>1295</v>
      </c>
      <c r="C71" s="2149" t="s">
        <v>1350</v>
      </c>
      <c r="D71" s="287">
        <v>175000000</v>
      </c>
      <c r="E71" s="2037">
        <f>F71/(D71+D72)</f>
        <v>6.3461538461538458E-2</v>
      </c>
      <c r="F71" s="2040">
        <v>16500000</v>
      </c>
      <c r="G71" s="2040">
        <v>12600000</v>
      </c>
      <c r="H71" s="2040" t="s">
        <v>703</v>
      </c>
      <c r="I71" s="2159" t="s">
        <v>1092</v>
      </c>
      <c r="J71" s="2128" t="s">
        <v>1093</v>
      </c>
      <c r="K71" s="2040">
        <f t="shared" si="8"/>
        <v>12600000</v>
      </c>
      <c r="L71" s="2040">
        <f t="shared" si="9"/>
        <v>3900000</v>
      </c>
      <c r="M71" s="82" t="s">
        <v>1113</v>
      </c>
    </row>
    <row r="72" spans="1:13" ht="30" customHeight="1" x14ac:dyDescent="0.2">
      <c r="A72" s="2032"/>
      <c r="B72" s="2075"/>
      <c r="C72" s="2150"/>
      <c r="D72" s="289">
        <v>85000000</v>
      </c>
      <c r="E72" s="2039"/>
      <c r="F72" s="2042"/>
      <c r="G72" s="2042"/>
      <c r="H72" s="2042"/>
      <c r="I72" s="2160"/>
      <c r="J72" s="2129"/>
      <c r="K72" s="2042"/>
      <c r="L72" s="2042"/>
      <c r="M72" s="305"/>
    </row>
    <row r="73" spans="1:13" ht="30" customHeight="1" x14ac:dyDescent="0.2">
      <c r="A73" s="2031">
        <v>55</v>
      </c>
      <c r="B73" s="2074" t="s">
        <v>36</v>
      </c>
      <c r="C73" s="2149" t="s">
        <v>1350</v>
      </c>
      <c r="D73" s="2040">
        <v>3284000000</v>
      </c>
      <c r="E73" s="2037">
        <v>7.0000000000000007E-2</v>
      </c>
      <c r="F73" s="2040">
        <v>229880000</v>
      </c>
      <c r="G73" s="217">
        <v>30000000</v>
      </c>
      <c r="H73" s="217" t="s">
        <v>676</v>
      </c>
      <c r="I73" s="223" t="s">
        <v>695</v>
      </c>
      <c r="J73" s="24" t="s">
        <v>696</v>
      </c>
      <c r="K73" s="2040">
        <f>G73+G74+G75+G76+G77</f>
        <v>225000000</v>
      </c>
      <c r="L73" s="2040">
        <f>F73-K73</f>
        <v>4880000</v>
      </c>
      <c r="M73" s="2061"/>
    </row>
    <row r="74" spans="1:13" ht="30" customHeight="1" x14ac:dyDescent="0.2">
      <c r="A74" s="2034"/>
      <c r="B74" s="2110"/>
      <c r="C74" s="2158"/>
      <c r="D74" s="2041"/>
      <c r="E74" s="2038"/>
      <c r="F74" s="2041"/>
      <c r="G74" s="217">
        <v>50000000</v>
      </c>
      <c r="H74" s="217" t="s">
        <v>587</v>
      </c>
      <c r="I74" s="36" t="s">
        <v>704</v>
      </c>
      <c r="J74" s="24">
        <v>4730093049</v>
      </c>
      <c r="K74" s="2041"/>
      <c r="L74" s="2041"/>
      <c r="M74" s="2034"/>
    </row>
    <row r="75" spans="1:13" ht="30" customHeight="1" x14ac:dyDescent="0.2">
      <c r="A75" s="2034"/>
      <c r="B75" s="2110"/>
      <c r="C75" s="2158"/>
      <c r="D75" s="2041"/>
      <c r="E75" s="2038"/>
      <c r="F75" s="2041"/>
      <c r="G75" s="217">
        <v>45000000</v>
      </c>
      <c r="H75" s="217" t="s">
        <v>702</v>
      </c>
      <c r="I75" s="36" t="s">
        <v>705</v>
      </c>
      <c r="J75" s="24" t="s">
        <v>707</v>
      </c>
      <c r="K75" s="2041"/>
      <c r="L75" s="2041"/>
      <c r="M75" s="2034"/>
    </row>
    <row r="76" spans="1:13" ht="30" customHeight="1" x14ac:dyDescent="0.2">
      <c r="A76" s="2034"/>
      <c r="B76" s="2110"/>
      <c r="C76" s="2158"/>
      <c r="D76" s="2041"/>
      <c r="E76" s="2038"/>
      <c r="F76" s="2041"/>
      <c r="G76" s="217">
        <v>50000000</v>
      </c>
      <c r="H76" s="217" t="s">
        <v>703</v>
      </c>
      <c r="I76" s="36" t="s">
        <v>706</v>
      </c>
      <c r="J76" s="24">
        <v>4730093049</v>
      </c>
      <c r="K76" s="2041"/>
      <c r="L76" s="2041"/>
      <c r="M76" s="2032"/>
    </row>
    <row r="77" spans="1:13" ht="30" customHeight="1" x14ac:dyDescent="0.2">
      <c r="A77" s="2032"/>
      <c r="B77" s="2075"/>
      <c r="C77" s="2150"/>
      <c r="D77" s="2042"/>
      <c r="E77" s="2039"/>
      <c r="F77" s="2042"/>
      <c r="G77" s="217">
        <v>50000000</v>
      </c>
      <c r="H77" s="217" t="s">
        <v>1013</v>
      </c>
      <c r="I77" s="36" t="s">
        <v>1024</v>
      </c>
      <c r="J77" s="241">
        <v>110727081002</v>
      </c>
      <c r="K77" s="2042"/>
      <c r="L77" s="2042"/>
      <c r="M77" s="181"/>
    </row>
    <row r="78" spans="1:13" ht="30" customHeight="1" x14ac:dyDescent="0.2">
      <c r="A78" s="216">
        <v>56</v>
      </c>
      <c r="B78" s="219" t="s">
        <v>1107</v>
      </c>
      <c r="C78" s="352" t="s">
        <v>1353</v>
      </c>
      <c r="D78" s="217">
        <v>317000000</v>
      </c>
      <c r="E78" s="218">
        <v>7.0000000000000007E-2</v>
      </c>
      <c r="F78" s="217">
        <f>D78*E78</f>
        <v>22190000.000000004</v>
      </c>
      <c r="G78" s="221"/>
      <c r="H78" s="221"/>
      <c r="I78" s="118"/>
      <c r="J78" s="243"/>
      <c r="K78" s="221"/>
      <c r="L78" s="221"/>
      <c r="M78" s="216"/>
    </row>
    <row r="79" spans="1:13" ht="30" customHeight="1" x14ac:dyDescent="0.2">
      <c r="A79" s="4">
        <v>57</v>
      </c>
      <c r="B79" s="3" t="s">
        <v>1094</v>
      </c>
      <c r="C79" s="352"/>
      <c r="D79" s="11">
        <v>11000000</v>
      </c>
      <c r="E79" s="20">
        <v>5.5E-2</v>
      </c>
      <c r="F79" s="11">
        <v>600000</v>
      </c>
      <c r="G79" s="11">
        <v>600000</v>
      </c>
      <c r="H79" s="11" t="s">
        <v>703</v>
      </c>
      <c r="I79" s="23" t="s">
        <v>1095</v>
      </c>
      <c r="J79" s="88" t="s">
        <v>1096</v>
      </c>
      <c r="K79" s="11">
        <f t="shared" si="8"/>
        <v>600000</v>
      </c>
      <c r="L79" s="11">
        <f t="shared" si="9"/>
        <v>0</v>
      </c>
      <c r="M79" s="3"/>
    </row>
    <row r="80" spans="1:13" ht="30" customHeight="1" x14ac:dyDescent="0.2">
      <c r="A80" s="2031">
        <v>58</v>
      </c>
      <c r="B80" s="2074" t="s">
        <v>197</v>
      </c>
      <c r="C80" s="2149" t="s">
        <v>1350</v>
      </c>
      <c r="D80" s="355">
        <v>90000000</v>
      </c>
      <c r="E80" s="20">
        <v>0.05</v>
      </c>
      <c r="F80" s="355">
        <f t="shared" si="7"/>
        <v>4500000</v>
      </c>
      <c r="G80" s="11">
        <v>4850000</v>
      </c>
      <c r="H80" s="11" t="s">
        <v>703</v>
      </c>
      <c r="I80" s="23" t="s">
        <v>1097</v>
      </c>
      <c r="J80" s="88" t="s">
        <v>1098</v>
      </c>
      <c r="K80" s="2040">
        <f t="shared" si="8"/>
        <v>4850000</v>
      </c>
      <c r="L80" s="2040">
        <f t="shared" si="9"/>
        <v>-350000</v>
      </c>
      <c r="M80" s="2161" t="s">
        <v>1374</v>
      </c>
    </row>
    <row r="81" spans="1:13" ht="30" customHeight="1" x14ac:dyDescent="0.2">
      <c r="A81" s="2032"/>
      <c r="B81" s="2075"/>
      <c r="C81" s="2150"/>
      <c r="D81" s="355">
        <v>10000000</v>
      </c>
      <c r="E81" s="20">
        <v>7.0000000000000007E-2</v>
      </c>
      <c r="F81" s="355">
        <f t="shared" si="7"/>
        <v>700000.00000000012</v>
      </c>
      <c r="G81" s="2154" t="s">
        <v>1373</v>
      </c>
      <c r="H81" s="2155"/>
      <c r="I81" s="2155"/>
      <c r="J81" s="2156"/>
      <c r="K81" s="2042"/>
      <c r="L81" s="2042"/>
      <c r="M81" s="2162"/>
    </row>
    <row r="82" spans="1:13" ht="30" customHeight="1" x14ac:dyDescent="0.2">
      <c r="A82" s="4">
        <v>59</v>
      </c>
      <c r="B82" s="3" t="s">
        <v>198</v>
      </c>
      <c r="C82" s="352"/>
      <c r="D82" s="221"/>
      <c r="E82" s="44"/>
      <c r="F82" s="221">
        <f t="shared" si="7"/>
        <v>0</v>
      </c>
      <c r="G82" s="11">
        <v>10000000</v>
      </c>
      <c r="H82" s="11" t="s">
        <v>1099</v>
      </c>
      <c r="I82" s="23" t="s">
        <v>1100</v>
      </c>
      <c r="J82" s="24" t="s">
        <v>1101</v>
      </c>
      <c r="K82" s="11">
        <f t="shared" si="8"/>
        <v>10000000</v>
      </c>
      <c r="L82" s="11">
        <f t="shared" si="9"/>
        <v>-10000000</v>
      </c>
      <c r="M82" s="3"/>
    </row>
    <row r="83" spans="1:13" ht="30" customHeight="1" x14ac:dyDescent="0.2">
      <c r="A83" s="318">
        <v>60</v>
      </c>
      <c r="B83" s="3" t="s">
        <v>199</v>
      </c>
      <c r="C83" s="352"/>
      <c r="D83" s="11">
        <v>100000000</v>
      </c>
      <c r="E83" s="20">
        <v>7.0000000000000007E-2</v>
      </c>
      <c r="F83" s="11">
        <f t="shared" si="7"/>
        <v>7000000.0000000009</v>
      </c>
      <c r="G83" s="11">
        <v>7000000</v>
      </c>
      <c r="H83" s="11" t="s">
        <v>1099</v>
      </c>
      <c r="I83" s="223" t="s">
        <v>1102</v>
      </c>
      <c r="J83" s="24" t="s">
        <v>1103</v>
      </c>
      <c r="K83" s="11">
        <f t="shared" si="8"/>
        <v>7000000</v>
      </c>
      <c r="L83" s="11">
        <f t="shared" si="9"/>
        <v>0</v>
      </c>
      <c r="M83" s="3"/>
    </row>
    <row r="84" spans="1:13" ht="30" customHeight="1" x14ac:dyDescent="0.2">
      <c r="A84" s="4">
        <v>61</v>
      </c>
      <c r="B84" s="3" t="s">
        <v>200</v>
      </c>
      <c r="C84" s="352"/>
      <c r="D84" s="297"/>
      <c r="E84" s="44"/>
      <c r="F84" s="297">
        <f t="shared" si="7"/>
        <v>0</v>
      </c>
      <c r="G84" s="11">
        <v>3250000</v>
      </c>
      <c r="H84" s="11" t="s">
        <v>1297</v>
      </c>
      <c r="I84" s="23" t="s">
        <v>1298</v>
      </c>
      <c r="J84" s="310" t="s">
        <v>1299</v>
      </c>
      <c r="K84" s="11">
        <f t="shared" si="8"/>
        <v>3250000</v>
      </c>
      <c r="L84" s="297">
        <f t="shared" si="9"/>
        <v>-3250000</v>
      </c>
      <c r="M84" s="3"/>
    </row>
    <row r="85" spans="1:13" ht="30" customHeight="1" x14ac:dyDescent="0.2">
      <c r="A85" s="2031">
        <v>62</v>
      </c>
      <c r="B85" s="2074" t="s">
        <v>201</v>
      </c>
      <c r="C85" s="2149" t="s">
        <v>1350</v>
      </c>
      <c r="D85" s="2040">
        <v>1250000000</v>
      </c>
      <c r="E85" s="2082"/>
      <c r="F85" s="2040">
        <v>81250000</v>
      </c>
      <c r="G85" s="11">
        <v>22500000</v>
      </c>
      <c r="H85" s="11" t="s">
        <v>777</v>
      </c>
      <c r="I85" s="23" t="s">
        <v>788</v>
      </c>
      <c r="J85" s="24">
        <v>4003</v>
      </c>
      <c r="K85" s="2040">
        <f>G85+G86</f>
        <v>62500000</v>
      </c>
      <c r="L85" s="2040">
        <f t="shared" si="9"/>
        <v>18750000</v>
      </c>
      <c r="M85" s="2161" t="s">
        <v>1587</v>
      </c>
    </row>
    <row r="86" spans="1:13" ht="30" customHeight="1" x14ac:dyDescent="0.2">
      <c r="A86" s="2032"/>
      <c r="B86" s="2075"/>
      <c r="C86" s="2150"/>
      <c r="D86" s="2042"/>
      <c r="E86" s="2083"/>
      <c r="F86" s="2042"/>
      <c r="G86" s="144">
        <v>40000000</v>
      </c>
      <c r="H86" s="144" t="s">
        <v>702</v>
      </c>
      <c r="I86" s="152" t="s">
        <v>951</v>
      </c>
      <c r="J86" s="148" t="s">
        <v>950</v>
      </c>
      <c r="K86" s="2042"/>
      <c r="L86" s="2042"/>
      <c r="M86" s="2162"/>
    </row>
    <row r="87" spans="1:13" ht="30" customHeight="1" x14ac:dyDescent="0.2">
      <c r="A87" s="4">
        <v>63</v>
      </c>
      <c r="B87" s="3" t="s">
        <v>202</v>
      </c>
      <c r="C87" s="352"/>
      <c r="D87" s="11">
        <v>200000000</v>
      </c>
      <c r="E87" s="20">
        <v>5.0999999999999997E-2</v>
      </c>
      <c r="F87" s="11">
        <f t="shared" si="7"/>
        <v>10200000</v>
      </c>
      <c r="G87" s="11">
        <v>10200000</v>
      </c>
      <c r="H87" s="11" t="s">
        <v>702</v>
      </c>
      <c r="I87" s="23" t="s">
        <v>952</v>
      </c>
      <c r="J87" s="24" t="s">
        <v>953</v>
      </c>
      <c r="K87" s="11">
        <f t="shared" si="8"/>
        <v>10200000</v>
      </c>
      <c r="L87" s="11">
        <f t="shared" si="9"/>
        <v>0</v>
      </c>
      <c r="M87" s="3"/>
    </row>
    <row r="88" spans="1:13" ht="30" customHeight="1" x14ac:dyDescent="0.2">
      <c r="A88" s="4">
        <v>64</v>
      </c>
      <c r="B88" s="3" t="s">
        <v>203</v>
      </c>
      <c r="C88" s="352"/>
      <c r="D88" s="11">
        <v>300000000</v>
      </c>
      <c r="E88" s="20">
        <v>0.04</v>
      </c>
      <c r="F88" s="11">
        <f t="shared" si="7"/>
        <v>12000000</v>
      </c>
      <c r="G88" s="11">
        <v>12000000</v>
      </c>
      <c r="H88" s="11" t="s">
        <v>702</v>
      </c>
      <c r="I88" s="23" t="s">
        <v>954</v>
      </c>
      <c r="J88" s="24" t="s">
        <v>955</v>
      </c>
      <c r="K88" s="11">
        <f t="shared" si="8"/>
        <v>12000000</v>
      </c>
      <c r="L88" s="11">
        <f t="shared" si="9"/>
        <v>0</v>
      </c>
      <c r="M88" s="3"/>
    </row>
    <row r="89" spans="1:13" ht="30" customHeight="1" x14ac:dyDescent="0.2">
      <c r="A89" s="4">
        <v>65</v>
      </c>
      <c r="B89" s="3" t="s">
        <v>204</v>
      </c>
      <c r="C89" s="352"/>
      <c r="D89" s="147"/>
      <c r="E89" s="44"/>
      <c r="F89" s="147">
        <f t="shared" si="7"/>
        <v>0</v>
      </c>
      <c r="G89" s="11">
        <v>7440000</v>
      </c>
      <c r="H89" s="11" t="s">
        <v>702</v>
      </c>
      <c r="I89" s="23" t="s">
        <v>956</v>
      </c>
      <c r="J89" s="24" t="s">
        <v>957</v>
      </c>
      <c r="K89" s="11">
        <f t="shared" si="8"/>
        <v>7440000</v>
      </c>
      <c r="L89" s="147">
        <f t="shared" si="9"/>
        <v>-7440000</v>
      </c>
      <c r="M89" s="3"/>
    </row>
    <row r="90" spans="1:13" ht="30" customHeight="1" x14ac:dyDescent="0.2">
      <c r="A90" s="4">
        <v>66</v>
      </c>
      <c r="B90" s="3" t="s">
        <v>183</v>
      </c>
      <c r="C90" s="352"/>
      <c r="D90" s="147"/>
      <c r="E90" s="44"/>
      <c r="F90" s="147">
        <f t="shared" si="7"/>
        <v>0</v>
      </c>
      <c r="G90" s="11">
        <v>2750000</v>
      </c>
      <c r="H90" s="11" t="s">
        <v>702</v>
      </c>
      <c r="I90" s="23" t="s">
        <v>958</v>
      </c>
      <c r="J90" s="6" t="s">
        <v>959</v>
      </c>
      <c r="K90" s="11">
        <f t="shared" si="8"/>
        <v>2750000</v>
      </c>
      <c r="L90" s="147">
        <f t="shared" si="9"/>
        <v>-2750000</v>
      </c>
      <c r="M90" s="3"/>
    </row>
    <row r="91" spans="1:13" ht="30" customHeight="1" x14ac:dyDescent="0.2">
      <c r="A91" s="4">
        <v>67</v>
      </c>
      <c r="B91" s="3" t="s">
        <v>205</v>
      </c>
      <c r="C91" s="352"/>
      <c r="D91" s="11">
        <v>150000000</v>
      </c>
      <c r="E91" s="20">
        <v>0.05</v>
      </c>
      <c r="F91" s="11">
        <f t="shared" si="7"/>
        <v>7500000</v>
      </c>
      <c r="G91" s="11">
        <v>7500000</v>
      </c>
      <c r="H91" s="11" t="s">
        <v>702</v>
      </c>
      <c r="I91" s="23" t="s">
        <v>960</v>
      </c>
      <c r="J91" s="24" t="s">
        <v>961</v>
      </c>
      <c r="K91" s="11">
        <f t="shared" si="8"/>
        <v>7500000</v>
      </c>
      <c r="L91" s="11">
        <f t="shared" si="9"/>
        <v>0</v>
      </c>
      <c r="M91" s="3"/>
    </row>
    <row r="92" spans="1:13" ht="30" customHeight="1" x14ac:dyDescent="0.2">
      <c r="A92" s="4">
        <v>68</v>
      </c>
      <c r="B92" s="3" t="s">
        <v>206</v>
      </c>
      <c r="C92" s="352"/>
      <c r="D92" s="147"/>
      <c r="E92" s="44"/>
      <c r="F92" s="147">
        <f t="shared" si="7"/>
        <v>0</v>
      </c>
      <c r="G92" s="11">
        <v>9600000</v>
      </c>
      <c r="H92" s="11" t="s">
        <v>702</v>
      </c>
      <c r="I92" s="36" t="s">
        <v>962</v>
      </c>
      <c r="J92" s="24" t="s">
        <v>963</v>
      </c>
      <c r="K92" s="11">
        <f t="shared" si="8"/>
        <v>9600000</v>
      </c>
      <c r="L92" s="147">
        <f t="shared" si="9"/>
        <v>-9600000</v>
      </c>
      <c r="M92" s="3"/>
    </row>
    <row r="93" spans="1:13" ht="30" customHeight="1" x14ac:dyDescent="0.2">
      <c r="A93" s="4">
        <v>69</v>
      </c>
      <c r="B93" s="3" t="s">
        <v>207</v>
      </c>
      <c r="C93" s="352"/>
      <c r="D93" s="368">
        <v>100000000</v>
      </c>
      <c r="E93" s="20">
        <v>0.04</v>
      </c>
      <c r="F93" s="368">
        <f t="shared" si="7"/>
        <v>4000000</v>
      </c>
      <c r="G93" s="11">
        <v>4000000</v>
      </c>
      <c r="H93" s="11" t="s">
        <v>702</v>
      </c>
      <c r="I93" s="23" t="s">
        <v>964</v>
      </c>
      <c r="J93" s="88" t="s">
        <v>965</v>
      </c>
      <c r="K93" s="11">
        <f t="shared" si="8"/>
        <v>4000000</v>
      </c>
      <c r="L93" s="147">
        <f t="shared" si="9"/>
        <v>0</v>
      </c>
      <c r="M93" s="3"/>
    </row>
    <row r="94" spans="1:13" ht="30" customHeight="1" x14ac:dyDescent="0.2">
      <c r="A94" s="4">
        <v>70</v>
      </c>
      <c r="B94" s="3" t="s">
        <v>208</v>
      </c>
      <c r="C94" s="352" t="s">
        <v>971</v>
      </c>
      <c r="D94" s="11">
        <v>20000000</v>
      </c>
      <c r="E94" s="20">
        <v>0.05</v>
      </c>
      <c r="F94" s="11">
        <f t="shared" si="7"/>
        <v>1000000</v>
      </c>
      <c r="G94" s="11">
        <v>1000000</v>
      </c>
      <c r="H94" s="11" t="s">
        <v>769</v>
      </c>
      <c r="I94" s="23" t="s">
        <v>967</v>
      </c>
      <c r="J94" s="24" t="s">
        <v>968</v>
      </c>
      <c r="K94" s="11">
        <f t="shared" si="8"/>
        <v>1000000</v>
      </c>
      <c r="L94" s="11">
        <f t="shared" si="9"/>
        <v>0</v>
      </c>
      <c r="M94" s="3"/>
    </row>
    <row r="95" spans="1:13" ht="30" customHeight="1" x14ac:dyDescent="0.2">
      <c r="A95" s="4">
        <v>71</v>
      </c>
      <c r="B95" s="3" t="s">
        <v>1053</v>
      </c>
      <c r="C95" s="352"/>
      <c r="D95" s="147">
        <v>1000000000</v>
      </c>
      <c r="E95" s="44">
        <v>5.5E-2</v>
      </c>
      <c r="F95" s="147">
        <f t="shared" si="7"/>
        <v>55000000</v>
      </c>
      <c r="G95" s="11">
        <v>50000000</v>
      </c>
      <c r="H95" s="11" t="s">
        <v>769</v>
      </c>
      <c r="I95" s="152" t="s">
        <v>969</v>
      </c>
      <c r="J95" s="24" t="s">
        <v>970</v>
      </c>
      <c r="K95" s="11">
        <f t="shared" si="8"/>
        <v>50000000</v>
      </c>
      <c r="L95" s="147">
        <f t="shared" si="9"/>
        <v>5000000</v>
      </c>
      <c r="M95" s="3"/>
    </row>
    <row r="96" spans="1:13" ht="30" customHeight="1" x14ac:dyDescent="0.2">
      <c r="A96" s="4">
        <v>72</v>
      </c>
      <c r="B96" s="3" t="s">
        <v>209</v>
      </c>
      <c r="C96" s="352" t="s">
        <v>1348</v>
      </c>
      <c r="D96" s="11">
        <v>20000000</v>
      </c>
      <c r="E96" s="20">
        <v>0.05</v>
      </c>
      <c r="F96" s="11">
        <f t="shared" si="7"/>
        <v>1000000</v>
      </c>
      <c r="G96" s="11">
        <v>1000000</v>
      </c>
      <c r="H96" s="11" t="s">
        <v>769</v>
      </c>
      <c r="I96" s="23" t="s">
        <v>972</v>
      </c>
      <c r="J96" s="24" t="s">
        <v>973</v>
      </c>
      <c r="K96" s="11">
        <f t="shared" si="8"/>
        <v>1000000</v>
      </c>
      <c r="L96" s="11">
        <f t="shared" si="9"/>
        <v>0</v>
      </c>
      <c r="M96" s="3"/>
    </row>
    <row r="97" spans="1:13" ht="30" customHeight="1" x14ac:dyDescent="0.2">
      <c r="A97" s="4">
        <v>73</v>
      </c>
      <c r="B97" s="3" t="s">
        <v>210</v>
      </c>
      <c r="C97" s="352"/>
      <c r="D97" s="11">
        <v>125000000</v>
      </c>
      <c r="E97" s="20">
        <v>0.04</v>
      </c>
      <c r="F97" s="11">
        <f t="shared" si="7"/>
        <v>5000000</v>
      </c>
      <c r="G97" s="11">
        <v>5000000</v>
      </c>
      <c r="H97" s="11" t="s">
        <v>769</v>
      </c>
      <c r="I97" s="23" t="s">
        <v>974</v>
      </c>
      <c r="J97" s="24" t="s">
        <v>975</v>
      </c>
      <c r="K97" s="11">
        <f t="shared" si="8"/>
        <v>5000000</v>
      </c>
      <c r="L97" s="11">
        <f t="shared" si="9"/>
        <v>0</v>
      </c>
      <c r="M97" s="3"/>
    </row>
    <row r="98" spans="1:13" ht="30" customHeight="1" x14ac:dyDescent="0.2">
      <c r="A98" s="4">
        <v>74</v>
      </c>
      <c r="B98" s="3" t="s">
        <v>211</v>
      </c>
      <c r="C98" s="352"/>
      <c r="D98" s="11">
        <v>50000000</v>
      </c>
      <c r="E98" s="20">
        <v>0.05</v>
      </c>
      <c r="F98" s="11">
        <f t="shared" si="7"/>
        <v>2500000</v>
      </c>
      <c r="G98" s="11">
        <v>2500000</v>
      </c>
      <c r="H98" s="11" t="s">
        <v>769</v>
      </c>
      <c r="I98" s="23" t="s">
        <v>976</v>
      </c>
      <c r="J98" s="24" t="s">
        <v>977</v>
      </c>
      <c r="K98" s="11">
        <f t="shared" si="8"/>
        <v>2500000</v>
      </c>
      <c r="L98" s="11">
        <f t="shared" si="9"/>
        <v>0</v>
      </c>
      <c r="M98" s="3"/>
    </row>
    <row r="99" spans="1:13" ht="30" customHeight="1" x14ac:dyDescent="0.2">
      <c r="A99" s="4">
        <v>75</v>
      </c>
      <c r="B99" s="3" t="s">
        <v>212</v>
      </c>
      <c r="C99" s="352"/>
      <c r="D99" s="11">
        <v>100000000</v>
      </c>
      <c r="E99" s="20">
        <v>0.05</v>
      </c>
      <c r="F99" s="11">
        <f t="shared" si="7"/>
        <v>5000000</v>
      </c>
      <c r="G99" s="11">
        <v>5000000</v>
      </c>
      <c r="H99" s="11" t="s">
        <v>769</v>
      </c>
      <c r="I99" s="23" t="s">
        <v>978</v>
      </c>
      <c r="J99" s="24" t="s">
        <v>979</v>
      </c>
      <c r="K99" s="11">
        <f t="shared" si="8"/>
        <v>5000000</v>
      </c>
      <c r="L99" s="11">
        <f t="shared" si="9"/>
        <v>0</v>
      </c>
      <c r="M99" s="3"/>
    </row>
    <row r="100" spans="1:13" ht="30" customHeight="1" x14ac:dyDescent="0.2">
      <c r="A100" s="2031">
        <v>76</v>
      </c>
      <c r="B100" s="2074" t="s">
        <v>213</v>
      </c>
      <c r="C100" s="2149"/>
      <c r="D100" s="11">
        <v>30000000</v>
      </c>
      <c r="E100" s="20">
        <v>7.0000000000000007E-2</v>
      </c>
      <c r="F100" s="147">
        <f t="shared" si="7"/>
        <v>2100000</v>
      </c>
      <c r="G100" s="174">
        <v>1900000</v>
      </c>
      <c r="H100" s="2040" t="s">
        <v>769</v>
      </c>
      <c r="I100" s="2159" t="s">
        <v>980</v>
      </c>
      <c r="J100" s="2119" t="s">
        <v>981</v>
      </c>
      <c r="K100" s="2040">
        <f t="shared" si="8"/>
        <v>1900000</v>
      </c>
      <c r="L100" s="2080">
        <f>F100-K100</f>
        <v>200000</v>
      </c>
      <c r="M100" s="3"/>
    </row>
    <row r="101" spans="1:13" ht="30" customHeight="1" x14ac:dyDescent="0.2">
      <c r="A101" s="2032"/>
      <c r="B101" s="2075"/>
      <c r="C101" s="2150"/>
      <c r="D101" s="144">
        <v>35000000</v>
      </c>
      <c r="E101" s="20">
        <v>4.4999999999999998E-2</v>
      </c>
      <c r="F101" s="144">
        <f t="shared" si="7"/>
        <v>1575000</v>
      </c>
      <c r="G101" s="175" t="s">
        <v>982</v>
      </c>
      <c r="H101" s="2042"/>
      <c r="I101" s="2160"/>
      <c r="J101" s="2120"/>
      <c r="K101" s="2042"/>
      <c r="L101" s="2081"/>
      <c r="M101" s="3"/>
    </row>
    <row r="102" spans="1:13" ht="30" customHeight="1" x14ac:dyDescent="0.2">
      <c r="A102" s="4">
        <v>77</v>
      </c>
      <c r="B102" s="3" t="s">
        <v>214</v>
      </c>
      <c r="C102" s="352"/>
      <c r="D102" s="147"/>
      <c r="E102" s="44"/>
      <c r="F102" s="147">
        <f t="shared" si="7"/>
        <v>0</v>
      </c>
      <c r="G102" s="11">
        <v>1900000</v>
      </c>
      <c r="H102" s="11" t="s">
        <v>769</v>
      </c>
      <c r="I102" s="23" t="s">
        <v>983</v>
      </c>
      <c r="J102" s="88" t="s">
        <v>984</v>
      </c>
      <c r="K102" s="11">
        <f t="shared" si="8"/>
        <v>1900000</v>
      </c>
      <c r="L102" s="147">
        <f t="shared" si="9"/>
        <v>-1900000</v>
      </c>
      <c r="M102" s="3"/>
    </row>
    <row r="103" spans="1:13" ht="30" customHeight="1" x14ac:dyDescent="0.2">
      <c r="A103" s="4">
        <v>78</v>
      </c>
      <c r="B103" s="3" t="s">
        <v>215</v>
      </c>
      <c r="C103" s="352"/>
      <c r="D103" s="11">
        <v>15000000</v>
      </c>
      <c r="E103" s="20">
        <v>4.4999999999999998E-2</v>
      </c>
      <c r="F103" s="11">
        <f t="shared" si="7"/>
        <v>675000</v>
      </c>
      <c r="G103" s="11">
        <v>675000</v>
      </c>
      <c r="H103" s="11" t="s">
        <v>769</v>
      </c>
      <c r="I103" s="23" t="s">
        <v>985</v>
      </c>
      <c r="J103" s="24" t="s">
        <v>986</v>
      </c>
      <c r="K103" s="11">
        <f t="shared" si="8"/>
        <v>675000</v>
      </c>
      <c r="L103" s="11">
        <f t="shared" si="9"/>
        <v>0</v>
      </c>
      <c r="M103" s="3"/>
    </row>
    <row r="104" spans="1:13" ht="30" customHeight="1" x14ac:dyDescent="0.2">
      <c r="A104" s="4">
        <v>79</v>
      </c>
      <c r="B104" s="3" t="s">
        <v>185</v>
      </c>
      <c r="C104" s="352"/>
      <c r="D104" s="147"/>
      <c r="E104" s="44"/>
      <c r="F104" s="147">
        <f t="shared" si="7"/>
        <v>0</v>
      </c>
      <c r="G104" s="11">
        <v>4750000</v>
      </c>
      <c r="H104" s="11" t="s">
        <v>769</v>
      </c>
      <c r="I104" s="23" t="s">
        <v>988</v>
      </c>
      <c r="J104" s="6" t="s">
        <v>989</v>
      </c>
      <c r="K104" s="11">
        <f t="shared" si="8"/>
        <v>4750000</v>
      </c>
      <c r="L104" s="147">
        <f t="shared" si="9"/>
        <v>-4750000</v>
      </c>
      <c r="M104" s="3"/>
    </row>
    <row r="105" spans="1:13" ht="30" customHeight="1" x14ac:dyDescent="0.2">
      <c r="A105" s="4">
        <v>80</v>
      </c>
      <c r="B105" s="3" t="s">
        <v>216</v>
      </c>
      <c r="C105" s="352"/>
      <c r="D105" s="147"/>
      <c r="E105" s="44"/>
      <c r="F105" s="147">
        <f t="shared" si="7"/>
        <v>0</v>
      </c>
      <c r="G105" s="11">
        <v>200000</v>
      </c>
      <c r="H105" s="11" t="s">
        <v>769</v>
      </c>
      <c r="I105" s="23" t="s">
        <v>990</v>
      </c>
      <c r="J105" s="24" t="s">
        <v>991</v>
      </c>
      <c r="K105" s="11">
        <f t="shared" si="8"/>
        <v>200000</v>
      </c>
      <c r="L105" s="147">
        <f t="shared" si="9"/>
        <v>-200000</v>
      </c>
      <c r="M105" s="3"/>
    </row>
    <row r="106" spans="1:13" ht="30" customHeight="1" x14ac:dyDescent="0.2">
      <c r="A106" s="4">
        <v>81</v>
      </c>
      <c r="B106" s="3" t="s">
        <v>217</v>
      </c>
      <c r="C106" s="352"/>
      <c r="D106" s="11">
        <v>16000000</v>
      </c>
      <c r="E106" s="20">
        <v>0.05</v>
      </c>
      <c r="F106" s="11">
        <f t="shared" si="7"/>
        <v>800000</v>
      </c>
      <c r="G106" s="11">
        <v>800000</v>
      </c>
      <c r="H106" s="11" t="s">
        <v>769</v>
      </c>
      <c r="I106" s="23" t="s">
        <v>992</v>
      </c>
      <c r="J106" s="88" t="s">
        <v>993</v>
      </c>
      <c r="K106" s="11">
        <f t="shared" si="8"/>
        <v>800000</v>
      </c>
      <c r="L106" s="11">
        <f t="shared" si="9"/>
        <v>0</v>
      </c>
      <c r="M106" s="3"/>
    </row>
    <row r="107" spans="1:13" ht="30" customHeight="1" x14ac:dyDescent="0.2">
      <c r="A107" s="4">
        <v>82</v>
      </c>
      <c r="B107" s="3" t="s">
        <v>218</v>
      </c>
      <c r="C107" s="352"/>
      <c r="D107" s="11">
        <v>200000000</v>
      </c>
      <c r="E107" s="20">
        <v>0.05</v>
      </c>
      <c r="F107" s="11">
        <f t="shared" si="7"/>
        <v>10000000</v>
      </c>
      <c r="G107" s="11">
        <v>10000000</v>
      </c>
      <c r="H107" s="11" t="s">
        <v>769</v>
      </c>
      <c r="I107" s="23" t="s">
        <v>994</v>
      </c>
      <c r="J107" s="6" t="s">
        <v>995</v>
      </c>
      <c r="K107" s="11">
        <f t="shared" si="8"/>
        <v>10000000</v>
      </c>
      <c r="L107" s="11">
        <f t="shared" si="9"/>
        <v>0</v>
      </c>
      <c r="M107" s="3" t="s">
        <v>1534</v>
      </c>
    </row>
    <row r="108" spans="1:13" ht="30" customHeight="1" x14ac:dyDescent="0.2">
      <c r="A108" s="4">
        <v>83</v>
      </c>
      <c r="B108" s="3" t="s">
        <v>219</v>
      </c>
      <c r="C108" s="352"/>
      <c r="D108" s="147"/>
      <c r="E108" s="44"/>
      <c r="F108" s="147">
        <f t="shared" si="7"/>
        <v>0</v>
      </c>
      <c r="G108" s="11">
        <v>24400000</v>
      </c>
      <c r="H108" s="11" t="s">
        <v>769</v>
      </c>
      <c r="I108" s="23" t="s">
        <v>996</v>
      </c>
      <c r="J108" s="88" t="s">
        <v>997</v>
      </c>
      <c r="K108" s="11">
        <f t="shared" si="8"/>
        <v>24400000</v>
      </c>
      <c r="L108" s="147">
        <f t="shared" si="9"/>
        <v>-24400000</v>
      </c>
      <c r="M108" s="3"/>
    </row>
    <row r="109" spans="1:13" ht="30" customHeight="1" x14ac:dyDescent="0.2">
      <c r="A109" s="2031">
        <v>84</v>
      </c>
      <c r="B109" s="2074" t="s">
        <v>1004</v>
      </c>
      <c r="C109" s="2149"/>
      <c r="D109" s="144">
        <v>200000000</v>
      </c>
      <c r="E109" s="20">
        <v>0.06</v>
      </c>
      <c r="F109" s="144">
        <f t="shared" si="7"/>
        <v>12000000</v>
      </c>
      <c r="G109" s="2040">
        <v>35600000</v>
      </c>
      <c r="H109" s="2040" t="s">
        <v>769</v>
      </c>
      <c r="I109" s="2159" t="s">
        <v>998</v>
      </c>
      <c r="J109" s="2171" t="s">
        <v>999</v>
      </c>
      <c r="K109" s="2040">
        <f t="shared" si="8"/>
        <v>35600000</v>
      </c>
      <c r="L109" s="2040">
        <f>(F109+F110+F111)-K109</f>
        <v>0</v>
      </c>
      <c r="M109" s="2029" t="s">
        <v>79</v>
      </c>
    </row>
    <row r="110" spans="1:13" ht="30" customHeight="1" x14ac:dyDescent="0.2">
      <c r="A110" s="2034"/>
      <c r="B110" s="2110"/>
      <c r="C110" s="2158"/>
      <c r="D110" s="144">
        <v>458000000</v>
      </c>
      <c r="E110" s="20">
        <v>0.05</v>
      </c>
      <c r="F110" s="144">
        <f t="shared" si="7"/>
        <v>22900000</v>
      </c>
      <c r="G110" s="2041"/>
      <c r="H110" s="2041"/>
      <c r="I110" s="2170"/>
      <c r="J110" s="2172"/>
      <c r="K110" s="2041"/>
      <c r="L110" s="2041"/>
      <c r="M110" s="2033"/>
    </row>
    <row r="111" spans="1:13" ht="30" customHeight="1" x14ac:dyDescent="0.2">
      <c r="A111" s="2032"/>
      <c r="B111" s="2075"/>
      <c r="C111" s="2150"/>
      <c r="D111" s="1631">
        <v>10000000</v>
      </c>
      <c r="E111" s="1634">
        <v>7.0000000000000007E-2</v>
      </c>
      <c r="F111" s="1631">
        <f t="shared" si="7"/>
        <v>700000.00000000012</v>
      </c>
      <c r="G111" s="2042"/>
      <c r="H111" s="2042"/>
      <c r="I111" s="2160"/>
      <c r="J111" s="2173"/>
      <c r="K111" s="2042"/>
      <c r="L111" s="2042"/>
      <c r="M111" s="2030"/>
    </row>
    <row r="112" spans="1:13" ht="30" customHeight="1" x14ac:dyDescent="0.2">
      <c r="A112" s="4">
        <v>85</v>
      </c>
      <c r="B112" s="3" t="s">
        <v>220</v>
      </c>
      <c r="C112" s="352"/>
      <c r="D112" s="1631">
        <v>100000000</v>
      </c>
      <c r="E112" s="1634">
        <v>0.05</v>
      </c>
      <c r="F112" s="1631">
        <f t="shared" si="7"/>
        <v>5000000</v>
      </c>
      <c r="G112" s="11">
        <v>5000000</v>
      </c>
      <c r="H112" s="11" t="s">
        <v>769</v>
      </c>
      <c r="I112" s="23" t="s">
        <v>1000</v>
      </c>
      <c r="J112" s="6" t="s">
        <v>1001</v>
      </c>
      <c r="K112" s="11">
        <f t="shared" si="8"/>
        <v>5000000</v>
      </c>
      <c r="L112" s="147">
        <f t="shared" si="9"/>
        <v>0</v>
      </c>
      <c r="M112" s="3"/>
    </row>
    <row r="113" spans="1:13" ht="30" customHeight="1" x14ac:dyDescent="0.2">
      <c r="A113" s="2031">
        <v>86</v>
      </c>
      <c r="B113" s="2074" t="s">
        <v>177</v>
      </c>
      <c r="C113" s="2149"/>
      <c r="D113" s="111">
        <v>160000000</v>
      </c>
      <c r="E113" s="20">
        <v>0.05</v>
      </c>
      <c r="F113" s="111">
        <f t="shared" si="7"/>
        <v>8000000</v>
      </c>
      <c r="G113" s="11">
        <v>1500000</v>
      </c>
      <c r="H113" s="11" t="s">
        <v>594</v>
      </c>
      <c r="I113" s="23" t="s">
        <v>611</v>
      </c>
      <c r="J113" s="88" t="s">
        <v>612</v>
      </c>
      <c r="K113" s="2040">
        <f>G113+G114</f>
        <v>21500000</v>
      </c>
      <c r="L113" s="2080">
        <f>(F113+F114)-K113</f>
        <v>500000</v>
      </c>
      <c r="M113" s="91" t="s">
        <v>633</v>
      </c>
    </row>
    <row r="114" spans="1:13" ht="30" customHeight="1" x14ac:dyDescent="0.2">
      <c r="A114" s="2032"/>
      <c r="B114" s="2075"/>
      <c r="C114" s="2150"/>
      <c r="D114" s="111">
        <v>200000000</v>
      </c>
      <c r="E114" s="20">
        <v>7.0000000000000007E-2</v>
      </c>
      <c r="F114" s="111">
        <f t="shared" si="7"/>
        <v>14000000.000000002</v>
      </c>
      <c r="G114" s="111">
        <v>20000000</v>
      </c>
      <c r="H114" s="111" t="s">
        <v>769</v>
      </c>
      <c r="I114" s="36" t="s">
        <v>1002</v>
      </c>
      <c r="J114" s="122" t="s">
        <v>1003</v>
      </c>
      <c r="K114" s="2042"/>
      <c r="L114" s="2081"/>
      <c r="M114" s="91"/>
    </row>
    <row r="115" spans="1:13" ht="30" customHeight="1" x14ac:dyDescent="0.2">
      <c r="A115" s="4">
        <v>87</v>
      </c>
      <c r="B115" s="3" t="s">
        <v>221</v>
      </c>
      <c r="C115" s="352" t="s">
        <v>1350</v>
      </c>
      <c r="D115" s="119">
        <v>45000000</v>
      </c>
      <c r="E115" s="20">
        <v>0.04</v>
      </c>
      <c r="F115" s="119">
        <v>2050000</v>
      </c>
      <c r="G115" s="11">
        <v>2050000</v>
      </c>
      <c r="H115" s="11" t="s">
        <v>777</v>
      </c>
      <c r="I115" s="23" t="s">
        <v>778</v>
      </c>
      <c r="J115" s="21" t="s">
        <v>779</v>
      </c>
      <c r="K115" s="11">
        <f t="shared" si="8"/>
        <v>2050000</v>
      </c>
      <c r="L115" s="119">
        <f t="shared" si="9"/>
        <v>0</v>
      </c>
      <c r="M115" s="3"/>
    </row>
    <row r="116" spans="1:13" ht="30" customHeight="1" x14ac:dyDescent="0.2">
      <c r="A116" s="2031">
        <v>88</v>
      </c>
      <c r="B116" s="2074" t="s">
        <v>222</v>
      </c>
      <c r="C116" s="2149"/>
      <c r="D116" s="6">
        <v>93000000</v>
      </c>
      <c r="E116" s="20">
        <v>7.0000000000000007E-2</v>
      </c>
      <c r="F116" s="6">
        <v>6500000</v>
      </c>
      <c r="G116" s="11">
        <v>20000000</v>
      </c>
      <c r="H116" s="11" t="s">
        <v>777</v>
      </c>
      <c r="I116" s="36" t="s">
        <v>780</v>
      </c>
      <c r="J116" s="24" t="s">
        <v>781</v>
      </c>
      <c r="K116" s="2040">
        <f>G116+G117</f>
        <v>22500000</v>
      </c>
      <c r="L116" s="2040">
        <f>(F116+F117)-K116</f>
        <v>0</v>
      </c>
      <c r="M116" s="3"/>
    </row>
    <row r="117" spans="1:13" ht="30" customHeight="1" x14ac:dyDescent="0.2">
      <c r="A117" s="2032"/>
      <c r="B117" s="2075"/>
      <c r="C117" s="2150"/>
      <c r="D117" s="119">
        <v>257000000</v>
      </c>
      <c r="E117" s="20">
        <v>0.06</v>
      </c>
      <c r="F117" s="6">
        <v>16000000</v>
      </c>
      <c r="G117" s="119">
        <v>2500000</v>
      </c>
      <c r="H117" s="119" t="s">
        <v>777</v>
      </c>
      <c r="I117" s="121" t="s">
        <v>782</v>
      </c>
      <c r="J117" s="24" t="s">
        <v>783</v>
      </c>
      <c r="K117" s="2042"/>
      <c r="L117" s="2042"/>
      <c r="M117" s="3"/>
    </row>
    <row r="118" spans="1:13" ht="30" customHeight="1" x14ac:dyDescent="0.2">
      <c r="A118" s="2031">
        <v>89</v>
      </c>
      <c r="B118" s="2074" t="s">
        <v>223</v>
      </c>
      <c r="C118" s="2149"/>
      <c r="D118" s="123">
        <v>130000000</v>
      </c>
      <c r="E118" s="20">
        <v>7.0000000000000007E-2</v>
      </c>
      <c r="F118" s="11">
        <f>D118*E118</f>
        <v>9100000</v>
      </c>
      <c r="G118" s="2040">
        <v>14460000</v>
      </c>
      <c r="H118" s="2040" t="s">
        <v>777</v>
      </c>
      <c r="I118" s="2175" t="s">
        <v>784</v>
      </c>
      <c r="J118" s="2128" t="s">
        <v>785</v>
      </c>
      <c r="K118" s="2040">
        <f t="shared" si="8"/>
        <v>14460000</v>
      </c>
      <c r="L118" s="2040">
        <f>(F118+F119)-K118</f>
        <v>0</v>
      </c>
      <c r="M118" s="2031"/>
    </row>
    <row r="119" spans="1:13" ht="30" customHeight="1" x14ac:dyDescent="0.2">
      <c r="A119" s="2032"/>
      <c r="B119" s="2075"/>
      <c r="C119" s="2150"/>
      <c r="D119" s="123">
        <v>100000000</v>
      </c>
      <c r="E119" s="20">
        <v>5.3999999999999999E-2</v>
      </c>
      <c r="F119" s="123">
        <v>5360000</v>
      </c>
      <c r="G119" s="2042"/>
      <c r="H119" s="2042"/>
      <c r="I119" s="2176"/>
      <c r="J119" s="2129"/>
      <c r="K119" s="2042"/>
      <c r="L119" s="2042"/>
      <c r="M119" s="2032"/>
    </row>
    <row r="120" spans="1:13" ht="30" customHeight="1" x14ac:dyDescent="0.2">
      <c r="A120" s="4">
        <v>90</v>
      </c>
      <c r="B120" s="3" t="s">
        <v>224</v>
      </c>
      <c r="C120" s="352"/>
      <c r="D120" s="11">
        <v>50000000</v>
      </c>
      <c r="E120" s="20">
        <v>0.04</v>
      </c>
      <c r="F120" s="11">
        <f t="shared" si="7"/>
        <v>2000000</v>
      </c>
      <c r="G120" s="11">
        <v>2000000</v>
      </c>
      <c r="H120" s="11" t="s">
        <v>777</v>
      </c>
      <c r="I120" s="23" t="s">
        <v>786</v>
      </c>
      <c r="J120" s="21" t="s">
        <v>787</v>
      </c>
      <c r="K120" s="11">
        <f t="shared" si="8"/>
        <v>2000000</v>
      </c>
      <c r="L120" s="11">
        <f t="shared" si="9"/>
        <v>0</v>
      </c>
      <c r="M120" s="3"/>
    </row>
    <row r="121" spans="1:13" ht="30" customHeight="1" x14ac:dyDescent="0.2">
      <c r="A121" s="2031">
        <v>91</v>
      </c>
      <c r="B121" s="2074" t="s">
        <v>770</v>
      </c>
      <c r="C121" s="2149"/>
      <c r="D121" s="2080"/>
      <c r="E121" s="2082"/>
      <c r="F121" s="2080">
        <f t="shared" si="7"/>
        <v>0</v>
      </c>
      <c r="G121" s="11">
        <v>14910000</v>
      </c>
      <c r="H121" s="11" t="s">
        <v>676</v>
      </c>
      <c r="I121" s="125" t="s">
        <v>711</v>
      </c>
      <c r="J121" s="24" t="s">
        <v>712</v>
      </c>
      <c r="K121" s="2040">
        <f>G121+G122</f>
        <v>38470000</v>
      </c>
      <c r="L121" s="2080">
        <f t="shared" si="9"/>
        <v>-38470000</v>
      </c>
      <c r="M121" s="3"/>
    </row>
    <row r="122" spans="1:13" ht="30" customHeight="1" x14ac:dyDescent="0.2">
      <c r="A122" s="2032"/>
      <c r="B122" s="2075"/>
      <c r="C122" s="2150"/>
      <c r="D122" s="2081"/>
      <c r="E122" s="2083"/>
      <c r="F122" s="2081"/>
      <c r="G122" s="123">
        <v>23560000</v>
      </c>
      <c r="H122" s="123" t="s">
        <v>824</v>
      </c>
      <c r="I122" s="125" t="s">
        <v>825</v>
      </c>
      <c r="J122" s="24" t="s">
        <v>826</v>
      </c>
      <c r="K122" s="2042"/>
      <c r="L122" s="2081"/>
      <c r="M122" s="3"/>
    </row>
    <row r="123" spans="1:13" ht="30" customHeight="1" x14ac:dyDescent="0.2">
      <c r="A123" s="2031">
        <v>92</v>
      </c>
      <c r="B123" s="2074" t="s">
        <v>225</v>
      </c>
      <c r="C123" s="2149"/>
      <c r="D123" s="11">
        <v>300000000</v>
      </c>
      <c r="E123" s="20">
        <v>5.5E-2</v>
      </c>
      <c r="F123" s="11">
        <f t="shared" si="7"/>
        <v>16500000</v>
      </c>
      <c r="G123" s="11">
        <v>16500000</v>
      </c>
      <c r="H123" s="11" t="s">
        <v>777</v>
      </c>
      <c r="I123" s="23" t="s">
        <v>805</v>
      </c>
      <c r="J123" s="24" t="s">
        <v>806</v>
      </c>
      <c r="K123" s="11">
        <f t="shared" si="8"/>
        <v>16500000</v>
      </c>
      <c r="L123" s="11">
        <f t="shared" si="9"/>
        <v>0</v>
      </c>
      <c r="M123" s="3"/>
    </row>
    <row r="124" spans="1:13" ht="30" customHeight="1" x14ac:dyDescent="0.2">
      <c r="A124" s="2032"/>
      <c r="B124" s="2075"/>
      <c r="C124" s="2150"/>
      <c r="D124" s="311">
        <v>300000000</v>
      </c>
      <c r="E124" s="312">
        <v>5.5E-2</v>
      </c>
      <c r="F124" s="311">
        <v>16500000</v>
      </c>
      <c r="G124" s="311">
        <v>16500000</v>
      </c>
      <c r="H124" s="311" t="s">
        <v>1297</v>
      </c>
      <c r="I124" s="313" t="s">
        <v>1300</v>
      </c>
      <c r="J124" s="314" t="s">
        <v>1301</v>
      </c>
      <c r="K124" s="311">
        <f>G124</f>
        <v>16500000</v>
      </c>
      <c r="L124" s="311">
        <f t="shared" si="9"/>
        <v>0</v>
      </c>
      <c r="M124" s="3"/>
    </row>
    <row r="125" spans="1:13" ht="30" customHeight="1" x14ac:dyDescent="0.2">
      <c r="A125" s="4">
        <v>93</v>
      </c>
      <c r="B125" s="3" t="s">
        <v>1182</v>
      </c>
      <c r="C125" s="352"/>
      <c r="D125" s="250">
        <v>25000000</v>
      </c>
      <c r="E125" s="44"/>
      <c r="F125" s="252"/>
      <c r="G125" s="250">
        <v>600000</v>
      </c>
      <c r="H125" s="250" t="s">
        <v>1177</v>
      </c>
      <c r="I125" s="254" t="s">
        <v>1183</v>
      </c>
      <c r="J125" s="24" t="s">
        <v>1184</v>
      </c>
      <c r="K125" s="250">
        <f>G125</f>
        <v>600000</v>
      </c>
      <c r="L125" s="252">
        <f>F125-K125</f>
        <v>-600000</v>
      </c>
      <c r="M125" s="3"/>
    </row>
    <row r="126" spans="1:13" ht="30" customHeight="1" x14ac:dyDescent="0.2">
      <c r="A126" s="4">
        <v>94</v>
      </c>
      <c r="B126" s="340" t="s">
        <v>226</v>
      </c>
      <c r="C126" s="352"/>
      <c r="D126" s="343">
        <v>100000000</v>
      </c>
      <c r="E126" s="344">
        <v>0.05</v>
      </c>
      <c r="F126" s="343">
        <f t="shared" si="7"/>
        <v>5000000</v>
      </c>
      <c r="G126" s="343">
        <v>5000000</v>
      </c>
      <c r="H126" s="343" t="s">
        <v>777</v>
      </c>
      <c r="I126" s="345" t="s">
        <v>789</v>
      </c>
      <c r="J126" s="346">
        <v>6969268910</v>
      </c>
      <c r="K126" s="343">
        <f t="shared" si="8"/>
        <v>5000000</v>
      </c>
      <c r="L126" s="343">
        <f t="shared" si="9"/>
        <v>0</v>
      </c>
      <c r="M126" s="3"/>
    </row>
    <row r="127" spans="1:13" ht="30" customHeight="1" x14ac:dyDescent="0.2">
      <c r="A127" s="4">
        <v>95</v>
      </c>
      <c r="B127" s="3" t="s">
        <v>227</v>
      </c>
      <c r="C127" s="352"/>
      <c r="D127" s="11">
        <v>70000000</v>
      </c>
      <c r="E127" s="20">
        <v>0.05</v>
      </c>
      <c r="F127" s="11">
        <f t="shared" si="7"/>
        <v>3500000</v>
      </c>
      <c r="G127" s="11">
        <v>3500000</v>
      </c>
      <c r="H127" s="11" t="s">
        <v>777</v>
      </c>
      <c r="I127" s="23" t="s">
        <v>807</v>
      </c>
      <c r="J127" s="6" t="s">
        <v>808</v>
      </c>
      <c r="K127" s="11">
        <f t="shared" si="8"/>
        <v>3500000</v>
      </c>
      <c r="L127" s="11">
        <f t="shared" si="9"/>
        <v>0</v>
      </c>
      <c r="M127" s="3"/>
    </row>
    <row r="128" spans="1:13" ht="30" customHeight="1" x14ac:dyDescent="0.2">
      <c r="A128" s="4">
        <v>96</v>
      </c>
      <c r="B128" s="3" t="s">
        <v>228</v>
      </c>
      <c r="C128" s="352"/>
      <c r="D128" s="11">
        <v>100000000</v>
      </c>
      <c r="E128" s="20">
        <v>0.04</v>
      </c>
      <c r="F128" s="11">
        <f t="shared" si="7"/>
        <v>4000000</v>
      </c>
      <c r="G128" s="11">
        <v>4000000</v>
      </c>
      <c r="H128" s="11" t="s">
        <v>777</v>
      </c>
      <c r="I128" s="23" t="s">
        <v>809</v>
      </c>
      <c r="J128" s="24" t="s">
        <v>810</v>
      </c>
      <c r="K128" s="11">
        <f t="shared" si="8"/>
        <v>4000000</v>
      </c>
      <c r="L128" s="11">
        <f t="shared" si="9"/>
        <v>0</v>
      </c>
      <c r="M128" s="3"/>
    </row>
    <row r="129" spans="1:13" ht="30" customHeight="1" x14ac:dyDescent="0.2">
      <c r="A129" s="4">
        <v>97</v>
      </c>
      <c r="B129" s="3" t="s">
        <v>229</v>
      </c>
      <c r="C129" s="352"/>
      <c r="D129" s="11">
        <v>20000000</v>
      </c>
      <c r="E129" s="20">
        <v>0.05</v>
      </c>
      <c r="F129" s="11">
        <f t="shared" si="7"/>
        <v>1000000</v>
      </c>
      <c r="G129" s="11">
        <v>1000000</v>
      </c>
      <c r="H129" s="11" t="s">
        <v>777</v>
      </c>
      <c r="I129" s="23" t="s">
        <v>811</v>
      </c>
      <c r="J129" s="6" t="s">
        <v>812</v>
      </c>
      <c r="K129" s="11">
        <f t="shared" si="8"/>
        <v>1000000</v>
      </c>
      <c r="L129" s="11">
        <f t="shared" si="9"/>
        <v>0</v>
      </c>
      <c r="M129" s="3"/>
    </row>
    <row r="130" spans="1:13" ht="30" customHeight="1" x14ac:dyDescent="0.2">
      <c r="A130" s="4">
        <v>98</v>
      </c>
      <c r="B130" s="3" t="s">
        <v>230</v>
      </c>
      <c r="C130" s="352" t="s">
        <v>1352</v>
      </c>
      <c r="D130" s="11">
        <v>100000000</v>
      </c>
      <c r="E130" s="20">
        <v>0.04</v>
      </c>
      <c r="F130" s="11">
        <f t="shared" si="7"/>
        <v>4000000</v>
      </c>
      <c r="G130" s="11">
        <v>4000000</v>
      </c>
      <c r="H130" s="11" t="s">
        <v>777</v>
      </c>
      <c r="I130" s="23" t="s">
        <v>813</v>
      </c>
      <c r="J130" s="88" t="s">
        <v>814</v>
      </c>
      <c r="K130" s="11">
        <f t="shared" si="8"/>
        <v>4000000</v>
      </c>
      <c r="L130" s="11">
        <f t="shared" si="9"/>
        <v>0</v>
      </c>
      <c r="M130" s="3"/>
    </row>
    <row r="131" spans="1:13" ht="30" customHeight="1" x14ac:dyDescent="0.2">
      <c r="A131" s="4">
        <v>99</v>
      </c>
      <c r="B131" s="3" t="s">
        <v>231</v>
      </c>
      <c r="C131" s="352"/>
      <c r="D131" s="120"/>
      <c r="E131" s="44"/>
      <c r="F131" s="120">
        <f t="shared" si="7"/>
        <v>0</v>
      </c>
      <c r="G131" s="11">
        <v>5100000</v>
      </c>
      <c r="H131" s="11" t="s">
        <v>777</v>
      </c>
      <c r="I131" s="23" t="s">
        <v>790</v>
      </c>
      <c r="J131" s="24" t="s">
        <v>791</v>
      </c>
      <c r="K131" s="11">
        <f t="shared" si="8"/>
        <v>5100000</v>
      </c>
      <c r="L131" s="120">
        <f t="shared" si="9"/>
        <v>-5100000</v>
      </c>
      <c r="M131" s="3"/>
    </row>
    <row r="132" spans="1:13" ht="30" customHeight="1" x14ac:dyDescent="0.2">
      <c r="A132" s="4">
        <v>100</v>
      </c>
      <c r="B132" s="3" t="s">
        <v>180</v>
      </c>
      <c r="C132" s="352"/>
      <c r="D132" s="11">
        <v>70000000</v>
      </c>
      <c r="E132" s="20">
        <v>0.05</v>
      </c>
      <c r="F132" s="11">
        <f t="shared" si="7"/>
        <v>3500000</v>
      </c>
      <c r="G132" s="11">
        <v>3500000</v>
      </c>
      <c r="H132" s="11" t="s">
        <v>777</v>
      </c>
      <c r="I132" s="23" t="s">
        <v>815</v>
      </c>
      <c r="J132" s="6" t="s">
        <v>816</v>
      </c>
      <c r="K132" s="11">
        <f t="shared" si="8"/>
        <v>3500000</v>
      </c>
      <c r="L132" s="11">
        <f t="shared" si="9"/>
        <v>0</v>
      </c>
      <c r="M132" s="3"/>
    </row>
    <row r="133" spans="1:13" ht="30" customHeight="1" x14ac:dyDescent="0.2">
      <c r="A133" s="2031">
        <v>101</v>
      </c>
      <c r="B133" s="2074" t="s">
        <v>232</v>
      </c>
      <c r="C133" s="2149"/>
      <c r="D133" s="119">
        <v>30000000</v>
      </c>
      <c r="E133" s="20">
        <v>0.05</v>
      </c>
      <c r="F133" s="119">
        <f t="shared" si="7"/>
        <v>1500000</v>
      </c>
      <c r="G133" s="11">
        <v>1500000</v>
      </c>
      <c r="H133" s="11" t="s">
        <v>453</v>
      </c>
      <c r="I133" s="23" t="s">
        <v>487</v>
      </c>
      <c r="J133" s="30" t="s">
        <v>488</v>
      </c>
      <c r="K133" s="11">
        <f t="shared" si="8"/>
        <v>1500000</v>
      </c>
      <c r="L133" s="64">
        <f t="shared" si="9"/>
        <v>0</v>
      </c>
      <c r="M133" s="3"/>
    </row>
    <row r="134" spans="1:13" ht="30" customHeight="1" x14ac:dyDescent="0.2">
      <c r="A134" s="2032"/>
      <c r="B134" s="2075"/>
      <c r="C134" s="2150"/>
      <c r="D134" s="119">
        <v>30000000</v>
      </c>
      <c r="E134" s="20">
        <v>4.4999999999999998E-2</v>
      </c>
      <c r="F134" s="119">
        <f t="shared" si="7"/>
        <v>1350000</v>
      </c>
      <c r="G134" s="119">
        <v>1350000</v>
      </c>
      <c r="H134" s="119" t="s">
        <v>777</v>
      </c>
      <c r="I134" s="121" t="s">
        <v>817</v>
      </c>
      <c r="J134" s="30" t="s">
        <v>488</v>
      </c>
      <c r="K134" s="119">
        <f t="shared" si="8"/>
        <v>1350000</v>
      </c>
      <c r="L134" s="120">
        <f t="shared" si="9"/>
        <v>0</v>
      </c>
      <c r="M134" s="3"/>
    </row>
    <row r="135" spans="1:13" ht="30" customHeight="1" x14ac:dyDescent="0.2">
      <c r="A135" s="4">
        <v>102</v>
      </c>
      <c r="B135" s="3" t="s">
        <v>233</v>
      </c>
      <c r="C135" s="352" t="s">
        <v>1215</v>
      </c>
      <c r="D135" s="259">
        <v>17000000</v>
      </c>
      <c r="E135" s="20">
        <v>5.5E-2</v>
      </c>
      <c r="F135" s="259">
        <v>950000</v>
      </c>
      <c r="G135" s="11">
        <v>950000</v>
      </c>
      <c r="H135" s="11" t="s">
        <v>777</v>
      </c>
      <c r="I135" s="23" t="s">
        <v>792</v>
      </c>
      <c r="J135" s="21" t="s">
        <v>793</v>
      </c>
      <c r="K135" s="11">
        <f t="shared" si="8"/>
        <v>950000</v>
      </c>
      <c r="L135" s="259">
        <f t="shared" si="9"/>
        <v>0</v>
      </c>
      <c r="M135" s="3"/>
    </row>
    <row r="136" spans="1:13" ht="30" customHeight="1" x14ac:dyDescent="0.2">
      <c r="A136" s="4">
        <v>103</v>
      </c>
      <c r="B136" s="3" t="s">
        <v>234</v>
      </c>
      <c r="C136" s="352"/>
      <c r="D136" s="11">
        <v>20000000</v>
      </c>
      <c r="E136" s="20">
        <v>0.05</v>
      </c>
      <c r="F136" s="11">
        <f t="shared" si="7"/>
        <v>1000000</v>
      </c>
      <c r="G136" s="11">
        <v>1000000</v>
      </c>
      <c r="H136" s="11" t="s">
        <v>777</v>
      </c>
      <c r="I136" s="23" t="s">
        <v>818</v>
      </c>
      <c r="J136" s="24" t="s">
        <v>819</v>
      </c>
      <c r="K136" s="11">
        <f t="shared" si="8"/>
        <v>1000000</v>
      </c>
      <c r="L136" s="11">
        <f t="shared" si="9"/>
        <v>0</v>
      </c>
      <c r="M136" s="3"/>
    </row>
    <row r="137" spans="1:13" ht="30" customHeight="1" x14ac:dyDescent="0.2">
      <c r="A137" s="4">
        <v>104</v>
      </c>
      <c r="B137" s="3" t="s">
        <v>235</v>
      </c>
      <c r="C137" s="352"/>
      <c r="D137" s="120"/>
      <c r="E137" s="44"/>
      <c r="F137" s="120">
        <f t="shared" ref="F137:F203" si="10">D137*E137</f>
        <v>0</v>
      </c>
      <c r="G137" s="11">
        <v>1900000</v>
      </c>
      <c r="H137" s="11" t="s">
        <v>777</v>
      </c>
      <c r="I137" s="23" t="s">
        <v>794</v>
      </c>
      <c r="J137" s="24" t="s">
        <v>795</v>
      </c>
      <c r="K137" s="11">
        <f t="shared" si="8"/>
        <v>1900000</v>
      </c>
      <c r="L137" s="120">
        <f t="shared" si="9"/>
        <v>-1900000</v>
      </c>
      <c r="M137" s="3"/>
    </row>
    <row r="138" spans="1:13" ht="30" customHeight="1" x14ac:dyDescent="0.2">
      <c r="A138" s="4">
        <v>105</v>
      </c>
      <c r="B138" s="3" t="s">
        <v>236</v>
      </c>
      <c r="C138" s="352"/>
      <c r="D138" s="11">
        <v>100000000</v>
      </c>
      <c r="E138" s="20">
        <v>0.04</v>
      </c>
      <c r="F138" s="11">
        <f t="shared" si="10"/>
        <v>4000000</v>
      </c>
      <c r="G138" s="11">
        <v>4000000</v>
      </c>
      <c r="H138" s="11" t="s">
        <v>777</v>
      </c>
      <c r="I138" s="23" t="s">
        <v>796</v>
      </c>
      <c r="J138" s="6" t="s">
        <v>797</v>
      </c>
      <c r="K138" s="11">
        <f t="shared" ref="K138:K204" si="11">G138</f>
        <v>4000000</v>
      </c>
      <c r="L138" s="11">
        <f t="shared" ref="L138:L204" si="12">F138-K138</f>
        <v>0</v>
      </c>
      <c r="M138" s="3"/>
    </row>
    <row r="139" spans="1:13" ht="30" customHeight="1" x14ac:dyDescent="0.2">
      <c r="A139" s="4">
        <v>106</v>
      </c>
      <c r="B139" s="3" t="s">
        <v>237</v>
      </c>
      <c r="C139" s="352"/>
      <c r="D139" s="11">
        <v>65000000</v>
      </c>
      <c r="E139" s="20">
        <v>3.4000000000000002E-2</v>
      </c>
      <c r="F139" s="11">
        <v>2200000</v>
      </c>
      <c r="G139" s="11">
        <v>2200000</v>
      </c>
      <c r="H139" s="11" t="s">
        <v>777</v>
      </c>
      <c r="I139" s="23" t="s">
        <v>820</v>
      </c>
      <c r="J139" s="6" t="s">
        <v>821</v>
      </c>
      <c r="K139" s="11">
        <f t="shared" si="11"/>
        <v>2200000</v>
      </c>
      <c r="L139" s="11">
        <f t="shared" si="12"/>
        <v>0</v>
      </c>
      <c r="M139" s="3"/>
    </row>
    <row r="140" spans="1:13" ht="30" customHeight="1" x14ac:dyDescent="0.2">
      <c r="A140" s="4">
        <v>107</v>
      </c>
      <c r="B140" s="3" t="s">
        <v>238</v>
      </c>
      <c r="C140" s="352"/>
      <c r="D140" s="120"/>
      <c r="E140" s="44"/>
      <c r="F140" s="120">
        <f t="shared" si="10"/>
        <v>0</v>
      </c>
      <c r="G140" s="11">
        <v>30000000</v>
      </c>
      <c r="H140" s="11" t="s">
        <v>777</v>
      </c>
      <c r="I140" s="23" t="s">
        <v>798</v>
      </c>
      <c r="J140" s="24" t="s">
        <v>799</v>
      </c>
      <c r="K140" s="11">
        <f t="shared" si="11"/>
        <v>30000000</v>
      </c>
      <c r="L140" s="120">
        <f t="shared" si="12"/>
        <v>-30000000</v>
      </c>
      <c r="M140" s="3"/>
    </row>
    <row r="141" spans="1:13" ht="30" customHeight="1" x14ac:dyDescent="0.2">
      <c r="A141" s="4">
        <v>108</v>
      </c>
      <c r="B141" s="3" t="s">
        <v>239</v>
      </c>
      <c r="C141" s="352"/>
      <c r="D141" s="11">
        <v>1000000000</v>
      </c>
      <c r="E141" s="20">
        <v>0.05</v>
      </c>
      <c r="F141" s="11">
        <f t="shared" si="10"/>
        <v>50000000</v>
      </c>
      <c r="G141" s="11">
        <v>50000000</v>
      </c>
      <c r="H141" s="11" t="s">
        <v>777</v>
      </c>
      <c r="I141" s="23" t="s">
        <v>800</v>
      </c>
      <c r="J141" s="24" t="s">
        <v>801</v>
      </c>
      <c r="K141" s="11">
        <f t="shared" si="11"/>
        <v>50000000</v>
      </c>
      <c r="L141" s="11">
        <f t="shared" si="12"/>
        <v>0</v>
      </c>
      <c r="M141" s="3"/>
    </row>
    <row r="142" spans="1:13" ht="30" customHeight="1" x14ac:dyDescent="0.2">
      <c r="A142" s="2031">
        <v>109</v>
      </c>
      <c r="B142" s="2088" t="s">
        <v>240</v>
      </c>
      <c r="C142" s="2149" t="s">
        <v>1347</v>
      </c>
      <c r="D142" s="11">
        <v>14000000</v>
      </c>
      <c r="E142" s="20">
        <v>4.2999999999999997E-2</v>
      </c>
      <c r="F142" s="11">
        <v>600000</v>
      </c>
      <c r="G142" s="120">
        <v>600000</v>
      </c>
      <c r="H142" s="11" t="s">
        <v>557</v>
      </c>
      <c r="I142" s="23" t="s">
        <v>562</v>
      </c>
      <c r="J142" s="24" t="s">
        <v>563</v>
      </c>
      <c r="K142" s="2040">
        <f>G142+G143</f>
        <v>1500000</v>
      </c>
      <c r="L142" s="2040">
        <f>(F142+F143)-K142</f>
        <v>0</v>
      </c>
      <c r="M142" s="3"/>
    </row>
    <row r="143" spans="1:13" ht="30" customHeight="1" x14ac:dyDescent="0.2">
      <c r="A143" s="2032"/>
      <c r="B143" s="2089"/>
      <c r="C143" s="2150"/>
      <c r="D143" s="119">
        <v>20000000</v>
      </c>
      <c r="E143" s="20">
        <v>4.4999999999999998E-2</v>
      </c>
      <c r="F143" s="119">
        <f>D143*E143</f>
        <v>900000</v>
      </c>
      <c r="G143" s="120">
        <v>900000</v>
      </c>
      <c r="H143" s="119" t="s">
        <v>777</v>
      </c>
      <c r="I143" s="121" t="s">
        <v>802</v>
      </c>
      <c r="J143" s="24" t="s">
        <v>563</v>
      </c>
      <c r="K143" s="2042"/>
      <c r="L143" s="2042"/>
      <c r="M143" s="3"/>
    </row>
    <row r="144" spans="1:13" ht="30" customHeight="1" x14ac:dyDescent="0.2">
      <c r="A144" s="4">
        <v>110</v>
      </c>
      <c r="B144" s="3" t="s">
        <v>241</v>
      </c>
      <c r="C144" s="352"/>
      <c r="D144" s="11">
        <v>40000000</v>
      </c>
      <c r="E144" s="20">
        <v>0.05</v>
      </c>
      <c r="F144" s="11">
        <f t="shared" si="10"/>
        <v>2000000</v>
      </c>
      <c r="G144" s="11">
        <v>2000000</v>
      </c>
      <c r="H144" s="11" t="s">
        <v>777</v>
      </c>
      <c r="I144" s="23" t="s">
        <v>803</v>
      </c>
      <c r="J144" s="88" t="s">
        <v>804</v>
      </c>
      <c r="K144" s="11">
        <f t="shared" si="11"/>
        <v>2000000</v>
      </c>
      <c r="L144" s="11">
        <f t="shared" si="12"/>
        <v>0</v>
      </c>
      <c r="M144" s="3"/>
    </row>
    <row r="145" spans="1:13" ht="30" customHeight="1" x14ac:dyDescent="0.2">
      <c r="A145" s="4">
        <v>111</v>
      </c>
      <c r="B145" s="3" t="s">
        <v>242</v>
      </c>
      <c r="C145" s="352"/>
      <c r="D145" s="11">
        <v>252000000</v>
      </c>
      <c r="E145" s="20">
        <v>4.4999999999999998E-2</v>
      </c>
      <c r="F145" s="11">
        <f t="shared" si="10"/>
        <v>11340000</v>
      </c>
      <c r="G145" s="11">
        <v>11340000</v>
      </c>
      <c r="H145" s="11" t="s">
        <v>774</v>
      </c>
      <c r="I145" s="125" t="s">
        <v>775</v>
      </c>
      <c r="J145" s="24" t="s">
        <v>776</v>
      </c>
      <c r="K145" s="11">
        <f t="shared" si="11"/>
        <v>11340000</v>
      </c>
      <c r="L145" s="11">
        <f t="shared" si="12"/>
        <v>0</v>
      </c>
      <c r="M145" s="3"/>
    </row>
    <row r="146" spans="1:13" ht="30" customHeight="1" x14ac:dyDescent="0.2">
      <c r="A146" s="4">
        <v>112</v>
      </c>
      <c r="B146" s="3" t="s">
        <v>243</v>
      </c>
      <c r="C146" s="352"/>
      <c r="D146" s="11">
        <v>100000000</v>
      </c>
      <c r="E146" s="20">
        <v>4.4999999999999998E-2</v>
      </c>
      <c r="F146" s="11">
        <f t="shared" si="10"/>
        <v>4500000</v>
      </c>
      <c r="G146" s="11">
        <v>4500000</v>
      </c>
      <c r="H146" s="11" t="s">
        <v>594</v>
      </c>
      <c r="I146" s="23" t="s">
        <v>613</v>
      </c>
      <c r="J146" s="89" t="s">
        <v>614</v>
      </c>
      <c r="K146" s="11">
        <f t="shared" si="11"/>
        <v>4500000</v>
      </c>
      <c r="L146" s="11">
        <f t="shared" si="12"/>
        <v>0</v>
      </c>
      <c r="M146" s="3"/>
    </row>
    <row r="147" spans="1:13" ht="30" customHeight="1" x14ac:dyDescent="0.2">
      <c r="A147" s="4">
        <v>113</v>
      </c>
      <c r="B147" s="3" t="s">
        <v>244</v>
      </c>
      <c r="C147" s="352"/>
      <c r="D147" s="11">
        <v>20000000</v>
      </c>
      <c r="E147" s="20">
        <v>0.05</v>
      </c>
      <c r="F147" s="11">
        <f t="shared" si="10"/>
        <v>1000000</v>
      </c>
      <c r="G147" s="11">
        <v>1000000</v>
      </c>
      <c r="H147" s="11" t="s">
        <v>594</v>
      </c>
      <c r="I147" s="23" t="s">
        <v>615</v>
      </c>
      <c r="J147" s="24" t="s">
        <v>616</v>
      </c>
      <c r="K147" s="11">
        <f t="shared" si="11"/>
        <v>1000000</v>
      </c>
      <c r="L147" s="11">
        <f t="shared" si="12"/>
        <v>0</v>
      </c>
      <c r="M147" s="3"/>
    </row>
    <row r="148" spans="1:13" ht="30" customHeight="1" x14ac:dyDescent="0.2">
      <c r="A148" s="4">
        <v>114</v>
      </c>
      <c r="B148" s="3" t="s">
        <v>245</v>
      </c>
      <c r="C148" s="352"/>
      <c r="D148" s="11">
        <v>10000000</v>
      </c>
      <c r="E148" s="20">
        <v>4.4999999999999998E-2</v>
      </c>
      <c r="F148" s="11">
        <f t="shared" si="10"/>
        <v>450000</v>
      </c>
      <c r="G148" s="11">
        <v>450000</v>
      </c>
      <c r="H148" s="11" t="s">
        <v>594</v>
      </c>
      <c r="I148" s="23" t="s">
        <v>619</v>
      </c>
      <c r="J148" s="21" t="s">
        <v>620</v>
      </c>
      <c r="K148" s="11">
        <f t="shared" si="11"/>
        <v>450000</v>
      </c>
      <c r="L148" s="11">
        <f t="shared" si="12"/>
        <v>0</v>
      </c>
      <c r="M148" s="3"/>
    </row>
    <row r="149" spans="1:13" ht="30" customHeight="1" x14ac:dyDescent="0.2">
      <c r="A149" s="4">
        <v>115</v>
      </c>
      <c r="B149" s="3" t="s">
        <v>246</v>
      </c>
      <c r="C149" s="352"/>
      <c r="D149" s="119">
        <v>300000000</v>
      </c>
      <c r="E149" s="20">
        <v>4.4999999999999998E-2</v>
      </c>
      <c r="F149" s="119">
        <f t="shared" si="10"/>
        <v>13500000</v>
      </c>
      <c r="G149" s="11">
        <v>16500000</v>
      </c>
      <c r="H149" s="11" t="s">
        <v>594</v>
      </c>
      <c r="I149" s="23" t="s">
        <v>617</v>
      </c>
      <c r="J149" s="24" t="s">
        <v>618</v>
      </c>
      <c r="K149" s="11">
        <f t="shared" si="11"/>
        <v>16500000</v>
      </c>
      <c r="L149" s="119">
        <f t="shared" si="12"/>
        <v>-3000000</v>
      </c>
      <c r="M149" s="82" t="s">
        <v>773</v>
      </c>
    </row>
    <row r="150" spans="1:13" ht="30" customHeight="1" x14ac:dyDescent="0.2">
      <c r="A150" s="4">
        <v>116</v>
      </c>
      <c r="B150" s="3" t="s">
        <v>247</v>
      </c>
      <c r="C150" s="352"/>
      <c r="D150" s="11">
        <v>20000000</v>
      </c>
      <c r="E150" s="20">
        <v>0.05</v>
      </c>
      <c r="F150" s="11">
        <f t="shared" si="10"/>
        <v>1000000</v>
      </c>
      <c r="G150" s="11">
        <v>1000000</v>
      </c>
      <c r="H150" s="11" t="s">
        <v>594</v>
      </c>
      <c r="I150" s="23" t="s">
        <v>624</v>
      </c>
      <c r="J150" s="89" t="s">
        <v>625</v>
      </c>
      <c r="K150" s="11">
        <f t="shared" si="11"/>
        <v>1000000</v>
      </c>
      <c r="L150" s="11">
        <f t="shared" si="12"/>
        <v>0</v>
      </c>
      <c r="M150" s="3"/>
    </row>
    <row r="151" spans="1:13" ht="30" customHeight="1" x14ac:dyDescent="0.2">
      <c r="A151" s="4">
        <v>117</v>
      </c>
      <c r="B151" s="3" t="s">
        <v>248</v>
      </c>
      <c r="C151" s="352"/>
      <c r="D151" s="11">
        <v>100000000</v>
      </c>
      <c r="E151" s="20">
        <v>0.04</v>
      </c>
      <c r="F151" s="11">
        <f t="shared" si="10"/>
        <v>4000000</v>
      </c>
      <c r="G151" s="11">
        <v>4000000</v>
      </c>
      <c r="H151" s="11" t="s">
        <v>594</v>
      </c>
      <c r="I151" s="23" t="s">
        <v>595</v>
      </c>
      <c r="J151" s="24" t="s">
        <v>596</v>
      </c>
      <c r="K151" s="11">
        <f t="shared" si="11"/>
        <v>4000000</v>
      </c>
      <c r="L151" s="11">
        <f t="shared" si="12"/>
        <v>0</v>
      </c>
      <c r="M151" s="3"/>
    </row>
    <row r="152" spans="1:13" ht="30" customHeight="1" x14ac:dyDescent="0.2">
      <c r="A152" s="2031">
        <v>118</v>
      </c>
      <c r="B152" s="2074" t="s">
        <v>249</v>
      </c>
      <c r="C152" s="2149" t="s">
        <v>379</v>
      </c>
      <c r="D152" s="2040">
        <v>617000000</v>
      </c>
      <c r="E152" s="2037">
        <v>7.0000000000000007E-2</v>
      </c>
      <c r="F152" s="2040">
        <v>43200000</v>
      </c>
      <c r="G152" s="129">
        <v>14000000</v>
      </c>
      <c r="H152" s="129" t="s">
        <v>837</v>
      </c>
      <c r="I152" s="132" t="s">
        <v>626</v>
      </c>
      <c r="J152" s="24" t="s">
        <v>464</v>
      </c>
      <c r="K152" s="128" t="s">
        <v>838</v>
      </c>
      <c r="L152" s="2040">
        <f>F152-K153</f>
        <v>200000</v>
      </c>
      <c r="M152" s="2031"/>
    </row>
    <row r="153" spans="1:13" ht="30" customHeight="1" x14ac:dyDescent="0.2">
      <c r="A153" s="2034"/>
      <c r="B153" s="2110"/>
      <c r="C153" s="2158"/>
      <c r="D153" s="2041"/>
      <c r="E153" s="2038"/>
      <c r="F153" s="2041"/>
      <c r="G153" s="129">
        <v>23000000</v>
      </c>
      <c r="H153" s="129" t="s">
        <v>453</v>
      </c>
      <c r="I153" s="134" t="s">
        <v>463</v>
      </c>
      <c r="J153" s="24" t="s">
        <v>464</v>
      </c>
      <c r="K153" s="2040">
        <f>G153+G154</f>
        <v>43000000</v>
      </c>
      <c r="L153" s="2041"/>
      <c r="M153" s="2034"/>
    </row>
    <row r="154" spans="1:13" ht="30" customHeight="1" x14ac:dyDescent="0.2">
      <c r="A154" s="2032"/>
      <c r="B154" s="2075"/>
      <c r="C154" s="2150"/>
      <c r="D154" s="2042"/>
      <c r="E154" s="2039"/>
      <c r="F154" s="2042"/>
      <c r="G154" s="129">
        <v>20000000</v>
      </c>
      <c r="H154" s="129" t="s">
        <v>839</v>
      </c>
      <c r="I154" s="36" t="s">
        <v>840</v>
      </c>
      <c r="J154" s="24" t="s">
        <v>841</v>
      </c>
      <c r="K154" s="2042"/>
      <c r="L154" s="2042"/>
      <c r="M154" s="2032"/>
    </row>
    <row r="155" spans="1:13" ht="30" customHeight="1" x14ac:dyDescent="0.2">
      <c r="A155" s="4">
        <v>119</v>
      </c>
      <c r="B155" s="3" t="s">
        <v>250</v>
      </c>
      <c r="C155" s="352"/>
      <c r="D155" s="11">
        <v>90000000</v>
      </c>
      <c r="E155" s="20">
        <v>4.4999999999999998E-2</v>
      </c>
      <c r="F155" s="11">
        <f t="shared" si="10"/>
        <v>4050000</v>
      </c>
      <c r="G155" s="11">
        <v>4050000</v>
      </c>
      <c r="H155" s="83" t="s">
        <v>594</v>
      </c>
      <c r="I155" s="23" t="s">
        <v>627</v>
      </c>
      <c r="J155" s="30" t="s">
        <v>628</v>
      </c>
      <c r="K155" s="11">
        <f t="shared" si="11"/>
        <v>4050000</v>
      </c>
      <c r="L155" s="11">
        <f t="shared" si="12"/>
        <v>0</v>
      </c>
      <c r="M155" s="3"/>
    </row>
    <row r="156" spans="1:13" ht="30" customHeight="1" x14ac:dyDescent="0.2">
      <c r="A156" s="4">
        <v>120</v>
      </c>
      <c r="B156" s="3" t="s">
        <v>251</v>
      </c>
      <c r="C156" s="352"/>
      <c r="D156" s="11">
        <v>50000000</v>
      </c>
      <c r="E156" s="20">
        <v>4.4999999999999998E-2</v>
      </c>
      <c r="F156" s="11">
        <f t="shared" si="10"/>
        <v>2250000</v>
      </c>
      <c r="G156" s="11">
        <v>2250000</v>
      </c>
      <c r="H156" s="11" t="s">
        <v>594</v>
      </c>
      <c r="I156" s="23" t="s">
        <v>629</v>
      </c>
      <c r="J156" s="21" t="s">
        <v>630</v>
      </c>
      <c r="K156" s="11">
        <f t="shared" si="11"/>
        <v>2250000</v>
      </c>
      <c r="L156" s="11">
        <f t="shared" si="12"/>
        <v>0</v>
      </c>
      <c r="M156" s="3"/>
    </row>
    <row r="157" spans="1:13" ht="30" customHeight="1" x14ac:dyDescent="0.2">
      <c r="A157" s="2031">
        <v>121</v>
      </c>
      <c r="B157" s="2074" t="s">
        <v>252</v>
      </c>
      <c r="C157" s="352" t="s">
        <v>1350</v>
      </c>
      <c r="D157" s="11">
        <v>60000000</v>
      </c>
      <c r="E157" s="20">
        <v>0.05</v>
      </c>
      <c r="F157" s="11">
        <f t="shared" si="10"/>
        <v>3000000</v>
      </c>
      <c r="G157" s="11">
        <v>3000000</v>
      </c>
      <c r="H157" s="11" t="s">
        <v>587</v>
      </c>
      <c r="I157" s="23"/>
      <c r="J157" s="24" t="s">
        <v>588</v>
      </c>
      <c r="K157" s="2040">
        <f>F157+F158</f>
        <v>4400000</v>
      </c>
      <c r="L157" s="2040">
        <f>(F157+F158)-K157</f>
        <v>0</v>
      </c>
      <c r="M157" s="3"/>
    </row>
    <row r="158" spans="1:13" ht="30" customHeight="1" x14ac:dyDescent="0.2">
      <c r="A158" s="2032"/>
      <c r="B158" s="2075"/>
      <c r="C158" s="352" t="s">
        <v>1351</v>
      </c>
      <c r="D158" s="232">
        <v>20000000</v>
      </c>
      <c r="E158" s="20">
        <v>7.0000000000000007E-2</v>
      </c>
      <c r="F158" s="232">
        <f t="shared" si="10"/>
        <v>1400000.0000000002</v>
      </c>
      <c r="G158" s="234"/>
      <c r="H158" s="234"/>
      <c r="I158" s="60"/>
      <c r="J158" s="61"/>
      <c r="K158" s="2042"/>
      <c r="L158" s="2042"/>
      <c r="M158" s="3"/>
    </row>
    <row r="159" spans="1:13" ht="30" customHeight="1" x14ac:dyDescent="0.2">
      <c r="A159" s="4">
        <v>122</v>
      </c>
      <c r="B159" s="3" t="s">
        <v>253</v>
      </c>
      <c r="C159" s="352"/>
      <c r="D159" s="11">
        <v>200000000</v>
      </c>
      <c r="E159" s="20">
        <v>0.05</v>
      </c>
      <c r="F159" s="11">
        <f t="shared" si="10"/>
        <v>10000000</v>
      </c>
      <c r="G159" s="11">
        <v>10000000</v>
      </c>
      <c r="H159" s="11" t="s">
        <v>587</v>
      </c>
      <c r="I159" s="23" t="s">
        <v>589</v>
      </c>
      <c r="J159" s="21" t="s">
        <v>590</v>
      </c>
      <c r="K159" s="11">
        <f t="shared" si="11"/>
        <v>10000000</v>
      </c>
      <c r="L159" s="11">
        <f t="shared" si="12"/>
        <v>0</v>
      </c>
      <c r="M159" s="3"/>
    </row>
    <row r="160" spans="1:13" ht="30" customHeight="1" x14ac:dyDescent="0.2">
      <c r="A160" s="4">
        <v>123</v>
      </c>
      <c r="B160" s="3" t="s">
        <v>254</v>
      </c>
      <c r="C160" s="352"/>
      <c r="D160" s="84"/>
      <c r="E160" s="44"/>
      <c r="F160" s="84">
        <f t="shared" si="10"/>
        <v>0</v>
      </c>
      <c r="G160" s="11">
        <v>11000000</v>
      </c>
      <c r="H160" s="11" t="s">
        <v>587</v>
      </c>
      <c r="I160" s="23" t="s">
        <v>597</v>
      </c>
      <c r="J160" s="24" t="s">
        <v>598</v>
      </c>
      <c r="K160" s="11">
        <f t="shared" si="11"/>
        <v>11000000</v>
      </c>
      <c r="L160" s="84">
        <f t="shared" si="12"/>
        <v>-11000000</v>
      </c>
      <c r="M160" s="3"/>
    </row>
    <row r="161" spans="1:13" ht="30" customHeight="1" x14ac:dyDescent="0.2">
      <c r="A161" s="4">
        <v>124</v>
      </c>
      <c r="B161" s="3" t="s">
        <v>255</v>
      </c>
      <c r="C161" s="352"/>
      <c r="D161" s="87"/>
      <c r="E161" s="44"/>
      <c r="F161" s="87">
        <f t="shared" si="10"/>
        <v>0</v>
      </c>
      <c r="G161" s="11">
        <v>8100000</v>
      </c>
      <c r="H161" s="11" t="s">
        <v>587</v>
      </c>
      <c r="I161" s="23" t="s">
        <v>631</v>
      </c>
      <c r="J161" s="24" t="s">
        <v>632</v>
      </c>
      <c r="K161" s="11">
        <f t="shared" si="11"/>
        <v>8100000</v>
      </c>
      <c r="L161" s="87">
        <f t="shared" si="12"/>
        <v>-8100000</v>
      </c>
      <c r="M161" s="3"/>
    </row>
    <row r="162" spans="1:13" ht="30" customHeight="1" x14ac:dyDescent="0.2">
      <c r="A162" s="4">
        <v>125</v>
      </c>
      <c r="B162" s="3" t="s">
        <v>256</v>
      </c>
      <c r="C162" s="352"/>
      <c r="D162" s="11">
        <v>800000000</v>
      </c>
      <c r="E162" s="20">
        <v>0.05</v>
      </c>
      <c r="F162" s="11">
        <f t="shared" si="10"/>
        <v>40000000</v>
      </c>
      <c r="G162" s="11">
        <v>40000000</v>
      </c>
      <c r="H162" s="11" t="s">
        <v>587</v>
      </c>
      <c r="I162" s="23" t="s">
        <v>599</v>
      </c>
      <c r="J162" s="24" t="s">
        <v>600</v>
      </c>
      <c r="K162" s="11">
        <f t="shared" si="11"/>
        <v>40000000</v>
      </c>
      <c r="L162" s="11">
        <f t="shared" si="12"/>
        <v>0</v>
      </c>
      <c r="M162" s="3"/>
    </row>
    <row r="163" spans="1:13" ht="30" customHeight="1" x14ac:dyDescent="0.2">
      <c r="A163" s="4">
        <v>126</v>
      </c>
      <c r="B163" s="3" t="s">
        <v>257</v>
      </c>
      <c r="C163" s="352"/>
      <c r="D163" s="84"/>
      <c r="E163" s="44"/>
      <c r="F163" s="84">
        <f t="shared" si="10"/>
        <v>0</v>
      </c>
      <c r="G163" s="11">
        <v>2000000</v>
      </c>
      <c r="H163" s="11" t="s">
        <v>587</v>
      </c>
      <c r="I163" s="23" t="s">
        <v>601</v>
      </c>
      <c r="J163" s="24" t="s">
        <v>602</v>
      </c>
      <c r="K163" s="11">
        <f t="shared" si="11"/>
        <v>2000000</v>
      </c>
      <c r="L163" s="84">
        <f t="shared" si="12"/>
        <v>-2000000</v>
      </c>
      <c r="M163" s="3"/>
    </row>
    <row r="164" spans="1:13" ht="30" customHeight="1" x14ac:dyDescent="0.2">
      <c r="A164" s="2031">
        <v>127</v>
      </c>
      <c r="B164" s="2074" t="s">
        <v>258</v>
      </c>
      <c r="C164" s="2149" t="s">
        <v>1018</v>
      </c>
      <c r="D164" s="2040">
        <v>200000000</v>
      </c>
      <c r="E164" s="2037">
        <v>0.06</v>
      </c>
      <c r="F164" s="2040">
        <f>D164*E164</f>
        <v>12000000</v>
      </c>
      <c r="G164" s="354">
        <v>1250000</v>
      </c>
      <c r="H164" s="354" t="s">
        <v>587</v>
      </c>
      <c r="I164" s="60" t="s">
        <v>603</v>
      </c>
      <c r="J164" s="61" t="s">
        <v>604</v>
      </c>
      <c r="K164" s="354">
        <f t="shared" si="11"/>
        <v>1250000</v>
      </c>
      <c r="L164" s="354"/>
      <c r="M164" s="3"/>
    </row>
    <row r="165" spans="1:13" ht="30" customHeight="1" x14ac:dyDescent="0.2">
      <c r="A165" s="2032"/>
      <c r="B165" s="2075"/>
      <c r="C165" s="2150"/>
      <c r="D165" s="2042"/>
      <c r="E165" s="2039"/>
      <c r="F165" s="2042"/>
      <c r="G165" s="178">
        <v>5000000</v>
      </c>
      <c r="H165" s="178" t="s">
        <v>1013</v>
      </c>
      <c r="I165" s="180" t="s">
        <v>1021</v>
      </c>
      <c r="J165" s="24" t="s">
        <v>604</v>
      </c>
      <c r="K165" s="178">
        <f t="shared" si="11"/>
        <v>5000000</v>
      </c>
      <c r="L165" s="355">
        <f>F164-G165</f>
        <v>7000000</v>
      </c>
      <c r="M165" s="82" t="s">
        <v>1375</v>
      </c>
    </row>
    <row r="166" spans="1:13" ht="30" customHeight="1" x14ac:dyDescent="0.2">
      <c r="A166" s="2031">
        <v>128</v>
      </c>
      <c r="B166" s="2074" t="s">
        <v>1213</v>
      </c>
      <c r="C166" s="352" t="s">
        <v>1219</v>
      </c>
      <c r="D166" s="2040">
        <v>200000000</v>
      </c>
      <c r="E166" s="2037">
        <v>0.05</v>
      </c>
      <c r="F166" s="2040">
        <f t="shared" si="10"/>
        <v>10000000</v>
      </c>
      <c r="G166" s="11">
        <v>5000000</v>
      </c>
      <c r="H166" s="11" t="s">
        <v>587</v>
      </c>
      <c r="I166" s="23" t="s">
        <v>605</v>
      </c>
      <c r="J166" s="24" t="s">
        <v>606</v>
      </c>
      <c r="K166" s="2040">
        <f>G166+G167</f>
        <v>10000000</v>
      </c>
      <c r="L166" s="2040">
        <f t="shared" si="12"/>
        <v>0</v>
      </c>
      <c r="M166" s="3"/>
    </row>
    <row r="167" spans="1:13" ht="30" customHeight="1" x14ac:dyDescent="0.2">
      <c r="A167" s="2032"/>
      <c r="B167" s="2075"/>
      <c r="C167" s="352" t="s">
        <v>971</v>
      </c>
      <c r="D167" s="2042"/>
      <c r="E167" s="2039"/>
      <c r="F167" s="2042"/>
      <c r="G167" s="259">
        <v>5000000</v>
      </c>
      <c r="H167" s="259" t="s">
        <v>1208</v>
      </c>
      <c r="I167" s="261" t="s">
        <v>1249</v>
      </c>
      <c r="J167" s="24" t="s">
        <v>606</v>
      </c>
      <c r="K167" s="2042"/>
      <c r="L167" s="2042"/>
      <c r="M167" s="3"/>
    </row>
    <row r="168" spans="1:13" ht="30" customHeight="1" x14ac:dyDescent="0.2">
      <c r="A168" s="4">
        <v>129</v>
      </c>
      <c r="B168" s="3" t="s">
        <v>259</v>
      </c>
      <c r="C168" s="352"/>
      <c r="D168" s="11">
        <v>200000000</v>
      </c>
      <c r="E168" s="20">
        <v>0.04</v>
      </c>
      <c r="F168" s="11">
        <f t="shared" si="10"/>
        <v>8000000</v>
      </c>
      <c r="G168" s="11">
        <v>8000000</v>
      </c>
      <c r="H168" s="11" t="s">
        <v>587</v>
      </c>
      <c r="I168" s="23" t="s">
        <v>591</v>
      </c>
      <c r="J168" s="28" t="s">
        <v>592</v>
      </c>
      <c r="K168" s="11">
        <f t="shared" si="11"/>
        <v>8000000</v>
      </c>
      <c r="L168" s="11">
        <f t="shared" si="12"/>
        <v>0</v>
      </c>
      <c r="M168" s="82" t="s">
        <v>593</v>
      </c>
    </row>
    <row r="169" spans="1:13" ht="30" customHeight="1" x14ac:dyDescent="0.2">
      <c r="A169" s="2031">
        <v>130</v>
      </c>
      <c r="B169" s="2074" t="s">
        <v>1266</v>
      </c>
      <c r="C169" s="2149" t="s">
        <v>1750</v>
      </c>
      <c r="D169" s="2040">
        <v>490000000</v>
      </c>
      <c r="E169" s="2037">
        <v>0.05</v>
      </c>
      <c r="F169" s="2040">
        <f t="shared" si="10"/>
        <v>24500000</v>
      </c>
      <c r="G169" s="610">
        <v>17500000</v>
      </c>
      <c r="H169" s="597" t="s">
        <v>557</v>
      </c>
      <c r="I169" s="607" t="s">
        <v>560</v>
      </c>
      <c r="J169" s="24" t="s">
        <v>561</v>
      </c>
      <c r="K169" s="2040">
        <f>G169+G170+G171</f>
        <v>33000000</v>
      </c>
      <c r="L169" s="2040">
        <f t="shared" si="12"/>
        <v>-8500000</v>
      </c>
      <c r="M169" s="2161" t="s">
        <v>2008</v>
      </c>
    </row>
    <row r="170" spans="1:13" ht="30" customHeight="1" x14ac:dyDescent="0.2">
      <c r="A170" s="2034"/>
      <c r="B170" s="2110"/>
      <c r="C170" s="2158"/>
      <c r="D170" s="2041"/>
      <c r="E170" s="2038"/>
      <c r="F170" s="2041"/>
      <c r="G170" s="597">
        <v>5500000</v>
      </c>
      <c r="H170" s="597" t="s">
        <v>1264</v>
      </c>
      <c r="I170" s="606" t="s">
        <v>1265</v>
      </c>
      <c r="J170" s="24" t="s">
        <v>561</v>
      </c>
      <c r="K170" s="2041"/>
      <c r="L170" s="2041"/>
      <c r="M170" s="2163"/>
    </row>
    <row r="171" spans="1:13" ht="30" customHeight="1" x14ac:dyDescent="0.2">
      <c r="A171" s="2032"/>
      <c r="B171" s="2075"/>
      <c r="C171" s="2150"/>
      <c r="D171" s="2042"/>
      <c r="E171" s="2039"/>
      <c r="F171" s="2042"/>
      <c r="G171" s="597">
        <v>10000000</v>
      </c>
      <c r="H171" s="597" t="s">
        <v>1264</v>
      </c>
      <c r="I171" s="606" t="s">
        <v>1267</v>
      </c>
      <c r="J171" s="24" t="s">
        <v>1268</v>
      </c>
      <c r="K171" s="2042"/>
      <c r="L171" s="2042"/>
      <c r="M171" s="2162"/>
    </row>
    <row r="172" spans="1:13" ht="30" customHeight="1" x14ac:dyDescent="0.2">
      <c r="A172" s="4">
        <v>131</v>
      </c>
      <c r="B172" s="3" t="s">
        <v>178</v>
      </c>
      <c r="C172" s="352"/>
      <c r="D172" s="11">
        <v>100000000</v>
      </c>
      <c r="E172" s="20">
        <v>4.4999999999999998E-2</v>
      </c>
      <c r="F172" s="11">
        <f t="shared" si="10"/>
        <v>4500000</v>
      </c>
      <c r="G172" s="11">
        <v>4500000</v>
      </c>
      <c r="H172" s="11" t="s">
        <v>520</v>
      </c>
      <c r="I172" s="23" t="s">
        <v>533</v>
      </c>
      <c r="J172" s="24" t="s">
        <v>534</v>
      </c>
      <c r="K172" s="11">
        <f t="shared" si="11"/>
        <v>4500000</v>
      </c>
      <c r="L172" s="11">
        <f t="shared" si="12"/>
        <v>0</v>
      </c>
      <c r="M172" s="3"/>
    </row>
    <row r="173" spans="1:13" ht="30" customHeight="1" x14ac:dyDescent="0.2">
      <c r="A173" s="4">
        <v>132</v>
      </c>
      <c r="B173" s="3" t="s">
        <v>169</v>
      </c>
      <c r="C173" s="352"/>
      <c r="D173" s="11">
        <v>110000000</v>
      </c>
      <c r="E173" s="20">
        <v>0.04</v>
      </c>
      <c r="F173" s="11">
        <f t="shared" si="10"/>
        <v>4400000</v>
      </c>
      <c r="G173" s="11">
        <v>4400000</v>
      </c>
      <c r="H173" s="11" t="s">
        <v>520</v>
      </c>
      <c r="I173" s="23" t="s">
        <v>521</v>
      </c>
      <c r="J173" s="24" t="s">
        <v>522</v>
      </c>
      <c r="K173" s="11">
        <f t="shared" si="11"/>
        <v>4400000</v>
      </c>
      <c r="L173" s="11">
        <f t="shared" si="12"/>
        <v>0</v>
      </c>
      <c r="M173" s="3"/>
    </row>
    <row r="174" spans="1:13" ht="30" customHeight="1" x14ac:dyDescent="0.2">
      <c r="A174" s="2031">
        <v>133</v>
      </c>
      <c r="B174" s="2074" t="s">
        <v>7</v>
      </c>
      <c r="C174" s="2149"/>
      <c r="D174" s="11">
        <v>100000000</v>
      </c>
      <c r="E174" s="20">
        <v>0.05</v>
      </c>
      <c r="F174" s="11">
        <f t="shared" si="10"/>
        <v>5000000</v>
      </c>
      <c r="G174" s="11">
        <v>5000000</v>
      </c>
      <c r="H174" s="11" t="s">
        <v>520</v>
      </c>
      <c r="I174" s="23" t="s">
        <v>535</v>
      </c>
      <c r="J174" s="30" t="s">
        <v>536</v>
      </c>
      <c r="K174" s="11">
        <f t="shared" si="11"/>
        <v>5000000</v>
      </c>
      <c r="L174" s="11">
        <f t="shared" si="12"/>
        <v>0</v>
      </c>
      <c r="M174" s="3"/>
    </row>
    <row r="175" spans="1:13" ht="30" customHeight="1" x14ac:dyDescent="0.2">
      <c r="A175" s="2032"/>
      <c r="B175" s="2075"/>
      <c r="C175" s="2150"/>
      <c r="D175" s="129">
        <v>100000000</v>
      </c>
      <c r="E175" s="20">
        <v>0.06</v>
      </c>
      <c r="F175" s="129">
        <f t="shared" si="10"/>
        <v>6000000</v>
      </c>
      <c r="G175" s="129">
        <v>6000000</v>
      </c>
      <c r="H175" s="129" t="s">
        <v>755</v>
      </c>
      <c r="I175" s="132" t="s">
        <v>831</v>
      </c>
      <c r="J175" s="57" t="s">
        <v>536</v>
      </c>
      <c r="K175" s="129">
        <f t="shared" si="11"/>
        <v>6000000</v>
      </c>
      <c r="L175" s="129">
        <f t="shared" si="12"/>
        <v>0</v>
      </c>
      <c r="M175" s="3"/>
    </row>
    <row r="176" spans="1:13" ht="30" customHeight="1" x14ac:dyDescent="0.2">
      <c r="A176" s="4">
        <v>134</v>
      </c>
      <c r="B176" s="3" t="s">
        <v>260</v>
      </c>
      <c r="C176" s="352"/>
      <c r="D176" s="74"/>
      <c r="E176" s="44"/>
      <c r="F176" s="74">
        <f t="shared" si="10"/>
        <v>0</v>
      </c>
      <c r="G176" s="11">
        <v>4000000</v>
      </c>
      <c r="H176" s="11" t="s">
        <v>520</v>
      </c>
      <c r="I176" s="23" t="s">
        <v>537</v>
      </c>
      <c r="J176" s="28" t="s">
        <v>538</v>
      </c>
      <c r="K176" s="11">
        <f t="shared" si="11"/>
        <v>4000000</v>
      </c>
      <c r="L176" s="74">
        <f t="shared" si="12"/>
        <v>-4000000</v>
      </c>
      <c r="M176" s="3"/>
    </row>
    <row r="177" spans="1:13" ht="30" customHeight="1" x14ac:dyDescent="0.2">
      <c r="A177" s="4">
        <v>135</v>
      </c>
      <c r="B177" s="3" t="s">
        <v>261</v>
      </c>
      <c r="C177" s="352" t="s">
        <v>1219</v>
      </c>
      <c r="D177" s="460">
        <v>310000000</v>
      </c>
      <c r="E177" s="20">
        <v>4.4999999999999998E-2</v>
      </c>
      <c r="F177" s="460">
        <v>14000000</v>
      </c>
      <c r="G177" s="11">
        <v>14000000</v>
      </c>
      <c r="H177" s="11" t="s">
        <v>520</v>
      </c>
      <c r="I177" s="23" t="s">
        <v>539</v>
      </c>
      <c r="J177" s="30" t="s">
        <v>540</v>
      </c>
      <c r="K177" s="11">
        <f t="shared" si="11"/>
        <v>14000000</v>
      </c>
      <c r="L177" s="460">
        <f t="shared" si="12"/>
        <v>0</v>
      </c>
      <c r="M177" s="3"/>
    </row>
    <row r="178" spans="1:13" ht="30" customHeight="1" x14ac:dyDescent="0.2">
      <c r="A178" s="4">
        <v>136</v>
      </c>
      <c r="B178" s="3" t="s">
        <v>262</v>
      </c>
      <c r="C178" s="352"/>
      <c r="D178" s="77"/>
      <c r="E178" s="44"/>
      <c r="F178" s="77">
        <f t="shared" si="10"/>
        <v>0</v>
      </c>
      <c r="G178" s="11">
        <v>30000000</v>
      </c>
      <c r="H178" s="11" t="s">
        <v>520</v>
      </c>
      <c r="I178" s="36" t="s">
        <v>541</v>
      </c>
      <c r="J178" s="24" t="s">
        <v>542</v>
      </c>
      <c r="K178" s="11">
        <f t="shared" si="11"/>
        <v>30000000</v>
      </c>
      <c r="L178" s="77">
        <f t="shared" si="12"/>
        <v>-30000000</v>
      </c>
      <c r="M178" s="3"/>
    </row>
    <row r="179" spans="1:13" ht="30" customHeight="1" x14ac:dyDescent="0.2">
      <c r="A179" s="4">
        <v>137</v>
      </c>
      <c r="B179" s="3" t="s">
        <v>163</v>
      </c>
      <c r="C179" s="352"/>
      <c r="D179" s="77"/>
      <c r="E179" s="44"/>
      <c r="F179" s="77">
        <f t="shared" si="10"/>
        <v>0</v>
      </c>
      <c r="G179" s="11">
        <v>5500000</v>
      </c>
      <c r="H179" s="11" t="s">
        <v>520</v>
      </c>
      <c r="I179" s="23" t="s">
        <v>543</v>
      </c>
      <c r="J179" s="30" t="s">
        <v>466</v>
      </c>
      <c r="K179" s="11">
        <f t="shared" si="11"/>
        <v>5500000</v>
      </c>
      <c r="L179" s="77">
        <f t="shared" si="12"/>
        <v>-5500000</v>
      </c>
      <c r="M179" s="3"/>
    </row>
    <row r="180" spans="1:13" ht="30" customHeight="1" x14ac:dyDescent="0.2">
      <c r="A180" s="4">
        <v>138</v>
      </c>
      <c r="B180" s="3" t="s">
        <v>546</v>
      </c>
      <c r="C180" s="352"/>
      <c r="D180" s="77"/>
      <c r="E180" s="44"/>
      <c r="F180" s="77">
        <f t="shared" si="10"/>
        <v>0</v>
      </c>
      <c r="G180" s="11">
        <v>6000000</v>
      </c>
      <c r="H180" s="11" t="s">
        <v>520</v>
      </c>
      <c r="I180" s="23" t="s">
        <v>544</v>
      </c>
      <c r="J180" s="21" t="s">
        <v>545</v>
      </c>
      <c r="K180" s="11">
        <f t="shared" si="11"/>
        <v>6000000</v>
      </c>
      <c r="L180" s="77">
        <f t="shared" si="12"/>
        <v>-6000000</v>
      </c>
      <c r="M180" s="3"/>
    </row>
    <row r="181" spans="1:13" ht="30" customHeight="1" x14ac:dyDescent="0.2">
      <c r="A181" s="4">
        <v>139</v>
      </c>
      <c r="B181" s="3" t="s">
        <v>8</v>
      </c>
      <c r="C181" s="352"/>
      <c r="D181" s="11">
        <v>30000000</v>
      </c>
      <c r="E181" s="20">
        <v>0.05</v>
      </c>
      <c r="F181" s="11">
        <f t="shared" si="10"/>
        <v>1500000</v>
      </c>
      <c r="G181" s="11">
        <v>1500000</v>
      </c>
      <c r="H181" s="11" t="s">
        <v>520</v>
      </c>
      <c r="I181" s="23" t="s">
        <v>547</v>
      </c>
      <c r="J181" s="24" t="s">
        <v>548</v>
      </c>
      <c r="K181" s="11">
        <f t="shared" si="11"/>
        <v>1500000</v>
      </c>
      <c r="L181" s="11">
        <f t="shared" si="12"/>
        <v>0</v>
      </c>
      <c r="M181" s="3"/>
    </row>
    <row r="182" spans="1:13" ht="30" customHeight="1" x14ac:dyDescent="0.2">
      <c r="A182" s="4">
        <v>140</v>
      </c>
      <c r="B182" s="3" t="s">
        <v>9</v>
      </c>
      <c r="C182" s="352"/>
      <c r="D182" s="546">
        <v>700000000</v>
      </c>
      <c r="E182" s="555">
        <v>0.06</v>
      </c>
      <c r="F182" s="546">
        <f t="shared" si="10"/>
        <v>42000000</v>
      </c>
      <c r="G182" s="546">
        <v>42000000</v>
      </c>
      <c r="H182" s="546" t="s">
        <v>520</v>
      </c>
      <c r="I182" s="554" t="s">
        <v>549</v>
      </c>
      <c r="J182" s="24" t="s">
        <v>550</v>
      </c>
      <c r="K182" s="546">
        <f t="shared" si="11"/>
        <v>42000000</v>
      </c>
      <c r="L182" s="546">
        <f t="shared" si="12"/>
        <v>0</v>
      </c>
      <c r="M182" s="3"/>
    </row>
    <row r="183" spans="1:13" ht="30" customHeight="1" x14ac:dyDescent="0.2">
      <c r="A183" s="4">
        <v>141</v>
      </c>
      <c r="B183" s="3" t="s">
        <v>10</v>
      </c>
      <c r="C183" s="352"/>
      <c r="D183" s="11">
        <v>50000000</v>
      </c>
      <c r="E183" s="20">
        <v>0.04</v>
      </c>
      <c r="F183" s="11">
        <f t="shared" si="10"/>
        <v>2000000</v>
      </c>
      <c r="G183" s="11">
        <v>6000000</v>
      </c>
      <c r="H183" s="11" t="s">
        <v>520</v>
      </c>
      <c r="I183" s="23" t="s">
        <v>530</v>
      </c>
      <c r="J183" s="73" t="s">
        <v>531</v>
      </c>
      <c r="K183" s="11">
        <f t="shared" si="11"/>
        <v>6000000</v>
      </c>
      <c r="L183" s="11">
        <f t="shared" si="12"/>
        <v>-4000000</v>
      </c>
      <c r="M183" s="82" t="s">
        <v>532</v>
      </c>
    </row>
    <row r="184" spans="1:13" ht="30" customHeight="1" x14ac:dyDescent="0.2">
      <c r="A184" s="4">
        <v>142</v>
      </c>
      <c r="B184" s="3" t="s">
        <v>527</v>
      </c>
      <c r="C184" s="352"/>
      <c r="D184" s="11">
        <v>5000000</v>
      </c>
      <c r="E184" s="20">
        <v>0.05</v>
      </c>
      <c r="F184" s="11">
        <f t="shared" si="10"/>
        <v>250000</v>
      </c>
      <c r="G184" s="11">
        <v>250000</v>
      </c>
      <c r="H184" s="11" t="s">
        <v>520</v>
      </c>
      <c r="I184" s="23" t="s">
        <v>528</v>
      </c>
      <c r="J184" s="24" t="s">
        <v>529</v>
      </c>
      <c r="K184" s="11">
        <f t="shared" si="11"/>
        <v>250000</v>
      </c>
      <c r="L184" s="11">
        <f t="shared" si="12"/>
        <v>0</v>
      </c>
      <c r="M184" s="3"/>
    </row>
    <row r="185" spans="1:13" ht="30" customHeight="1" x14ac:dyDescent="0.2">
      <c r="A185" s="4">
        <v>143</v>
      </c>
      <c r="B185" s="3" t="s">
        <v>11</v>
      </c>
      <c r="C185" s="352"/>
      <c r="D185" s="11">
        <v>105000000</v>
      </c>
      <c r="E185" s="20">
        <v>0.04</v>
      </c>
      <c r="F185" s="11">
        <f t="shared" si="10"/>
        <v>4200000</v>
      </c>
      <c r="G185" s="11">
        <v>4200000</v>
      </c>
      <c r="H185" s="11" t="s">
        <v>520</v>
      </c>
      <c r="I185" s="23" t="s">
        <v>551</v>
      </c>
      <c r="J185" s="21" t="s">
        <v>552</v>
      </c>
      <c r="K185" s="11">
        <f t="shared" si="11"/>
        <v>4200000</v>
      </c>
      <c r="L185" s="11">
        <f t="shared" si="12"/>
        <v>0</v>
      </c>
      <c r="M185" s="3"/>
    </row>
    <row r="186" spans="1:13" ht="30" customHeight="1" x14ac:dyDescent="0.2">
      <c r="A186" s="4">
        <v>144</v>
      </c>
      <c r="B186" s="3" t="s">
        <v>12</v>
      </c>
      <c r="C186" s="352"/>
      <c r="D186" s="11">
        <v>50000000</v>
      </c>
      <c r="E186" s="20">
        <v>4.4999999999999998E-2</v>
      </c>
      <c r="F186" s="11">
        <f t="shared" si="10"/>
        <v>2250000</v>
      </c>
      <c r="G186" s="11">
        <v>2250000</v>
      </c>
      <c r="H186" s="11" t="s">
        <v>520</v>
      </c>
      <c r="I186" s="23" t="s">
        <v>553</v>
      </c>
      <c r="J186" s="24" t="s">
        <v>554</v>
      </c>
      <c r="K186" s="11">
        <f t="shared" si="11"/>
        <v>2250000</v>
      </c>
      <c r="L186" s="11">
        <f t="shared" si="12"/>
        <v>0</v>
      </c>
      <c r="M186" s="3"/>
    </row>
    <row r="187" spans="1:13" ht="30" customHeight="1" x14ac:dyDescent="0.2">
      <c r="A187" s="4">
        <v>145</v>
      </c>
      <c r="B187" s="3" t="s">
        <v>13</v>
      </c>
      <c r="C187" s="352" t="s">
        <v>1350</v>
      </c>
      <c r="D187" s="11">
        <v>30000000</v>
      </c>
      <c r="E187" s="20">
        <v>0.04</v>
      </c>
      <c r="F187" s="11">
        <f t="shared" si="10"/>
        <v>1200000</v>
      </c>
      <c r="G187" s="11">
        <v>1200000</v>
      </c>
      <c r="H187" s="11" t="s">
        <v>520</v>
      </c>
      <c r="I187" s="23" t="s">
        <v>524</v>
      </c>
      <c r="J187" s="30" t="s">
        <v>525</v>
      </c>
      <c r="K187" s="11">
        <f t="shared" si="11"/>
        <v>1200000</v>
      </c>
      <c r="L187" s="11">
        <f t="shared" si="12"/>
        <v>0</v>
      </c>
      <c r="M187" s="81" t="s">
        <v>526</v>
      </c>
    </row>
    <row r="188" spans="1:13" ht="30" customHeight="1" x14ac:dyDescent="0.2">
      <c r="A188" s="4">
        <v>146</v>
      </c>
      <c r="B188" s="3" t="s">
        <v>14</v>
      </c>
      <c r="C188" s="352"/>
      <c r="D188" s="11">
        <v>55000000</v>
      </c>
      <c r="E188" s="20">
        <v>0.05</v>
      </c>
      <c r="F188" s="11">
        <f t="shared" si="10"/>
        <v>2750000</v>
      </c>
      <c r="G188" s="11">
        <v>2750000</v>
      </c>
      <c r="H188" s="11" t="s">
        <v>388</v>
      </c>
      <c r="I188" s="23" t="s">
        <v>394</v>
      </c>
      <c r="J188" s="24" t="s">
        <v>395</v>
      </c>
      <c r="K188" s="11">
        <f t="shared" si="11"/>
        <v>2750000</v>
      </c>
      <c r="L188" s="11">
        <f t="shared" si="12"/>
        <v>0</v>
      </c>
      <c r="M188" s="3"/>
    </row>
    <row r="189" spans="1:13" ht="30" customHeight="1" x14ac:dyDescent="0.2">
      <c r="A189" s="4">
        <v>147</v>
      </c>
      <c r="B189" s="3" t="s">
        <v>15</v>
      </c>
      <c r="C189" s="352" t="s">
        <v>1346</v>
      </c>
      <c r="D189" s="11">
        <v>80000000</v>
      </c>
      <c r="E189" s="20">
        <v>0.05</v>
      </c>
      <c r="F189" s="11">
        <f t="shared" si="10"/>
        <v>4000000</v>
      </c>
      <c r="G189" s="11">
        <v>4000000</v>
      </c>
      <c r="H189" s="11" t="s">
        <v>453</v>
      </c>
      <c r="I189" s="23" t="s">
        <v>483</v>
      </c>
      <c r="J189" s="73" t="s">
        <v>484</v>
      </c>
      <c r="K189" s="11">
        <f t="shared" si="11"/>
        <v>4000000</v>
      </c>
      <c r="L189" s="11">
        <f t="shared" si="12"/>
        <v>0</v>
      </c>
      <c r="M189" s="39" t="s">
        <v>364</v>
      </c>
    </row>
    <row r="190" spans="1:13" ht="30" customHeight="1" x14ac:dyDescent="0.2">
      <c r="A190" s="4">
        <v>148</v>
      </c>
      <c r="B190" s="3" t="s">
        <v>16</v>
      </c>
      <c r="C190" s="352"/>
      <c r="D190" s="77"/>
      <c r="E190" s="44"/>
      <c r="F190" s="77">
        <f t="shared" si="10"/>
        <v>0</v>
      </c>
      <c r="G190" s="11">
        <v>6400000</v>
      </c>
      <c r="H190" s="11" t="s">
        <v>557</v>
      </c>
      <c r="I190" s="23" t="s">
        <v>577</v>
      </c>
      <c r="J190" s="24" t="s">
        <v>578</v>
      </c>
      <c r="K190" s="11">
        <f t="shared" si="11"/>
        <v>6400000</v>
      </c>
      <c r="L190" s="77">
        <f t="shared" si="12"/>
        <v>-6400000</v>
      </c>
      <c r="M190" s="3"/>
    </row>
    <row r="191" spans="1:13" ht="30" customHeight="1" x14ac:dyDescent="0.2">
      <c r="A191" s="4">
        <v>149</v>
      </c>
      <c r="B191" s="3" t="s">
        <v>17</v>
      </c>
      <c r="C191" s="352" t="s">
        <v>1138</v>
      </c>
      <c r="D191" s="11">
        <v>180000000</v>
      </c>
      <c r="E191" s="20">
        <v>0.05</v>
      </c>
      <c r="F191" s="11">
        <f t="shared" si="10"/>
        <v>9000000</v>
      </c>
      <c r="G191" s="11">
        <v>9000000</v>
      </c>
      <c r="H191" s="11" t="s">
        <v>933</v>
      </c>
      <c r="I191" s="36" t="s">
        <v>938</v>
      </c>
      <c r="J191" s="24" t="s">
        <v>939</v>
      </c>
      <c r="K191" s="11">
        <f t="shared" si="11"/>
        <v>9000000</v>
      </c>
      <c r="L191" s="11">
        <f t="shared" si="12"/>
        <v>0</v>
      </c>
      <c r="M191" s="3"/>
    </row>
    <row r="192" spans="1:13" ht="30" customHeight="1" x14ac:dyDescent="0.2">
      <c r="A192" s="4">
        <v>150</v>
      </c>
      <c r="B192" s="3" t="s">
        <v>1146</v>
      </c>
      <c r="C192" s="352"/>
      <c r="D192" s="11">
        <v>35000000</v>
      </c>
      <c r="E192" s="20">
        <v>4.7E-2</v>
      </c>
      <c r="F192" s="11">
        <v>1650000</v>
      </c>
      <c r="G192" s="11">
        <v>1650000</v>
      </c>
      <c r="H192" s="11" t="s">
        <v>1132</v>
      </c>
      <c r="I192" s="23" t="s">
        <v>1147</v>
      </c>
      <c r="J192" s="24" t="s">
        <v>1148</v>
      </c>
      <c r="K192" s="11">
        <f t="shared" si="11"/>
        <v>1650000</v>
      </c>
      <c r="L192" s="11">
        <f t="shared" si="12"/>
        <v>0</v>
      </c>
      <c r="M192" s="3"/>
    </row>
    <row r="193" spans="1:13" ht="30" customHeight="1" x14ac:dyDescent="0.2">
      <c r="A193" s="4">
        <v>151</v>
      </c>
      <c r="B193" s="3" t="s">
        <v>18</v>
      </c>
      <c r="C193" s="352"/>
      <c r="D193" s="11">
        <v>30000000</v>
      </c>
      <c r="E193" s="20">
        <v>0.04</v>
      </c>
      <c r="F193" s="11">
        <f t="shared" si="10"/>
        <v>1200000</v>
      </c>
      <c r="G193" s="11">
        <v>1200000</v>
      </c>
      <c r="H193" s="11" t="s">
        <v>1177</v>
      </c>
      <c r="I193" s="23" t="s">
        <v>1180</v>
      </c>
      <c r="J193" s="24" t="s">
        <v>1181</v>
      </c>
      <c r="K193" s="11">
        <f t="shared" si="11"/>
        <v>1200000</v>
      </c>
      <c r="L193" s="11">
        <f t="shared" si="12"/>
        <v>0</v>
      </c>
      <c r="M193" s="3"/>
    </row>
    <row r="194" spans="1:13" ht="30" customHeight="1" x14ac:dyDescent="0.2">
      <c r="A194" s="4">
        <v>152</v>
      </c>
      <c r="B194" s="3" t="s">
        <v>19</v>
      </c>
      <c r="C194" s="352"/>
      <c r="D194" s="11">
        <v>15000000</v>
      </c>
      <c r="E194" s="20">
        <v>7.0000000000000007E-2</v>
      </c>
      <c r="F194" s="11">
        <f t="shared" si="10"/>
        <v>1050000</v>
      </c>
      <c r="G194" s="11">
        <v>1050000</v>
      </c>
      <c r="H194" s="11" t="s">
        <v>1315</v>
      </c>
      <c r="I194" s="23" t="s">
        <v>1329</v>
      </c>
      <c r="J194" s="24" t="s">
        <v>1330</v>
      </c>
      <c r="K194" s="11">
        <f t="shared" si="11"/>
        <v>1050000</v>
      </c>
      <c r="L194" s="11">
        <f t="shared" si="12"/>
        <v>0</v>
      </c>
      <c r="M194" s="3"/>
    </row>
    <row r="195" spans="1:13" ht="30" customHeight="1" x14ac:dyDescent="0.2">
      <c r="A195" s="4">
        <v>153</v>
      </c>
      <c r="B195" s="3" t="s">
        <v>20</v>
      </c>
      <c r="C195" s="352"/>
      <c r="D195" s="108"/>
      <c r="E195" s="44"/>
      <c r="F195" s="108">
        <f t="shared" si="10"/>
        <v>0</v>
      </c>
      <c r="G195" s="11">
        <v>10400000</v>
      </c>
      <c r="H195" s="11" t="s">
        <v>676</v>
      </c>
      <c r="I195" s="36" t="s">
        <v>715</v>
      </c>
      <c r="J195" s="24" t="s">
        <v>716</v>
      </c>
      <c r="K195" s="11">
        <f t="shared" si="11"/>
        <v>10400000</v>
      </c>
      <c r="L195" s="108">
        <f t="shared" si="12"/>
        <v>-10400000</v>
      </c>
      <c r="M195" s="3"/>
    </row>
    <row r="196" spans="1:13" ht="30" customHeight="1" x14ac:dyDescent="0.2">
      <c r="A196" s="2031">
        <v>154</v>
      </c>
      <c r="B196" s="2074" t="s">
        <v>21</v>
      </c>
      <c r="C196" s="2149"/>
      <c r="D196" s="2040">
        <v>50000000</v>
      </c>
      <c r="E196" s="2037">
        <v>0.04</v>
      </c>
      <c r="F196" s="2040">
        <f t="shared" si="10"/>
        <v>2000000</v>
      </c>
      <c r="G196" s="11">
        <v>1500000</v>
      </c>
      <c r="H196" s="11" t="s">
        <v>453</v>
      </c>
      <c r="I196" s="23" t="s">
        <v>471</v>
      </c>
      <c r="J196" s="21" t="s">
        <v>472</v>
      </c>
      <c r="K196" s="2157">
        <f>G196+G198</f>
        <v>2000000</v>
      </c>
      <c r="L196" s="2174">
        <f t="shared" si="12"/>
        <v>0</v>
      </c>
      <c r="M196" s="2031"/>
    </row>
    <row r="197" spans="1:13" ht="30" customHeight="1" x14ac:dyDescent="0.2">
      <c r="A197" s="2034"/>
      <c r="B197" s="2110"/>
      <c r="C197" s="2158"/>
      <c r="D197" s="2041"/>
      <c r="E197" s="2038"/>
      <c r="F197" s="2041"/>
      <c r="G197" s="460">
        <v>500000</v>
      </c>
      <c r="H197" s="460" t="s">
        <v>473</v>
      </c>
      <c r="I197" s="472" t="s">
        <v>474</v>
      </c>
      <c r="J197" s="21" t="s">
        <v>472</v>
      </c>
      <c r="K197" s="2157"/>
      <c r="L197" s="2174"/>
      <c r="M197" s="2034"/>
    </row>
    <row r="198" spans="1:13" ht="30" customHeight="1" x14ac:dyDescent="0.2">
      <c r="A198" s="2032"/>
      <c r="B198" s="2075"/>
      <c r="C198" s="2150"/>
      <c r="D198" s="2042"/>
      <c r="E198" s="2039"/>
      <c r="F198" s="2042"/>
      <c r="G198" s="460">
        <v>500000</v>
      </c>
      <c r="H198" s="460" t="s">
        <v>1013</v>
      </c>
      <c r="I198" s="472" t="s">
        <v>1028</v>
      </c>
      <c r="J198" s="21" t="s">
        <v>472</v>
      </c>
      <c r="K198" s="1947" t="s">
        <v>1611</v>
      </c>
      <c r="L198" s="1949"/>
      <c r="M198" s="2032"/>
    </row>
    <row r="199" spans="1:13" ht="30" customHeight="1" x14ac:dyDescent="0.2">
      <c r="A199" s="4">
        <v>155</v>
      </c>
      <c r="B199" s="3" t="s">
        <v>22</v>
      </c>
      <c r="C199" s="352" t="s">
        <v>1349</v>
      </c>
      <c r="D199" s="11">
        <v>20000000</v>
      </c>
      <c r="E199" s="20">
        <v>0.05</v>
      </c>
      <c r="F199" s="11">
        <f t="shared" si="10"/>
        <v>1000000</v>
      </c>
      <c r="G199" s="11">
        <v>1000000</v>
      </c>
      <c r="H199" s="11" t="s">
        <v>676</v>
      </c>
      <c r="I199" s="23" t="s">
        <v>708</v>
      </c>
      <c r="J199" s="24" t="s">
        <v>709</v>
      </c>
      <c r="K199" s="11">
        <f t="shared" si="11"/>
        <v>1000000</v>
      </c>
      <c r="L199" s="11">
        <f t="shared" si="12"/>
        <v>0</v>
      </c>
      <c r="M199" s="3"/>
    </row>
    <row r="200" spans="1:13" ht="30" customHeight="1" x14ac:dyDescent="0.2">
      <c r="A200" s="2031">
        <v>156</v>
      </c>
      <c r="B200" s="2031" t="s">
        <v>848</v>
      </c>
      <c r="C200" s="352"/>
      <c r="D200" s="11">
        <v>120000000</v>
      </c>
      <c r="E200" s="20"/>
      <c r="F200" s="11">
        <v>5400000</v>
      </c>
      <c r="G200" s="2040">
        <v>6600000</v>
      </c>
      <c r="H200" s="2040" t="s">
        <v>839</v>
      </c>
      <c r="I200" s="2159" t="s">
        <v>849</v>
      </c>
      <c r="J200" s="2128" t="s">
        <v>850</v>
      </c>
      <c r="K200" s="2040">
        <f t="shared" si="11"/>
        <v>6600000</v>
      </c>
      <c r="L200" s="2040">
        <f>(F200+F201)-K200</f>
        <v>0</v>
      </c>
      <c r="M200" s="3"/>
    </row>
    <row r="201" spans="1:13" ht="30" customHeight="1" x14ac:dyDescent="0.2">
      <c r="A201" s="2032"/>
      <c r="B201" s="2032"/>
      <c r="C201" s="352"/>
      <c r="D201" s="129">
        <v>22000000</v>
      </c>
      <c r="E201" s="20"/>
      <c r="F201" s="129">
        <v>1200000</v>
      </c>
      <c r="G201" s="2042"/>
      <c r="H201" s="2042"/>
      <c r="I201" s="2160"/>
      <c r="J201" s="2129"/>
      <c r="K201" s="2042"/>
      <c r="L201" s="2042"/>
      <c r="M201" s="3"/>
    </row>
    <row r="202" spans="1:13" ht="30" customHeight="1" x14ac:dyDescent="0.2">
      <c r="A202" s="4">
        <v>157</v>
      </c>
      <c r="B202" s="3" t="s">
        <v>23</v>
      </c>
      <c r="C202" s="352"/>
      <c r="D202" s="11">
        <v>25000000</v>
      </c>
      <c r="E202" s="20">
        <v>0.05</v>
      </c>
      <c r="F202" s="11">
        <f t="shared" si="10"/>
        <v>1250000</v>
      </c>
      <c r="G202" s="11">
        <v>1250000</v>
      </c>
      <c r="H202" s="11" t="s">
        <v>453</v>
      </c>
      <c r="I202" s="23" t="s">
        <v>481</v>
      </c>
      <c r="J202" s="24" t="s">
        <v>482</v>
      </c>
      <c r="K202" s="11">
        <f t="shared" si="11"/>
        <v>1250000</v>
      </c>
      <c r="L202" s="11">
        <f t="shared" si="12"/>
        <v>0</v>
      </c>
      <c r="M202" s="3"/>
    </row>
    <row r="203" spans="1:13" ht="30" customHeight="1" x14ac:dyDescent="0.2">
      <c r="A203" s="4">
        <v>158</v>
      </c>
      <c r="B203" s="3" t="s">
        <v>24</v>
      </c>
      <c r="C203" s="352"/>
      <c r="D203" s="11">
        <v>55000000</v>
      </c>
      <c r="E203" s="20">
        <v>0.05</v>
      </c>
      <c r="F203" s="11">
        <f t="shared" si="10"/>
        <v>2750000</v>
      </c>
      <c r="G203" s="11">
        <v>2750000</v>
      </c>
      <c r="H203" s="11" t="s">
        <v>933</v>
      </c>
      <c r="I203" s="23" t="s">
        <v>1007</v>
      </c>
      <c r="J203" s="24" t="s">
        <v>1008</v>
      </c>
      <c r="K203" s="11">
        <f t="shared" si="11"/>
        <v>2750000</v>
      </c>
      <c r="L203" s="11">
        <f t="shared" si="12"/>
        <v>0</v>
      </c>
      <c r="M203" s="3"/>
    </row>
    <row r="204" spans="1:13" ht="30" customHeight="1" x14ac:dyDescent="0.2">
      <c r="A204" s="4">
        <v>159</v>
      </c>
      <c r="B204" s="3" t="s">
        <v>25</v>
      </c>
      <c r="C204" s="352"/>
      <c r="D204" s="11">
        <v>20000000</v>
      </c>
      <c r="E204" s="20">
        <v>4.4999999999999998E-2</v>
      </c>
      <c r="F204" s="11">
        <f t="shared" ref="F204:F258" si="13">D204*E204</f>
        <v>900000</v>
      </c>
      <c r="G204" s="11">
        <v>900000</v>
      </c>
      <c r="H204" s="11" t="s">
        <v>728</v>
      </c>
      <c r="I204" s="23" t="s">
        <v>741</v>
      </c>
      <c r="J204" s="24" t="s">
        <v>742</v>
      </c>
      <c r="K204" s="11">
        <f t="shared" si="11"/>
        <v>900000</v>
      </c>
      <c r="L204" s="11">
        <f t="shared" si="12"/>
        <v>0</v>
      </c>
      <c r="M204" s="3"/>
    </row>
    <row r="205" spans="1:13" ht="30" customHeight="1" x14ac:dyDescent="0.2">
      <c r="A205" s="4">
        <v>160</v>
      </c>
      <c r="B205" s="3" t="s">
        <v>26</v>
      </c>
      <c r="C205" s="352"/>
      <c r="D205" s="11">
        <v>180000000</v>
      </c>
      <c r="E205" s="20">
        <v>0.05</v>
      </c>
      <c r="F205" s="11">
        <f t="shared" si="13"/>
        <v>9000000</v>
      </c>
      <c r="G205" s="129">
        <v>9000000</v>
      </c>
      <c r="H205" s="129" t="s">
        <v>839</v>
      </c>
      <c r="I205" s="132" t="s">
        <v>857</v>
      </c>
      <c r="J205" s="24" t="s">
        <v>858</v>
      </c>
      <c r="K205" s="11">
        <f t="shared" ref="K205:K256" si="14">G205</f>
        <v>9000000</v>
      </c>
      <c r="L205" s="11">
        <f t="shared" ref="L205:L256" si="15">F205-K205</f>
        <v>0</v>
      </c>
      <c r="M205" s="3"/>
    </row>
    <row r="206" spans="1:13" ht="30" customHeight="1" x14ac:dyDescent="0.2">
      <c r="A206" s="4">
        <v>161</v>
      </c>
      <c r="B206" s="3" t="s">
        <v>854</v>
      </c>
      <c r="C206" s="352"/>
      <c r="D206" s="11">
        <v>200000000</v>
      </c>
      <c r="E206" s="20">
        <v>0.05</v>
      </c>
      <c r="F206" s="11">
        <f t="shared" si="13"/>
        <v>10000000</v>
      </c>
      <c r="G206" s="11">
        <v>10000000</v>
      </c>
      <c r="H206" s="11" t="s">
        <v>839</v>
      </c>
      <c r="I206" s="23" t="s">
        <v>855</v>
      </c>
      <c r="J206" s="24" t="s">
        <v>856</v>
      </c>
      <c r="K206" s="11">
        <f t="shared" si="14"/>
        <v>10000000</v>
      </c>
      <c r="L206" s="11">
        <f t="shared" si="15"/>
        <v>0</v>
      </c>
      <c r="M206" s="3"/>
    </row>
    <row r="207" spans="1:13" ht="30" customHeight="1" x14ac:dyDescent="0.2">
      <c r="A207" s="4">
        <v>162</v>
      </c>
      <c r="B207" s="3" t="s">
        <v>27</v>
      </c>
      <c r="C207" s="352"/>
      <c r="D207" s="11">
        <v>50000000</v>
      </c>
      <c r="E207" s="20">
        <v>0.05</v>
      </c>
      <c r="F207" s="11">
        <f t="shared" si="13"/>
        <v>2500000</v>
      </c>
      <c r="G207" s="11">
        <v>2500000</v>
      </c>
      <c r="H207" s="11" t="s">
        <v>755</v>
      </c>
      <c r="I207" s="23" t="s">
        <v>761</v>
      </c>
      <c r="J207" s="24" t="s">
        <v>762</v>
      </c>
      <c r="K207" s="11">
        <f t="shared" si="14"/>
        <v>2500000</v>
      </c>
      <c r="L207" s="11">
        <f t="shared" si="15"/>
        <v>0</v>
      </c>
      <c r="M207" s="3"/>
    </row>
    <row r="208" spans="1:13" ht="30" customHeight="1" x14ac:dyDescent="0.2">
      <c r="A208" s="4">
        <v>163</v>
      </c>
      <c r="B208" s="3" t="s">
        <v>28</v>
      </c>
      <c r="C208" s="352" t="s">
        <v>700</v>
      </c>
      <c r="D208" s="11">
        <v>20000000</v>
      </c>
      <c r="E208" s="20">
        <v>0.04</v>
      </c>
      <c r="F208" s="11">
        <f t="shared" si="13"/>
        <v>800000</v>
      </c>
      <c r="G208" s="11">
        <v>800000</v>
      </c>
      <c r="H208" s="11" t="s">
        <v>755</v>
      </c>
      <c r="I208" s="23" t="s">
        <v>763</v>
      </c>
      <c r="J208" s="24" t="s">
        <v>764</v>
      </c>
      <c r="K208" s="11">
        <f t="shared" si="14"/>
        <v>800000</v>
      </c>
      <c r="L208" s="11">
        <f t="shared" si="15"/>
        <v>0</v>
      </c>
      <c r="M208" s="3"/>
    </row>
    <row r="209" spans="1:13" ht="30" customHeight="1" x14ac:dyDescent="0.2">
      <c r="A209" s="4">
        <v>164</v>
      </c>
      <c r="B209" s="3" t="s">
        <v>29</v>
      </c>
      <c r="C209" s="352" t="s">
        <v>564</v>
      </c>
      <c r="D209" s="11">
        <v>100000000</v>
      </c>
      <c r="E209" s="20">
        <v>0.05</v>
      </c>
      <c r="F209" s="11">
        <f t="shared" si="13"/>
        <v>5000000</v>
      </c>
      <c r="G209" s="11">
        <v>5000000</v>
      </c>
      <c r="H209" s="11" t="s">
        <v>557</v>
      </c>
      <c r="I209" s="23" t="s">
        <v>565</v>
      </c>
      <c r="J209" s="30" t="s">
        <v>566</v>
      </c>
      <c r="K209" s="11">
        <f t="shared" si="14"/>
        <v>5000000</v>
      </c>
      <c r="L209" s="11">
        <f t="shared" si="15"/>
        <v>0</v>
      </c>
      <c r="M209" s="3"/>
    </row>
    <row r="210" spans="1:13" ht="30" customHeight="1" x14ac:dyDescent="0.2">
      <c r="A210" s="4">
        <v>165</v>
      </c>
      <c r="B210" s="3" t="s">
        <v>758</v>
      </c>
      <c r="C210" s="352"/>
      <c r="D210" s="11">
        <v>50000000</v>
      </c>
      <c r="E210" s="20">
        <v>0.05</v>
      </c>
      <c r="F210" s="11">
        <f t="shared" si="13"/>
        <v>2500000</v>
      </c>
      <c r="G210" s="11">
        <v>2500000</v>
      </c>
      <c r="H210" s="11" t="s">
        <v>755</v>
      </c>
      <c r="I210" s="23" t="s">
        <v>759</v>
      </c>
      <c r="J210" s="24" t="s">
        <v>760</v>
      </c>
      <c r="K210" s="11">
        <f t="shared" si="14"/>
        <v>2500000</v>
      </c>
      <c r="L210" s="11">
        <f t="shared" si="15"/>
        <v>0</v>
      </c>
      <c r="M210" s="3"/>
    </row>
    <row r="211" spans="1:13" ht="30" customHeight="1" x14ac:dyDescent="0.2">
      <c r="A211" s="4">
        <v>166</v>
      </c>
      <c r="B211" s="3" t="s">
        <v>844</v>
      </c>
      <c r="C211" s="352"/>
      <c r="D211" s="11">
        <v>50000000</v>
      </c>
      <c r="E211" s="20">
        <v>7.0000000000000007E-2</v>
      </c>
      <c r="F211" s="11">
        <f t="shared" si="13"/>
        <v>3500000.0000000005</v>
      </c>
      <c r="G211" s="11">
        <v>3500000</v>
      </c>
      <c r="H211" s="11" t="s">
        <v>839</v>
      </c>
      <c r="I211" s="23" t="s">
        <v>842</v>
      </c>
      <c r="J211" s="24" t="s">
        <v>843</v>
      </c>
      <c r="K211" s="11">
        <f t="shared" si="14"/>
        <v>3500000</v>
      </c>
      <c r="L211" s="11">
        <f t="shared" si="15"/>
        <v>0</v>
      </c>
      <c r="M211" s="3"/>
    </row>
    <row r="212" spans="1:13" ht="30" customHeight="1" x14ac:dyDescent="0.2">
      <c r="A212" s="4">
        <v>167</v>
      </c>
      <c r="B212" s="3" t="s">
        <v>30</v>
      </c>
      <c r="C212" s="352"/>
      <c r="D212" s="11">
        <v>18000000</v>
      </c>
      <c r="E212" s="20">
        <v>4.4999999999999998E-2</v>
      </c>
      <c r="F212" s="11">
        <f t="shared" si="13"/>
        <v>810000</v>
      </c>
      <c r="G212" s="11">
        <v>810000</v>
      </c>
      <c r="H212" s="11" t="s">
        <v>839</v>
      </c>
      <c r="I212" s="23" t="s">
        <v>874</v>
      </c>
      <c r="J212" s="6" t="s">
        <v>875</v>
      </c>
      <c r="K212" s="11">
        <f t="shared" si="14"/>
        <v>810000</v>
      </c>
      <c r="L212" s="11">
        <f t="shared" si="15"/>
        <v>0</v>
      </c>
      <c r="M212" s="3"/>
    </row>
    <row r="213" spans="1:13" ht="30" customHeight="1" x14ac:dyDescent="0.2">
      <c r="A213" s="4">
        <v>168</v>
      </c>
      <c r="B213" s="3" t="s">
        <v>31</v>
      </c>
      <c r="C213" s="352" t="s">
        <v>1138</v>
      </c>
      <c r="D213" s="11">
        <v>70000000</v>
      </c>
      <c r="E213" s="20">
        <v>0.05</v>
      </c>
      <c r="F213" s="11">
        <f t="shared" si="13"/>
        <v>3500000</v>
      </c>
      <c r="G213" s="11">
        <v>3500000</v>
      </c>
      <c r="H213" s="11" t="s">
        <v>1132</v>
      </c>
      <c r="I213" s="23" t="s">
        <v>1157</v>
      </c>
      <c r="J213" s="24" t="s">
        <v>1158</v>
      </c>
      <c r="K213" s="11">
        <f t="shared" si="14"/>
        <v>3500000</v>
      </c>
      <c r="L213" s="11">
        <f t="shared" si="15"/>
        <v>0</v>
      </c>
      <c r="M213" s="3"/>
    </row>
    <row r="214" spans="1:13" ht="30" customHeight="1" x14ac:dyDescent="0.2">
      <c r="A214" s="4">
        <v>169</v>
      </c>
      <c r="B214" s="3" t="s">
        <v>32</v>
      </c>
      <c r="C214" s="352" t="s">
        <v>1348</v>
      </c>
      <c r="D214" s="101"/>
      <c r="E214" s="44"/>
      <c r="F214" s="11">
        <v>400000</v>
      </c>
      <c r="G214" s="11">
        <v>800000</v>
      </c>
      <c r="H214" s="11" t="s">
        <v>676</v>
      </c>
      <c r="I214" s="23" t="s">
        <v>685</v>
      </c>
      <c r="J214" s="24" t="s">
        <v>686</v>
      </c>
      <c r="K214" s="11">
        <f t="shared" si="14"/>
        <v>800000</v>
      </c>
      <c r="L214" s="98">
        <f t="shared" si="15"/>
        <v>-400000</v>
      </c>
      <c r="M214" s="103" t="s">
        <v>687</v>
      </c>
    </row>
    <row r="215" spans="1:13" ht="30" customHeight="1" x14ac:dyDescent="0.2">
      <c r="A215" s="2031">
        <v>170</v>
      </c>
      <c r="B215" s="2088" t="s">
        <v>33</v>
      </c>
      <c r="C215" s="2149"/>
      <c r="D215" s="108">
        <v>5000000</v>
      </c>
      <c r="E215" s="44">
        <v>0.05</v>
      </c>
      <c r="F215" s="108">
        <f t="shared" si="13"/>
        <v>250000</v>
      </c>
      <c r="G215" s="108">
        <v>250000</v>
      </c>
      <c r="H215" s="108" t="s">
        <v>557</v>
      </c>
      <c r="I215" s="60" t="s">
        <v>647</v>
      </c>
      <c r="J215" s="61" t="s">
        <v>648</v>
      </c>
      <c r="K215" s="108">
        <f t="shared" si="14"/>
        <v>250000</v>
      </c>
      <c r="L215" s="108">
        <f t="shared" si="15"/>
        <v>0</v>
      </c>
      <c r="M215" s="117"/>
    </row>
    <row r="216" spans="1:13" ht="30" customHeight="1" x14ac:dyDescent="0.2">
      <c r="A216" s="2034"/>
      <c r="B216" s="2132"/>
      <c r="C216" s="2158"/>
      <c r="D216" s="108"/>
      <c r="E216" s="44"/>
      <c r="F216" s="108"/>
      <c r="G216" s="108">
        <v>1200000</v>
      </c>
      <c r="H216" s="108" t="s">
        <v>676</v>
      </c>
      <c r="I216" s="60" t="s">
        <v>717</v>
      </c>
      <c r="J216" s="61" t="s">
        <v>648</v>
      </c>
      <c r="K216" s="108">
        <f>G215+G216</f>
        <v>1450000</v>
      </c>
      <c r="L216" s="108"/>
      <c r="M216" s="117"/>
    </row>
    <row r="217" spans="1:13" ht="30" customHeight="1" x14ac:dyDescent="0.2">
      <c r="A217" s="2032"/>
      <c r="B217" s="2089"/>
      <c r="C217" s="2150"/>
      <c r="D217" s="108"/>
      <c r="E217" s="44"/>
      <c r="F217" s="108"/>
      <c r="G217" s="108">
        <v>1000000</v>
      </c>
      <c r="H217" s="108" t="s">
        <v>728</v>
      </c>
      <c r="I217" s="60" t="s">
        <v>754</v>
      </c>
      <c r="J217" s="61" t="s">
        <v>648</v>
      </c>
      <c r="K217" s="108"/>
      <c r="L217" s="108"/>
      <c r="M217" s="117"/>
    </row>
    <row r="218" spans="1:13" ht="30" customHeight="1" x14ac:dyDescent="0.2">
      <c r="A218" s="4">
        <v>171</v>
      </c>
      <c r="B218" s="3" t="s">
        <v>34</v>
      </c>
      <c r="C218" s="352"/>
      <c r="D218" s="11">
        <v>40000000</v>
      </c>
      <c r="E218" s="20">
        <v>0.05</v>
      </c>
      <c r="F218" s="11">
        <f t="shared" si="13"/>
        <v>2000000</v>
      </c>
      <c r="G218" s="11">
        <v>2000000</v>
      </c>
      <c r="H218" s="11" t="s">
        <v>839</v>
      </c>
      <c r="I218" s="23" t="s">
        <v>863</v>
      </c>
      <c r="J218" s="24" t="s">
        <v>864</v>
      </c>
      <c r="K218" s="11">
        <f t="shared" si="14"/>
        <v>2000000</v>
      </c>
      <c r="L218" s="11">
        <f t="shared" si="15"/>
        <v>0</v>
      </c>
      <c r="M218" s="3"/>
    </row>
    <row r="219" spans="1:13" ht="30" customHeight="1" x14ac:dyDescent="0.2">
      <c r="A219" s="2031">
        <v>172</v>
      </c>
      <c r="B219" s="2074" t="s">
        <v>35</v>
      </c>
      <c r="C219" s="2149"/>
      <c r="D219" s="2080"/>
      <c r="E219" s="2082"/>
      <c r="F219" s="2080">
        <f t="shared" si="13"/>
        <v>0</v>
      </c>
      <c r="G219" s="11">
        <v>30000000</v>
      </c>
      <c r="H219" s="11" t="s">
        <v>501</v>
      </c>
      <c r="I219" s="23" t="s">
        <v>656</v>
      </c>
      <c r="J219" s="24" t="s">
        <v>657</v>
      </c>
      <c r="K219" s="2040">
        <f>G219+G220+G221</f>
        <v>111000000</v>
      </c>
      <c r="L219" s="2080">
        <f t="shared" si="15"/>
        <v>-111000000</v>
      </c>
      <c r="M219" s="3"/>
    </row>
    <row r="220" spans="1:13" ht="30" customHeight="1" x14ac:dyDescent="0.2">
      <c r="A220" s="2034"/>
      <c r="B220" s="2110"/>
      <c r="C220" s="2158"/>
      <c r="D220" s="2126"/>
      <c r="E220" s="2127"/>
      <c r="F220" s="2126"/>
      <c r="G220" s="95">
        <v>50000000</v>
      </c>
      <c r="H220" s="95" t="s">
        <v>329</v>
      </c>
      <c r="I220" s="23" t="s">
        <v>658</v>
      </c>
      <c r="J220" s="24" t="s">
        <v>659</v>
      </c>
      <c r="K220" s="2041"/>
      <c r="L220" s="2126"/>
      <c r="M220" s="3"/>
    </row>
    <row r="221" spans="1:13" ht="30" customHeight="1" x14ac:dyDescent="0.2">
      <c r="A221" s="2032"/>
      <c r="B221" s="2075"/>
      <c r="C221" s="2150"/>
      <c r="D221" s="2081"/>
      <c r="E221" s="2083"/>
      <c r="F221" s="2081"/>
      <c r="G221" s="135">
        <v>31000000</v>
      </c>
      <c r="H221" s="135" t="s">
        <v>839</v>
      </c>
      <c r="I221" s="142" t="s">
        <v>885</v>
      </c>
      <c r="J221" s="24" t="s">
        <v>886</v>
      </c>
      <c r="K221" s="2042"/>
      <c r="L221" s="2081"/>
      <c r="M221" s="3"/>
    </row>
    <row r="222" spans="1:13" ht="30" customHeight="1" x14ac:dyDescent="0.2">
      <c r="A222" s="4">
        <v>173</v>
      </c>
      <c r="B222" s="3" t="s">
        <v>37</v>
      </c>
      <c r="C222" s="352"/>
      <c r="D222" s="11">
        <v>200000000</v>
      </c>
      <c r="E222" s="20">
        <v>0.05</v>
      </c>
      <c r="F222" s="11">
        <f t="shared" si="13"/>
        <v>10000000</v>
      </c>
      <c r="G222" s="11">
        <v>10000000</v>
      </c>
      <c r="H222" s="11" t="s">
        <v>1032</v>
      </c>
      <c r="I222" s="185" t="s">
        <v>1037</v>
      </c>
      <c r="J222" s="24" t="s">
        <v>1038</v>
      </c>
      <c r="K222" s="11">
        <f t="shared" si="14"/>
        <v>10000000</v>
      </c>
      <c r="L222" s="11">
        <f t="shared" si="15"/>
        <v>0</v>
      </c>
      <c r="M222" s="3"/>
    </row>
    <row r="223" spans="1:13" ht="30" customHeight="1" x14ac:dyDescent="0.2">
      <c r="A223" s="4">
        <v>174</v>
      </c>
      <c r="B223" s="3" t="s">
        <v>38</v>
      </c>
      <c r="C223" s="352"/>
      <c r="D223" s="11">
        <v>150000000</v>
      </c>
      <c r="E223" s="20">
        <v>7.0000000000000007E-2</v>
      </c>
      <c r="F223" s="11">
        <f t="shared" si="13"/>
        <v>10500000.000000002</v>
      </c>
      <c r="G223" s="11">
        <v>10500000</v>
      </c>
      <c r="H223" s="11" t="s">
        <v>933</v>
      </c>
      <c r="I223" s="152" t="s">
        <v>936</v>
      </c>
      <c r="J223" s="24" t="s">
        <v>937</v>
      </c>
      <c r="K223" s="11">
        <f t="shared" si="14"/>
        <v>10500000</v>
      </c>
      <c r="L223" s="11">
        <f t="shared" si="15"/>
        <v>0</v>
      </c>
      <c r="M223" s="3"/>
    </row>
    <row r="224" spans="1:13" ht="30" customHeight="1" x14ac:dyDescent="0.2">
      <c r="A224" s="4">
        <v>175</v>
      </c>
      <c r="B224" s="3" t="s">
        <v>39</v>
      </c>
      <c r="C224" s="352"/>
      <c r="D224" s="11">
        <v>25000000</v>
      </c>
      <c r="E224" s="20">
        <v>0.04</v>
      </c>
      <c r="F224" s="11">
        <f t="shared" si="13"/>
        <v>1000000</v>
      </c>
      <c r="G224" s="11">
        <v>1000000</v>
      </c>
      <c r="H224" s="11" t="s">
        <v>755</v>
      </c>
      <c r="I224" s="23" t="s">
        <v>766</v>
      </c>
      <c r="J224" s="21" t="s">
        <v>767</v>
      </c>
      <c r="K224" s="11">
        <f t="shared" si="14"/>
        <v>1000000</v>
      </c>
      <c r="L224" s="11">
        <f t="shared" si="15"/>
        <v>0</v>
      </c>
      <c r="M224" s="3"/>
    </row>
    <row r="225" spans="1:13" ht="30" customHeight="1" x14ac:dyDescent="0.2">
      <c r="A225" s="4">
        <v>176</v>
      </c>
      <c r="B225" s="3" t="s">
        <v>40</v>
      </c>
      <c r="C225" s="352"/>
      <c r="D225" s="11">
        <v>90000000</v>
      </c>
      <c r="E225" s="20">
        <v>4.4999999999999998E-2</v>
      </c>
      <c r="F225" s="11">
        <v>4000000</v>
      </c>
      <c r="G225" s="11">
        <v>4000000</v>
      </c>
      <c r="H225" s="11" t="s">
        <v>728</v>
      </c>
      <c r="I225" s="23" t="s">
        <v>734</v>
      </c>
      <c r="J225" s="24" t="s">
        <v>735</v>
      </c>
      <c r="K225" s="11">
        <f t="shared" si="14"/>
        <v>4000000</v>
      </c>
      <c r="L225" s="11">
        <f t="shared" si="15"/>
        <v>0</v>
      </c>
      <c r="M225" s="3"/>
    </row>
    <row r="226" spans="1:13" ht="30" customHeight="1" x14ac:dyDescent="0.2">
      <c r="A226" s="4">
        <v>177</v>
      </c>
      <c r="B226" s="3" t="s">
        <v>41</v>
      </c>
      <c r="C226" s="352"/>
      <c r="D226" s="234"/>
      <c r="E226" s="44"/>
      <c r="F226" s="234">
        <f t="shared" si="13"/>
        <v>0</v>
      </c>
      <c r="G226" s="11">
        <v>16000000</v>
      </c>
      <c r="H226" s="11" t="s">
        <v>1032</v>
      </c>
      <c r="I226" s="36" t="s">
        <v>1120</v>
      </c>
      <c r="J226" s="24" t="s">
        <v>1121</v>
      </c>
      <c r="K226" s="11">
        <f t="shared" si="14"/>
        <v>16000000</v>
      </c>
      <c r="L226" s="11">
        <f t="shared" si="15"/>
        <v>-16000000</v>
      </c>
      <c r="M226" s="3"/>
    </row>
    <row r="227" spans="1:13" ht="30" customHeight="1" x14ac:dyDescent="0.2">
      <c r="A227" s="4">
        <v>178</v>
      </c>
      <c r="B227" s="3" t="s">
        <v>42</v>
      </c>
      <c r="C227" s="352"/>
      <c r="D227" s="232">
        <v>300000000</v>
      </c>
      <c r="E227" s="20">
        <v>5.7000000000000002E-2</v>
      </c>
      <c r="F227" s="232">
        <v>17000000</v>
      </c>
      <c r="G227" s="11">
        <v>17000000</v>
      </c>
      <c r="H227" s="11" t="s">
        <v>1132</v>
      </c>
      <c r="I227" s="36" t="s">
        <v>1153</v>
      </c>
      <c r="J227" s="24" t="s">
        <v>1154</v>
      </c>
      <c r="K227" s="11">
        <f t="shared" si="14"/>
        <v>17000000</v>
      </c>
      <c r="L227" s="11">
        <f t="shared" si="15"/>
        <v>0</v>
      </c>
      <c r="M227" s="3"/>
    </row>
    <row r="228" spans="1:13" ht="30" customHeight="1" x14ac:dyDescent="0.2">
      <c r="A228" s="4">
        <v>179</v>
      </c>
      <c r="B228" s="3" t="s">
        <v>43</v>
      </c>
      <c r="C228" s="352" t="s">
        <v>1018</v>
      </c>
      <c r="D228" s="11">
        <v>50000000</v>
      </c>
      <c r="E228" s="20">
        <v>0.05</v>
      </c>
      <c r="F228" s="11">
        <f t="shared" si="13"/>
        <v>2500000</v>
      </c>
      <c r="G228" s="11">
        <v>2500000</v>
      </c>
      <c r="H228" s="11" t="s">
        <v>1013</v>
      </c>
      <c r="I228" s="23" t="s">
        <v>1016</v>
      </c>
      <c r="J228" s="24" t="s">
        <v>1017</v>
      </c>
      <c r="K228" s="11">
        <f t="shared" si="14"/>
        <v>2500000</v>
      </c>
      <c r="L228" s="11">
        <f t="shared" si="15"/>
        <v>0</v>
      </c>
      <c r="M228" s="3"/>
    </row>
    <row r="229" spans="1:13" ht="30" customHeight="1" x14ac:dyDescent="0.2">
      <c r="A229" s="4">
        <v>180</v>
      </c>
      <c r="B229" s="3" t="s">
        <v>44</v>
      </c>
      <c r="C229" s="352"/>
      <c r="D229" s="11">
        <v>25000000</v>
      </c>
      <c r="E229" s="20">
        <v>0.05</v>
      </c>
      <c r="F229" s="11">
        <f t="shared" si="13"/>
        <v>1250000</v>
      </c>
      <c r="G229" s="11">
        <v>1250000</v>
      </c>
      <c r="H229" s="11" t="s">
        <v>1032</v>
      </c>
      <c r="I229" s="23" t="s">
        <v>1035</v>
      </c>
      <c r="J229" s="24" t="s">
        <v>1036</v>
      </c>
      <c r="K229" s="11">
        <f t="shared" si="14"/>
        <v>1250000</v>
      </c>
      <c r="L229" s="11">
        <f t="shared" si="15"/>
        <v>0</v>
      </c>
      <c r="M229" s="3"/>
    </row>
    <row r="230" spans="1:13" ht="30" customHeight="1" x14ac:dyDescent="0.2">
      <c r="A230" s="4">
        <v>181</v>
      </c>
      <c r="B230" s="3" t="s">
        <v>45</v>
      </c>
      <c r="C230" s="352" t="s">
        <v>1131</v>
      </c>
      <c r="D230" s="11">
        <v>50000000</v>
      </c>
      <c r="E230" s="20">
        <v>0.05</v>
      </c>
      <c r="F230" s="11">
        <f t="shared" si="13"/>
        <v>2500000</v>
      </c>
      <c r="G230" s="11">
        <v>2500000</v>
      </c>
      <c r="H230" s="11" t="s">
        <v>1177</v>
      </c>
      <c r="I230" s="23" t="s">
        <v>1185</v>
      </c>
      <c r="J230" s="24" t="s">
        <v>1186</v>
      </c>
      <c r="K230" s="11">
        <f t="shared" si="14"/>
        <v>2500000</v>
      </c>
      <c r="L230" s="11">
        <f t="shared" si="15"/>
        <v>0</v>
      </c>
      <c r="M230" s="3"/>
    </row>
    <row r="231" spans="1:13" ht="30" customHeight="1" x14ac:dyDescent="0.2">
      <c r="A231" s="4">
        <v>182</v>
      </c>
      <c r="B231" s="3" t="s">
        <v>46</v>
      </c>
      <c r="C231" s="352" t="s">
        <v>1018</v>
      </c>
      <c r="D231" s="11">
        <v>20000000</v>
      </c>
      <c r="E231" s="20">
        <v>0.05</v>
      </c>
      <c r="F231" s="11">
        <f t="shared" si="13"/>
        <v>1000000</v>
      </c>
      <c r="G231" s="11">
        <v>1000000</v>
      </c>
      <c r="H231" s="11" t="s">
        <v>1032</v>
      </c>
      <c r="I231" s="23" t="s">
        <v>1124</v>
      </c>
      <c r="J231" s="24" t="s">
        <v>1125</v>
      </c>
      <c r="K231" s="11">
        <f t="shared" si="14"/>
        <v>1000000</v>
      </c>
      <c r="L231" s="11">
        <f t="shared" si="15"/>
        <v>0</v>
      </c>
      <c r="M231" s="3"/>
    </row>
    <row r="232" spans="1:13" ht="30" customHeight="1" x14ac:dyDescent="0.2">
      <c r="A232" s="4">
        <v>183</v>
      </c>
      <c r="B232" s="3" t="s">
        <v>47</v>
      </c>
      <c r="C232" s="352"/>
      <c r="D232" s="11">
        <v>70000000</v>
      </c>
      <c r="E232" s="20">
        <v>0.05</v>
      </c>
      <c r="F232" s="11">
        <f t="shared" si="13"/>
        <v>3500000</v>
      </c>
      <c r="G232" s="11">
        <v>3500000</v>
      </c>
      <c r="H232" s="11" t="s">
        <v>1032</v>
      </c>
      <c r="I232" s="23" t="s">
        <v>1116</v>
      </c>
      <c r="J232" s="24" t="s">
        <v>1117</v>
      </c>
      <c r="K232" s="11">
        <f t="shared" si="14"/>
        <v>3500000</v>
      </c>
      <c r="L232" s="11">
        <f t="shared" si="15"/>
        <v>0</v>
      </c>
      <c r="M232" s="3"/>
    </row>
    <row r="233" spans="1:13" ht="30" customHeight="1" x14ac:dyDescent="0.2">
      <c r="A233" s="4">
        <v>184</v>
      </c>
      <c r="B233" s="3" t="s">
        <v>48</v>
      </c>
      <c r="C233" s="352"/>
      <c r="D233" s="11">
        <v>8000000</v>
      </c>
      <c r="E233" s="20">
        <v>0.04</v>
      </c>
      <c r="F233" s="11">
        <f t="shared" si="13"/>
        <v>320000</v>
      </c>
      <c r="G233" s="11">
        <v>320000</v>
      </c>
      <c r="H233" s="11" t="s">
        <v>839</v>
      </c>
      <c r="I233" s="23" t="s">
        <v>861</v>
      </c>
      <c r="J233" s="24" t="s">
        <v>862</v>
      </c>
      <c r="K233" s="11">
        <f t="shared" si="14"/>
        <v>320000</v>
      </c>
      <c r="L233" s="11">
        <f t="shared" si="15"/>
        <v>0</v>
      </c>
      <c r="M233" s="3"/>
    </row>
    <row r="234" spans="1:13" ht="30" customHeight="1" x14ac:dyDescent="0.2">
      <c r="A234" s="4">
        <v>185</v>
      </c>
      <c r="B234" s="3" t="s">
        <v>49</v>
      </c>
      <c r="C234" s="352"/>
      <c r="D234" s="11">
        <v>200000000</v>
      </c>
      <c r="E234" s="20">
        <v>0.05</v>
      </c>
      <c r="F234" s="11">
        <f t="shared" si="13"/>
        <v>10000000</v>
      </c>
      <c r="G234" s="11">
        <v>10000000</v>
      </c>
      <c r="H234" s="11" t="s">
        <v>1208</v>
      </c>
      <c r="I234" s="23" t="s">
        <v>1209</v>
      </c>
      <c r="J234" s="24" t="s">
        <v>1210</v>
      </c>
      <c r="K234" s="11">
        <f t="shared" si="14"/>
        <v>10000000</v>
      </c>
      <c r="L234" s="11">
        <f t="shared" si="15"/>
        <v>0</v>
      </c>
      <c r="M234" s="3"/>
    </row>
    <row r="235" spans="1:13" ht="30" customHeight="1" x14ac:dyDescent="0.2">
      <c r="A235" s="4">
        <v>186</v>
      </c>
      <c r="B235" s="3" t="s">
        <v>50</v>
      </c>
      <c r="C235" s="352"/>
      <c r="D235" s="11">
        <v>200000000</v>
      </c>
      <c r="E235" s="20">
        <v>0.05</v>
      </c>
      <c r="F235" s="11">
        <f t="shared" si="13"/>
        <v>10000000</v>
      </c>
      <c r="G235" s="11">
        <v>10000000</v>
      </c>
      <c r="H235" s="11" t="s">
        <v>933</v>
      </c>
      <c r="I235" s="23" t="s">
        <v>934</v>
      </c>
      <c r="J235" s="24" t="s">
        <v>935</v>
      </c>
      <c r="K235" s="11">
        <f t="shared" si="14"/>
        <v>10000000</v>
      </c>
      <c r="L235" s="11">
        <f t="shared" si="15"/>
        <v>0</v>
      </c>
      <c r="M235" s="3"/>
    </row>
    <row r="236" spans="1:13" ht="30" customHeight="1" x14ac:dyDescent="0.2">
      <c r="A236" s="4">
        <v>187</v>
      </c>
      <c r="B236" s="3" t="s">
        <v>51</v>
      </c>
      <c r="C236" s="352" t="s">
        <v>700</v>
      </c>
      <c r="D236" s="11">
        <v>15000000</v>
      </c>
      <c r="E236" s="20">
        <v>0.05</v>
      </c>
      <c r="F236" s="11">
        <f t="shared" si="13"/>
        <v>750000</v>
      </c>
      <c r="G236" s="11">
        <v>750000</v>
      </c>
      <c r="H236" s="11" t="s">
        <v>839</v>
      </c>
      <c r="I236" s="23" t="s">
        <v>859</v>
      </c>
      <c r="J236" s="24" t="s">
        <v>860</v>
      </c>
      <c r="K236" s="11">
        <f t="shared" si="14"/>
        <v>750000</v>
      </c>
      <c r="L236" s="11">
        <f t="shared" si="15"/>
        <v>0</v>
      </c>
      <c r="M236" s="3"/>
    </row>
    <row r="237" spans="1:13" ht="30" customHeight="1" x14ac:dyDescent="0.2">
      <c r="A237" s="2031">
        <v>188</v>
      </c>
      <c r="B237" s="2074" t="s">
        <v>52</v>
      </c>
      <c r="C237" s="352" t="s">
        <v>1131</v>
      </c>
      <c r="D237" s="269">
        <v>80000000</v>
      </c>
      <c r="E237" s="20">
        <v>0.05</v>
      </c>
      <c r="F237" s="269">
        <f t="shared" si="13"/>
        <v>4000000</v>
      </c>
      <c r="G237" s="11">
        <v>4000000</v>
      </c>
      <c r="H237" s="11" t="s">
        <v>1132</v>
      </c>
      <c r="I237" s="23" t="s">
        <v>1163</v>
      </c>
      <c r="J237" s="24" t="s">
        <v>1164</v>
      </c>
      <c r="K237" s="11">
        <f t="shared" si="14"/>
        <v>4000000</v>
      </c>
      <c r="L237" s="269">
        <f t="shared" si="15"/>
        <v>0</v>
      </c>
      <c r="M237" s="3"/>
    </row>
    <row r="238" spans="1:13" ht="30" customHeight="1" x14ac:dyDescent="0.2">
      <c r="A238" s="2032"/>
      <c r="B238" s="2075"/>
      <c r="C238" s="352" t="s">
        <v>1131</v>
      </c>
      <c r="D238" s="269">
        <v>200000000</v>
      </c>
      <c r="E238" s="20">
        <v>0.05</v>
      </c>
      <c r="F238" s="269">
        <f t="shared" si="13"/>
        <v>10000000</v>
      </c>
      <c r="G238" s="269">
        <v>10000000</v>
      </c>
      <c r="H238" s="269" t="s">
        <v>1208</v>
      </c>
      <c r="I238" s="272" t="s">
        <v>1248</v>
      </c>
      <c r="J238" s="24" t="s">
        <v>1164</v>
      </c>
      <c r="K238" s="269">
        <f t="shared" si="14"/>
        <v>10000000</v>
      </c>
      <c r="L238" s="269">
        <f t="shared" si="15"/>
        <v>0</v>
      </c>
      <c r="M238" s="3"/>
    </row>
    <row r="239" spans="1:13" ht="30" customHeight="1" x14ac:dyDescent="0.2">
      <c r="A239" s="2031">
        <v>189</v>
      </c>
      <c r="B239" s="2088" t="s">
        <v>53</v>
      </c>
      <c r="C239" s="352" t="s">
        <v>1019</v>
      </c>
      <c r="D239" s="323">
        <v>100000000</v>
      </c>
      <c r="E239" s="20">
        <v>0.06</v>
      </c>
      <c r="F239" s="323">
        <f t="shared" si="13"/>
        <v>6000000</v>
      </c>
      <c r="G239" s="11">
        <v>6000000</v>
      </c>
      <c r="H239" s="11" t="s">
        <v>1177</v>
      </c>
      <c r="I239" s="36" t="s">
        <v>1187</v>
      </c>
      <c r="J239" s="24" t="s">
        <v>707</v>
      </c>
      <c r="K239" s="11">
        <f t="shared" si="14"/>
        <v>6000000</v>
      </c>
      <c r="L239" s="11">
        <f t="shared" si="15"/>
        <v>0</v>
      </c>
      <c r="M239" s="3"/>
    </row>
    <row r="240" spans="1:13" ht="30" customHeight="1" x14ac:dyDescent="0.2">
      <c r="A240" s="2032"/>
      <c r="B240" s="2089"/>
      <c r="C240" s="352" t="s">
        <v>380</v>
      </c>
      <c r="D240" s="323">
        <v>300000000</v>
      </c>
      <c r="E240" s="20">
        <v>0.04</v>
      </c>
      <c r="F240" s="323">
        <f>D240*E240</f>
        <v>12000000</v>
      </c>
      <c r="G240" s="250"/>
      <c r="H240" s="250"/>
      <c r="I240" s="36"/>
      <c r="J240" s="24"/>
      <c r="K240" s="250"/>
      <c r="L240" s="323">
        <f t="shared" si="15"/>
        <v>12000000</v>
      </c>
      <c r="M240" s="3"/>
    </row>
    <row r="241" spans="1:13" ht="30" customHeight="1" x14ac:dyDescent="0.2">
      <c r="A241" s="4">
        <v>190</v>
      </c>
      <c r="B241" s="3" t="s">
        <v>54</v>
      </c>
      <c r="C241" s="352"/>
      <c r="D241" s="137"/>
      <c r="E241" s="44"/>
      <c r="F241" s="137">
        <f t="shared" si="13"/>
        <v>0</v>
      </c>
      <c r="G241" s="11">
        <v>36600000</v>
      </c>
      <c r="H241" s="11" t="s">
        <v>839</v>
      </c>
      <c r="I241" s="23" t="s">
        <v>887</v>
      </c>
      <c r="J241" s="24" t="s">
        <v>888</v>
      </c>
      <c r="K241" s="11">
        <f t="shared" si="14"/>
        <v>36600000</v>
      </c>
      <c r="L241" s="137">
        <f t="shared" si="15"/>
        <v>-36600000</v>
      </c>
      <c r="M241" s="3"/>
    </row>
    <row r="242" spans="1:13" ht="30" customHeight="1" x14ac:dyDescent="0.2">
      <c r="A242" s="4">
        <v>191</v>
      </c>
      <c r="B242" s="3" t="s">
        <v>55</v>
      </c>
      <c r="C242" s="352"/>
      <c r="D242" s="11">
        <v>45000000</v>
      </c>
      <c r="E242" s="20">
        <v>0.04</v>
      </c>
      <c r="F242" s="11">
        <f t="shared" si="13"/>
        <v>1800000</v>
      </c>
      <c r="G242" s="11">
        <v>1800000</v>
      </c>
      <c r="H242" s="11" t="s">
        <v>1013</v>
      </c>
      <c r="I242" s="23" t="s">
        <v>1025</v>
      </c>
      <c r="J242" s="6" t="s">
        <v>1026</v>
      </c>
      <c r="K242" s="11">
        <f t="shared" si="14"/>
        <v>1800000</v>
      </c>
      <c r="L242" s="11">
        <f t="shared" si="15"/>
        <v>0</v>
      </c>
      <c r="M242" s="3"/>
    </row>
    <row r="243" spans="1:13" ht="30" customHeight="1" x14ac:dyDescent="0.2">
      <c r="A243" s="2031">
        <v>192</v>
      </c>
      <c r="B243" s="2074" t="s">
        <v>56</v>
      </c>
      <c r="C243" s="2149"/>
      <c r="D243" s="2080"/>
      <c r="E243" s="2130"/>
      <c r="F243" s="2080">
        <f t="shared" si="13"/>
        <v>0</v>
      </c>
      <c r="G243" s="11">
        <v>6000000</v>
      </c>
      <c r="H243" s="11" t="s">
        <v>1132</v>
      </c>
      <c r="I243" s="23" t="s">
        <v>1155</v>
      </c>
      <c r="J243" s="24" t="s">
        <v>1156</v>
      </c>
      <c r="K243" s="2040">
        <f>G243+G244</f>
        <v>6500000</v>
      </c>
      <c r="L243" s="2080">
        <f t="shared" si="15"/>
        <v>-6500000</v>
      </c>
      <c r="M243" s="3"/>
    </row>
    <row r="244" spans="1:13" ht="30" customHeight="1" x14ac:dyDescent="0.2">
      <c r="A244" s="2032"/>
      <c r="B244" s="2075"/>
      <c r="C244" s="2150"/>
      <c r="D244" s="2081"/>
      <c r="E244" s="2131"/>
      <c r="F244" s="2081"/>
      <c r="G244" s="232">
        <v>500000</v>
      </c>
      <c r="H244" s="232" t="s">
        <v>1132</v>
      </c>
      <c r="I244" s="235" t="s">
        <v>1159</v>
      </c>
      <c r="J244" s="6" t="s">
        <v>1160</v>
      </c>
      <c r="K244" s="2042"/>
      <c r="L244" s="2081"/>
      <c r="M244" s="3"/>
    </row>
    <row r="245" spans="1:13" ht="30" customHeight="1" x14ac:dyDescent="0.2">
      <c r="A245" s="4">
        <v>193</v>
      </c>
      <c r="B245" s="3" t="s">
        <v>57</v>
      </c>
      <c r="C245" s="352" t="s">
        <v>1019</v>
      </c>
      <c r="D245" s="11">
        <v>10000000</v>
      </c>
      <c r="E245" s="20">
        <v>0.05</v>
      </c>
      <c r="F245" s="11">
        <f t="shared" si="13"/>
        <v>500000</v>
      </c>
      <c r="G245" s="11">
        <v>500000</v>
      </c>
      <c r="H245" s="11" t="s">
        <v>1132</v>
      </c>
      <c r="I245" s="23" t="s">
        <v>1151</v>
      </c>
      <c r="J245" s="24" t="s">
        <v>1152</v>
      </c>
      <c r="K245" s="11">
        <f t="shared" si="14"/>
        <v>500000</v>
      </c>
      <c r="L245" s="11">
        <f t="shared" si="15"/>
        <v>0</v>
      </c>
      <c r="M245" s="3"/>
    </row>
    <row r="246" spans="1:13" ht="30" customHeight="1" x14ac:dyDescent="0.2">
      <c r="A246" s="4">
        <v>194</v>
      </c>
      <c r="B246" s="3" t="s">
        <v>58</v>
      </c>
      <c r="C246" s="352" t="s">
        <v>1138</v>
      </c>
      <c r="D246" s="11">
        <v>20000000</v>
      </c>
      <c r="E246" s="20">
        <v>0.04</v>
      </c>
      <c r="F246" s="11">
        <f t="shared" si="13"/>
        <v>800000</v>
      </c>
      <c r="G246" s="11">
        <v>800000</v>
      </c>
      <c r="H246" s="11" t="s">
        <v>1132</v>
      </c>
      <c r="I246" s="23" t="s">
        <v>1136</v>
      </c>
      <c r="J246" s="24" t="s">
        <v>1137</v>
      </c>
      <c r="K246" s="11">
        <f t="shared" si="14"/>
        <v>800000</v>
      </c>
      <c r="L246" s="11">
        <f t="shared" si="15"/>
        <v>0</v>
      </c>
      <c r="M246" s="3"/>
    </row>
    <row r="247" spans="1:13" ht="30" customHeight="1" x14ac:dyDescent="0.2">
      <c r="A247" s="4">
        <v>195</v>
      </c>
      <c r="B247" s="3" t="s">
        <v>59</v>
      </c>
      <c r="C247" s="352"/>
      <c r="D247" s="11">
        <v>150000000</v>
      </c>
      <c r="E247" s="20">
        <v>0.04</v>
      </c>
      <c r="F247" s="11">
        <f t="shared" si="13"/>
        <v>6000000</v>
      </c>
      <c r="G247" s="11">
        <v>6000000</v>
      </c>
      <c r="H247" s="11" t="s">
        <v>1132</v>
      </c>
      <c r="I247" s="23" t="s">
        <v>1144</v>
      </c>
      <c r="J247" s="6" t="s">
        <v>1145</v>
      </c>
      <c r="K247" s="11">
        <f t="shared" si="14"/>
        <v>6000000</v>
      </c>
      <c r="L247" s="11">
        <f t="shared" si="15"/>
        <v>0</v>
      </c>
      <c r="M247" s="3"/>
    </row>
    <row r="248" spans="1:13" ht="30" customHeight="1" x14ac:dyDescent="0.2">
      <c r="A248" s="4">
        <v>196</v>
      </c>
      <c r="B248" s="3" t="s">
        <v>60</v>
      </c>
      <c r="C248" s="352"/>
      <c r="D248" s="11">
        <v>30000000</v>
      </c>
      <c r="E248" s="20">
        <v>8.5000000000000006E-2</v>
      </c>
      <c r="F248" s="259">
        <v>2500000</v>
      </c>
      <c r="G248" s="11">
        <v>2500000</v>
      </c>
      <c r="H248" s="11" t="s">
        <v>1177</v>
      </c>
      <c r="I248" s="23" t="s">
        <v>1204</v>
      </c>
      <c r="J248" s="6" t="s">
        <v>1205</v>
      </c>
      <c r="K248" s="11">
        <f t="shared" si="14"/>
        <v>2500000</v>
      </c>
      <c r="L248" s="252">
        <f t="shared" si="15"/>
        <v>0</v>
      </c>
      <c r="M248" s="3"/>
    </row>
    <row r="249" spans="1:13" ht="30" customHeight="1" x14ac:dyDescent="0.2">
      <c r="A249" s="4">
        <v>197</v>
      </c>
      <c r="B249" s="3" t="s">
        <v>61</v>
      </c>
      <c r="C249" s="352" t="s">
        <v>1131</v>
      </c>
      <c r="D249" s="11">
        <v>50000000</v>
      </c>
      <c r="E249" s="20">
        <v>0.05</v>
      </c>
      <c r="F249" s="11">
        <f t="shared" si="13"/>
        <v>2500000</v>
      </c>
      <c r="G249" s="11">
        <v>2500000</v>
      </c>
      <c r="H249" s="11" t="s">
        <v>1132</v>
      </c>
      <c r="I249" s="23" t="s">
        <v>1172</v>
      </c>
      <c r="J249" s="6" t="s">
        <v>1173</v>
      </c>
      <c r="K249" s="11">
        <f t="shared" si="14"/>
        <v>2500000</v>
      </c>
      <c r="L249" s="11">
        <f t="shared" si="15"/>
        <v>0</v>
      </c>
      <c r="M249" s="3"/>
    </row>
    <row r="250" spans="1:13" ht="30" customHeight="1" x14ac:dyDescent="0.2">
      <c r="A250" s="4">
        <v>198</v>
      </c>
      <c r="B250" s="3" t="s">
        <v>62</v>
      </c>
      <c r="C250" s="352"/>
      <c r="D250" s="11">
        <v>350000000</v>
      </c>
      <c r="E250" s="20">
        <v>7.0000000000000007E-2</v>
      </c>
      <c r="F250" s="11">
        <f t="shared" si="13"/>
        <v>24500000.000000004</v>
      </c>
      <c r="G250" s="11">
        <v>24500000</v>
      </c>
      <c r="H250" s="11" t="s">
        <v>1208</v>
      </c>
      <c r="I250" s="276" t="s">
        <v>1250</v>
      </c>
      <c r="J250" s="24" t="s">
        <v>1251</v>
      </c>
      <c r="K250" s="11">
        <f t="shared" si="14"/>
        <v>24500000</v>
      </c>
      <c r="L250" s="11">
        <f t="shared" si="15"/>
        <v>0</v>
      </c>
      <c r="M250" s="3"/>
    </row>
    <row r="251" spans="1:13" ht="30" customHeight="1" x14ac:dyDescent="0.2">
      <c r="A251" s="4">
        <v>199</v>
      </c>
      <c r="B251" s="3" t="s">
        <v>63</v>
      </c>
      <c r="C251" s="352"/>
      <c r="D251" s="271"/>
      <c r="E251" s="44"/>
      <c r="F251" s="271">
        <f t="shared" si="13"/>
        <v>0</v>
      </c>
      <c r="G251" s="11">
        <v>4000000</v>
      </c>
      <c r="H251" s="11" t="s">
        <v>1208</v>
      </c>
      <c r="I251" s="23" t="s">
        <v>1258</v>
      </c>
      <c r="J251" s="273" t="s">
        <v>1259</v>
      </c>
      <c r="K251" s="11">
        <f t="shared" si="14"/>
        <v>4000000</v>
      </c>
      <c r="L251" s="11">
        <f t="shared" si="15"/>
        <v>-4000000</v>
      </c>
      <c r="M251" s="3"/>
    </row>
    <row r="252" spans="1:13" ht="30" customHeight="1" x14ac:dyDescent="0.2">
      <c r="A252" s="4">
        <v>200</v>
      </c>
      <c r="B252" s="3" t="s">
        <v>64</v>
      </c>
      <c r="C252" s="352"/>
      <c r="D252" s="11">
        <v>100000000</v>
      </c>
      <c r="E252" s="20">
        <v>4.4999999999999998E-2</v>
      </c>
      <c r="F252" s="11">
        <f t="shared" si="13"/>
        <v>4500000</v>
      </c>
      <c r="G252" s="11">
        <v>4500000</v>
      </c>
      <c r="H252" s="11" t="s">
        <v>1297</v>
      </c>
      <c r="I252" s="23" t="s">
        <v>1308</v>
      </c>
      <c r="J252" s="24" t="s">
        <v>1309</v>
      </c>
      <c r="K252" s="11">
        <f t="shared" si="14"/>
        <v>4500000</v>
      </c>
      <c r="L252" s="11">
        <f t="shared" si="15"/>
        <v>0</v>
      </c>
      <c r="M252" s="3"/>
    </row>
    <row r="253" spans="1:13" ht="30" customHeight="1" x14ac:dyDescent="0.2">
      <c r="A253" s="4">
        <v>201</v>
      </c>
      <c r="B253" s="3" t="s">
        <v>1292</v>
      </c>
      <c r="C253" s="352" t="s">
        <v>1112</v>
      </c>
      <c r="D253" s="11">
        <v>60000000</v>
      </c>
      <c r="E253" s="20">
        <v>0.05</v>
      </c>
      <c r="F253" s="11">
        <f t="shared" si="13"/>
        <v>3000000</v>
      </c>
      <c r="G253" s="11">
        <v>3000000</v>
      </c>
      <c r="H253" s="11" t="s">
        <v>1177</v>
      </c>
      <c r="I253" s="23" t="s">
        <v>1191</v>
      </c>
      <c r="J253" s="24" t="s">
        <v>1192</v>
      </c>
      <c r="K253" s="11">
        <f t="shared" si="14"/>
        <v>3000000</v>
      </c>
      <c r="L253" s="11">
        <f t="shared" si="15"/>
        <v>0</v>
      </c>
      <c r="M253" s="3"/>
    </row>
    <row r="254" spans="1:13" ht="30" customHeight="1" x14ac:dyDescent="0.2">
      <c r="A254" s="4">
        <v>202</v>
      </c>
      <c r="B254" s="3" t="s">
        <v>65</v>
      </c>
      <c r="C254" s="352"/>
      <c r="D254" s="11">
        <v>30000000</v>
      </c>
      <c r="E254" s="20">
        <v>4.4999999999999998E-2</v>
      </c>
      <c r="F254" s="11">
        <f t="shared" si="13"/>
        <v>1350000</v>
      </c>
      <c r="G254" s="11">
        <v>1350000</v>
      </c>
      <c r="H254" s="11" t="s">
        <v>1264</v>
      </c>
      <c r="I254" s="23" t="s">
        <v>1272</v>
      </c>
      <c r="J254" s="24" t="s">
        <v>1273</v>
      </c>
      <c r="K254" s="11">
        <f t="shared" si="14"/>
        <v>1350000</v>
      </c>
      <c r="L254" s="11">
        <f t="shared" si="15"/>
        <v>0</v>
      </c>
      <c r="M254" s="3"/>
    </row>
    <row r="255" spans="1:13" ht="30" customHeight="1" x14ac:dyDescent="0.2">
      <c r="A255" s="4">
        <v>203</v>
      </c>
      <c r="B255" s="3" t="s">
        <v>66</v>
      </c>
      <c r="C255" s="352"/>
      <c r="D255" s="234"/>
      <c r="E255" s="44"/>
      <c r="F255" s="234">
        <f t="shared" si="13"/>
        <v>0</v>
      </c>
      <c r="G255" s="11">
        <v>1000000</v>
      </c>
      <c r="H255" s="11" t="s">
        <v>1132</v>
      </c>
      <c r="I255" s="23" t="s">
        <v>1134</v>
      </c>
      <c r="J255" s="24" t="s">
        <v>1135</v>
      </c>
      <c r="K255" s="11">
        <f t="shared" si="14"/>
        <v>1000000</v>
      </c>
      <c r="L255" s="234">
        <f t="shared" si="15"/>
        <v>-1000000</v>
      </c>
      <c r="M255" s="3"/>
    </row>
    <row r="256" spans="1:13" ht="30" customHeight="1" x14ac:dyDescent="0.2">
      <c r="A256" s="4">
        <v>204</v>
      </c>
      <c r="B256" s="3" t="s">
        <v>67</v>
      </c>
      <c r="C256" s="352" t="s">
        <v>1019</v>
      </c>
      <c r="D256" s="11">
        <v>150000000</v>
      </c>
      <c r="E256" s="20">
        <v>0.04</v>
      </c>
      <c r="F256" s="11">
        <f t="shared" si="13"/>
        <v>6000000</v>
      </c>
      <c r="G256" s="11">
        <v>6000000</v>
      </c>
      <c r="H256" s="11" t="s">
        <v>1013</v>
      </c>
      <c r="I256" s="23" t="s">
        <v>1014</v>
      </c>
      <c r="J256" s="24" t="s">
        <v>1015</v>
      </c>
      <c r="K256" s="11">
        <f t="shared" si="14"/>
        <v>6000000</v>
      </c>
      <c r="L256" s="11">
        <f t="shared" si="15"/>
        <v>0</v>
      </c>
      <c r="M256" s="3"/>
    </row>
    <row r="257" spans="1:13" ht="30" customHeight="1" x14ac:dyDescent="0.2">
      <c r="A257" s="2031">
        <v>205</v>
      </c>
      <c r="B257" s="2074" t="s">
        <v>69</v>
      </c>
      <c r="C257" s="2149" t="s">
        <v>700</v>
      </c>
      <c r="D257" s="11">
        <v>45000000</v>
      </c>
      <c r="E257" s="20">
        <v>0.04</v>
      </c>
      <c r="F257" s="11">
        <f t="shared" si="13"/>
        <v>1800000</v>
      </c>
      <c r="G257" s="11">
        <v>1800000</v>
      </c>
      <c r="H257" s="11" t="s">
        <v>1132</v>
      </c>
      <c r="I257" s="23" t="s">
        <v>1149</v>
      </c>
      <c r="J257" s="2128" t="s">
        <v>1150</v>
      </c>
      <c r="K257" s="2040">
        <f>G257+G258</f>
        <v>3800000</v>
      </c>
      <c r="L257" s="2040">
        <f>(F257+F258)-K257</f>
        <v>0</v>
      </c>
      <c r="M257" s="2031"/>
    </row>
    <row r="258" spans="1:13" ht="30" customHeight="1" x14ac:dyDescent="0.2">
      <c r="A258" s="2032"/>
      <c r="B258" s="2075"/>
      <c r="C258" s="2150"/>
      <c r="D258" s="250">
        <v>50000000</v>
      </c>
      <c r="E258" s="20">
        <v>0.04</v>
      </c>
      <c r="F258" s="250">
        <f t="shared" si="13"/>
        <v>2000000</v>
      </c>
      <c r="G258" s="250">
        <v>2000000</v>
      </c>
      <c r="H258" s="250" t="s">
        <v>1177</v>
      </c>
      <c r="I258" s="254" t="s">
        <v>1202</v>
      </c>
      <c r="J258" s="2129"/>
      <c r="K258" s="2042"/>
      <c r="L258" s="2042"/>
      <c r="M258" s="2032"/>
    </row>
    <row r="259" spans="1:13" ht="30" customHeight="1" x14ac:dyDescent="0.2">
      <c r="A259" s="4">
        <v>206</v>
      </c>
      <c r="B259" s="3" t="s">
        <v>70</v>
      </c>
      <c r="C259" s="352" t="s">
        <v>1131</v>
      </c>
      <c r="D259" s="11">
        <v>15000000</v>
      </c>
      <c r="E259" s="20">
        <v>0.04</v>
      </c>
      <c r="F259" s="11">
        <f t="shared" ref="F259:F306" si="16">D259*E259</f>
        <v>600000</v>
      </c>
      <c r="G259" s="11">
        <v>600000</v>
      </c>
      <c r="H259" s="11" t="s">
        <v>1032</v>
      </c>
      <c r="I259" s="23" t="s">
        <v>1129</v>
      </c>
      <c r="J259" s="24" t="s">
        <v>1130</v>
      </c>
      <c r="K259" s="11">
        <f t="shared" ref="K259:K307" si="17">G259</f>
        <v>600000</v>
      </c>
      <c r="L259" s="11">
        <f t="shared" ref="L259:L307" si="18">F259-K259</f>
        <v>0</v>
      </c>
      <c r="M259" s="3"/>
    </row>
    <row r="260" spans="1:13" ht="30" customHeight="1" x14ac:dyDescent="0.2">
      <c r="A260" s="4">
        <v>207</v>
      </c>
      <c r="B260" s="3" t="s">
        <v>71</v>
      </c>
      <c r="C260" s="352"/>
      <c r="D260" s="11">
        <v>10000000</v>
      </c>
      <c r="E260" s="20">
        <v>0.05</v>
      </c>
      <c r="F260" s="11">
        <f t="shared" si="16"/>
        <v>500000</v>
      </c>
      <c r="G260" s="11">
        <v>500000</v>
      </c>
      <c r="H260" s="11" t="s">
        <v>1264</v>
      </c>
      <c r="I260" s="23" t="s">
        <v>1276</v>
      </c>
      <c r="J260" s="88" t="s">
        <v>1277</v>
      </c>
      <c r="K260" s="11">
        <f t="shared" si="17"/>
        <v>500000</v>
      </c>
      <c r="L260" s="11">
        <f t="shared" si="18"/>
        <v>0</v>
      </c>
      <c r="M260" s="3"/>
    </row>
    <row r="261" spans="1:13" ht="30" customHeight="1" x14ac:dyDescent="0.2">
      <c r="A261" s="4">
        <v>208</v>
      </c>
      <c r="B261" s="3" t="s">
        <v>73</v>
      </c>
      <c r="C261" s="352"/>
      <c r="D261" s="108"/>
      <c r="E261" s="44"/>
      <c r="F261" s="108">
        <f t="shared" si="16"/>
        <v>0</v>
      </c>
      <c r="G261" s="11">
        <v>4000000</v>
      </c>
      <c r="H261" s="11" t="s">
        <v>676</v>
      </c>
      <c r="I261" s="23" t="s">
        <v>720</v>
      </c>
      <c r="J261" s="24" t="s">
        <v>721</v>
      </c>
      <c r="K261" s="11">
        <f t="shared" si="17"/>
        <v>4000000</v>
      </c>
      <c r="L261" s="108">
        <f t="shared" si="18"/>
        <v>-4000000</v>
      </c>
      <c r="M261" s="3"/>
    </row>
    <row r="262" spans="1:13" ht="30" customHeight="1" x14ac:dyDescent="0.2">
      <c r="A262" s="4">
        <v>209</v>
      </c>
      <c r="B262" s="3" t="s">
        <v>74</v>
      </c>
      <c r="C262" s="352"/>
      <c r="D262" s="11">
        <v>100000000</v>
      </c>
      <c r="E262" s="20">
        <v>0.05</v>
      </c>
      <c r="F262" s="11">
        <f t="shared" si="16"/>
        <v>5000000</v>
      </c>
      <c r="G262" s="11">
        <v>5000000</v>
      </c>
      <c r="H262" s="11" t="s">
        <v>432</v>
      </c>
      <c r="I262" s="23" t="s">
        <v>435</v>
      </c>
      <c r="J262" s="24" t="s">
        <v>436</v>
      </c>
      <c r="K262" s="11">
        <f t="shared" si="17"/>
        <v>5000000</v>
      </c>
      <c r="L262" s="11">
        <f t="shared" si="18"/>
        <v>0</v>
      </c>
      <c r="M262" s="3"/>
    </row>
    <row r="263" spans="1:13" ht="30" customHeight="1" x14ac:dyDescent="0.2">
      <c r="A263" s="4">
        <v>210</v>
      </c>
      <c r="B263" s="3" t="s">
        <v>75</v>
      </c>
      <c r="C263" s="352"/>
      <c r="D263" s="11">
        <v>30000000</v>
      </c>
      <c r="E263" s="20">
        <v>0.05</v>
      </c>
      <c r="F263" s="11">
        <f t="shared" si="16"/>
        <v>1500000</v>
      </c>
      <c r="G263" s="11">
        <v>1500000</v>
      </c>
      <c r="H263" s="11" t="s">
        <v>1325</v>
      </c>
      <c r="I263" s="23" t="s">
        <v>1326</v>
      </c>
      <c r="J263" s="24" t="s">
        <v>1327</v>
      </c>
      <c r="K263" s="11">
        <f t="shared" si="17"/>
        <v>1500000</v>
      </c>
      <c r="L263" s="11">
        <f t="shared" si="18"/>
        <v>0</v>
      </c>
      <c r="M263" s="3"/>
    </row>
    <row r="264" spans="1:13" ht="30" customHeight="1" x14ac:dyDescent="0.2">
      <c r="A264" s="4">
        <v>211</v>
      </c>
      <c r="B264" s="3" t="s">
        <v>76</v>
      </c>
      <c r="C264" s="352"/>
      <c r="D264" s="11">
        <v>15000000</v>
      </c>
      <c r="E264" s="20">
        <v>4.7E-2</v>
      </c>
      <c r="F264" s="11">
        <v>700000</v>
      </c>
      <c r="G264" s="11">
        <v>700000</v>
      </c>
      <c r="H264" s="11" t="s">
        <v>329</v>
      </c>
      <c r="I264" s="23" t="s">
        <v>330</v>
      </c>
      <c r="J264" s="24" t="s">
        <v>331</v>
      </c>
      <c r="K264" s="11">
        <f t="shared" si="17"/>
        <v>700000</v>
      </c>
      <c r="L264" s="11">
        <f t="shared" si="18"/>
        <v>0</v>
      </c>
      <c r="M264" s="3"/>
    </row>
    <row r="265" spans="1:13" ht="30" customHeight="1" x14ac:dyDescent="0.2">
      <c r="A265" s="4">
        <v>212</v>
      </c>
      <c r="B265" s="3" t="s">
        <v>966</v>
      </c>
      <c r="C265" s="352"/>
      <c r="D265" s="11">
        <v>200000000</v>
      </c>
      <c r="E265" s="20">
        <v>5.5E-2</v>
      </c>
      <c r="F265" s="11">
        <f t="shared" si="16"/>
        <v>11000000</v>
      </c>
      <c r="G265" s="11">
        <v>11000000</v>
      </c>
      <c r="H265" s="11" t="s">
        <v>702</v>
      </c>
      <c r="I265" s="152" t="s">
        <v>946</v>
      </c>
      <c r="J265" s="24" t="s">
        <v>947</v>
      </c>
      <c r="K265" s="11">
        <f t="shared" si="17"/>
        <v>11000000</v>
      </c>
      <c r="L265" s="11">
        <f t="shared" si="18"/>
        <v>0</v>
      </c>
      <c r="M265" s="3"/>
    </row>
    <row r="266" spans="1:13" ht="30" customHeight="1" x14ac:dyDescent="0.2">
      <c r="A266" s="4">
        <v>213</v>
      </c>
      <c r="B266" s="3" t="s">
        <v>77</v>
      </c>
      <c r="C266" s="352"/>
      <c r="D266" s="11">
        <v>70000000</v>
      </c>
      <c r="E266" s="20">
        <v>0.05</v>
      </c>
      <c r="F266" s="11">
        <f t="shared" si="16"/>
        <v>3500000</v>
      </c>
      <c r="G266" s="11">
        <v>3500000</v>
      </c>
      <c r="H266" s="11" t="s">
        <v>432</v>
      </c>
      <c r="I266" s="23" t="s">
        <v>433</v>
      </c>
      <c r="J266" s="24" t="s">
        <v>434</v>
      </c>
      <c r="K266" s="11">
        <f t="shared" si="17"/>
        <v>3500000</v>
      </c>
      <c r="L266" s="11">
        <f t="shared" si="18"/>
        <v>0</v>
      </c>
      <c r="M266" s="3"/>
    </row>
    <row r="267" spans="1:13" ht="30" customHeight="1" x14ac:dyDescent="0.2">
      <c r="A267" s="4">
        <v>214</v>
      </c>
      <c r="B267" s="3" t="s">
        <v>78</v>
      </c>
      <c r="C267" s="352"/>
      <c r="D267" s="84"/>
      <c r="E267" s="44"/>
      <c r="F267" s="84">
        <f t="shared" si="16"/>
        <v>0</v>
      </c>
      <c r="G267" s="11">
        <v>11250000</v>
      </c>
      <c r="H267" s="11" t="s">
        <v>587</v>
      </c>
      <c r="I267" s="23" t="s">
        <v>607</v>
      </c>
      <c r="J267" s="21" t="s">
        <v>608</v>
      </c>
      <c r="K267" s="11">
        <f t="shared" si="17"/>
        <v>11250000</v>
      </c>
      <c r="L267" s="84">
        <f t="shared" si="18"/>
        <v>-11250000</v>
      </c>
      <c r="M267" s="3"/>
    </row>
    <row r="268" spans="1:13" ht="30" customHeight="1" x14ac:dyDescent="0.2">
      <c r="A268" s="4">
        <v>215</v>
      </c>
      <c r="B268" s="3" t="s">
        <v>80</v>
      </c>
      <c r="C268" s="352"/>
      <c r="D268" s="217">
        <v>160000000</v>
      </c>
      <c r="E268" s="20">
        <v>0.05</v>
      </c>
      <c r="F268" s="217">
        <f t="shared" si="16"/>
        <v>8000000</v>
      </c>
      <c r="G268" s="11">
        <v>8000000</v>
      </c>
      <c r="H268" s="11" t="s">
        <v>703</v>
      </c>
      <c r="I268" s="23" t="s">
        <v>1075</v>
      </c>
      <c r="J268" s="88" t="s">
        <v>1076</v>
      </c>
      <c r="K268" s="11">
        <f t="shared" si="17"/>
        <v>8000000</v>
      </c>
      <c r="L268" s="11">
        <f t="shared" si="18"/>
        <v>0</v>
      </c>
      <c r="M268" s="3"/>
    </row>
    <row r="269" spans="1:13" ht="30" customHeight="1" x14ac:dyDescent="0.2">
      <c r="A269" s="4">
        <v>216</v>
      </c>
      <c r="B269" s="3" t="s">
        <v>81</v>
      </c>
      <c r="C269" s="352"/>
      <c r="D269" s="11">
        <v>45000000</v>
      </c>
      <c r="E269" s="20">
        <v>0.04</v>
      </c>
      <c r="F269" s="11">
        <f t="shared" si="16"/>
        <v>1800000</v>
      </c>
      <c r="G269" s="11">
        <v>1800000</v>
      </c>
      <c r="H269" s="11" t="s">
        <v>294</v>
      </c>
      <c r="I269" s="23" t="s">
        <v>307</v>
      </c>
      <c r="J269" s="24" t="s">
        <v>308</v>
      </c>
      <c r="K269" s="11">
        <f t="shared" si="17"/>
        <v>1800000</v>
      </c>
      <c r="L269" s="11">
        <f t="shared" si="18"/>
        <v>0</v>
      </c>
      <c r="M269" s="3"/>
    </row>
    <row r="270" spans="1:13" ht="30" customHeight="1" x14ac:dyDescent="0.2">
      <c r="A270" s="4">
        <v>217</v>
      </c>
      <c r="B270" s="3" t="s">
        <v>1905</v>
      </c>
      <c r="C270" s="352"/>
      <c r="D270" s="29"/>
      <c r="E270" s="44"/>
      <c r="F270" s="29">
        <f t="shared" si="16"/>
        <v>0</v>
      </c>
      <c r="G270" s="11">
        <v>100000</v>
      </c>
      <c r="H270" s="11" t="s">
        <v>388</v>
      </c>
      <c r="I270" s="23" t="s">
        <v>406</v>
      </c>
      <c r="J270" s="24" t="s">
        <v>407</v>
      </c>
      <c r="K270" s="11">
        <f t="shared" si="17"/>
        <v>100000</v>
      </c>
      <c r="L270" s="29">
        <f t="shared" si="18"/>
        <v>-100000</v>
      </c>
      <c r="M270" s="3"/>
    </row>
    <row r="271" spans="1:13" ht="30" customHeight="1" x14ac:dyDescent="0.2">
      <c r="A271" s="2031">
        <v>218</v>
      </c>
      <c r="B271" s="2074" t="s">
        <v>83</v>
      </c>
      <c r="C271" s="2149"/>
      <c r="D271" s="2040">
        <v>203000000</v>
      </c>
      <c r="E271" s="2037">
        <v>0.05</v>
      </c>
      <c r="F271" s="2040">
        <f t="shared" si="16"/>
        <v>10150000</v>
      </c>
      <c r="G271" s="11">
        <v>150000</v>
      </c>
      <c r="H271" s="11" t="s">
        <v>294</v>
      </c>
      <c r="I271" s="23" t="s">
        <v>297</v>
      </c>
      <c r="J271" s="24" t="s">
        <v>298</v>
      </c>
      <c r="K271" s="2040">
        <f>G271+G272</f>
        <v>10150000</v>
      </c>
      <c r="L271" s="2040">
        <f t="shared" si="18"/>
        <v>0</v>
      </c>
      <c r="M271" s="3"/>
    </row>
    <row r="272" spans="1:13" ht="30" customHeight="1" x14ac:dyDescent="0.2">
      <c r="A272" s="2032"/>
      <c r="B272" s="2075"/>
      <c r="C272" s="2150"/>
      <c r="D272" s="2042"/>
      <c r="E272" s="2039"/>
      <c r="F272" s="2042"/>
      <c r="G272" s="11">
        <v>10000000</v>
      </c>
      <c r="H272" s="11" t="s">
        <v>294</v>
      </c>
      <c r="I272" s="23" t="s">
        <v>299</v>
      </c>
      <c r="J272" s="24" t="s">
        <v>298</v>
      </c>
      <c r="K272" s="2042"/>
      <c r="L272" s="2042"/>
      <c r="M272" s="3"/>
    </row>
    <row r="273" spans="1:13" ht="30" customHeight="1" x14ac:dyDescent="0.2">
      <c r="A273" s="2031">
        <v>219</v>
      </c>
      <c r="B273" s="2074" t="s">
        <v>332</v>
      </c>
      <c r="C273" s="2149"/>
      <c r="D273" s="2040">
        <v>275000000</v>
      </c>
      <c r="E273" s="2037">
        <v>4.2000000000000003E-2</v>
      </c>
      <c r="F273" s="2040">
        <f>D273*E273</f>
        <v>11550000</v>
      </c>
      <c r="G273" s="19">
        <v>10000000</v>
      </c>
      <c r="H273" s="11" t="s">
        <v>329</v>
      </c>
      <c r="I273" s="23" t="s">
        <v>333</v>
      </c>
      <c r="J273" s="24" t="s">
        <v>335</v>
      </c>
      <c r="K273" s="2040">
        <f>G273+G274</f>
        <v>11550000</v>
      </c>
      <c r="L273" s="2040">
        <f t="shared" si="18"/>
        <v>0</v>
      </c>
      <c r="M273" s="2031"/>
    </row>
    <row r="274" spans="1:13" ht="30" customHeight="1" x14ac:dyDescent="0.2">
      <c r="A274" s="2032"/>
      <c r="B274" s="2075"/>
      <c r="C274" s="2150"/>
      <c r="D274" s="2042"/>
      <c r="E274" s="2039"/>
      <c r="F274" s="2042"/>
      <c r="G274" s="19">
        <v>1550000</v>
      </c>
      <c r="H274" s="19" t="s">
        <v>329</v>
      </c>
      <c r="I274" s="23" t="s">
        <v>334</v>
      </c>
      <c r="J274" s="24" t="s">
        <v>335</v>
      </c>
      <c r="K274" s="2042"/>
      <c r="L274" s="2042"/>
      <c r="M274" s="2032"/>
    </row>
    <row r="275" spans="1:13" ht="30" customHeight="1" x14ac:dyDescent="0.2">
      <c r="A275" s="2031">
        <v>220</v>
      </c>
      <c r="B275" s="2074" t="s">
        <v>84</v>
      </c>
      <c r="C275" s="2149" t="s">
        <v>1342</v>
      </c>
      <c r="D275" s="2157">
        <v>730000000</v>
      </c>
      <c r="E275" s="2157" t="s">
        <v>1252</v>
      </c>
      <c r="F275" s="2157"/>
      <c r="G275" s="11">
        <v>25000000</v>
      </c>
      <c r="H275" s="11" t="s">
        <v>388</v>
      </c>
      <c r="I275" s="36" t="s">
        <v>424</v>
      </c>
      <c r="J275" s="24" t="s">
        <v>1417</v>
      </c>
      <c r="K275" s="2040">
        <f>G275+G276</f>
        <v>30000000</v>
      </c>
      <c r="L275" s="2040"/>
      <c r="M275" s="2031"/>
    </row>
    <row r="276" spans="1:13" ht="30" customHeight="1" x14ac:dyDescent="0.2">
      <c r="A276" s="2034"/>
      <c r="B276" s="2110"/>
      <c r="C276" s="2158"/>
      <c r="D276" s="2157"/>
      <c r="E276" s="2157"/>
      <c r="F276" s="2157"/>
      <c r="G276" s="75">
        <v>5000000</v>
      </c>
      <c r="H276" s="75" t="s">
        <v>557</v>
      </c>
      <c r="I276" s="36" t="s">
        <v>579</v>
      </c>
      <c r="J276" s="24" t="s">
        <v>1417</v>
      </c>
      <c r="K276" s="2042"/>
      <c r="L276" s="2042"/>
      <c r="M276" s="2032"/>
    </row>
    <row r="277" spans="1:13" ht="30" customHeight="1" x14ac:dyDescent="0.2">
      <c r="A277" s="2034"/>
      <c r="B277" s="2110"/>
      <c r="C277" s="2158"/>
      <c r="D277" s="2040">
        <v>700000000</v>
      </c>
      <c r="E277" s="2037">
        <v>5.5E-2</v>
      </c>
      <c r="F277" s="2040">
        <f>D277*E277</f>
        <v>38500000</v>
      </c>
      <c r="G277" s="368">
        <v>20000000</v>
      </c>
      <c r="H277" s="368" t="s">
        <v>1208</v>
      </c>
      <c r="I277" s="36"/>
      <c r="J277" s="24"/>
      <c r="K277" s="2040">
        <f>G277+G278</f>
        <v>35000000</v>
      </c>
      <c r="L277" s="2040">
        <f>F277-K277</f>
        <v>3500000</v>
      </c>
      <c r="M277" s="2161" t="s">
        <v>1419</v>
      </c>
    </row>
    <row r="278" spans="1:13" ht="30" customHeight="1" x14ac:dyDescent="0.2">
      <c r="A278" s="2032"/>
      <c r="B278" s="2075"/>
      <c r="C278" s="2150"/>
      <c r="D278" s="2042"/>
      <c r="E278" s="2039"/>
      <c r="F278" s="2042"/>
      <c r="G278" s="269">
        <v>15000000</v>
      </c>
      <c r="H278" s="269" t="s">
        <v>1297</v>
      </c>
      <c r="I278" s="36" t="s">
        <v>1305</v>
      </c>
      <c r="J278" s="24" t="s">
        <v>1417</v>
      </c>
      <c r="K278" s="2042"/>
      <c r="L278" s="2042"/>
      <c r="M278" s="2162"/>
    </row>
    <row r="279" spans="1:13" ht="30" customHeight="1" x14ac:dyDescent="0.2">
      <c r="A279" s="4">
        <v>221</v>
      </c>
      <c r="B279" s="3" t="s">
        <v>85</v>
      </c>
      <c r="C279" s="352" t="s">
        <v>1750</v>
      </c>
      <c r="D279" s="510">
        <v>100000000</v>
      </c>
      <c r="E279" s="519">
        <v>0.05</v>
      </c>
      <c r="F279" s="510">
        <f t="shared" si="16"/>
        <v>5000000</v>
      </c>
      <c r="G279" s="11">
        <v>10000000</v>
      </c>
      <c r="H279" s="11" t="s">
        <v>329</v>
      </c>
      <c r="I279" s="23" t="s">
        <v>370</v>
      </c>
      <c r="J279" s="24" t="s">
        <v>371</v>
      </c>
      <c r="K279" s="11">
        <f t="shared" si="17"/>
        <v>10000000</v>
      </c>
      <c r="L279" s="510">
        <f t="shared" si="18"/>
        <v>-5000000</v>
      </c>
      <c r="M279" s="82" t="s">
        <v>1749</v>
      </c>
    </row>
    <row r="280" spans="1:13" ht="30" customHeight="1" x14ac:dyDescent="0.2">
      <c r="A280" s="4">
        <v>222</v>
      </c>
      <c r="B280" s="3" t="s">
        <v>86</v>
      </c>
      <c r="C280" s="352"/>
      <c r="D280" s="11">
        <v>10000000</v>
      </c>
      <c r="E280" s="20">
        <v>0.05</v>
      </c>
      <c r="F280" s="11">
        <f t="shared" si="16"/>
        <v>500000</v>
      </c>
      <c r="G280" s="11">
        <v>500000</v>
      </c>
      <c r="H280" s="11" t="s">
        <v>329</v>
      </c>
      <c r="I280" s="23" t="s">
        <v>361</v>
      </c>
      <c r="J280" s="24" t="s">
        <v>362</v>
      </c>
      <c r="K280" s="11">
        <f t="shared" si="17"/>
        <v>500000</v>
      </c>
      <c r="L280" s="11">
        <f t="shared" si="18"/>
        <v>0</v>
      </c>
      <c r="M280" s="3"/>
    </row>
    <row r="281" spans="1:13" ht="30" customHeight="1" x14ac:dyDescent="0.2">
      <c r="A281" s="4">
        <v>223</v>
      </c>
      <c r="B281" s="3" t="s">
        <v>87</v>
      </c>
      <c r="C281" s="352"/>
      <c r="D281" s="108"/>
      <c r="E281" s="44"/>
      <c r="F281" s="108">
        <f t="shared" si="16"/>
        <v>0</v>
      </c>
      <c r="G281" s="11">
        <v>1000000</v>
      </c>
      <c r="H281" s="11" t="s">
        <v>728</v>
      </c>
      <c r="I281" s="23" t="s">
        <v>732</v>
      </c>
      <c r="J281" s="21" t="s">
        <v>731</v>
      </c>
      <c r="K281" s="11">
        <f t="shared" si="17"/>
        <v>1000000</v>
      </c>
      <c r="L281" s="108">
        <f t="shared" si="18"/>
        <v>-1000000</v>
      </c>
      <c r="M281" s="82" t="s">
        <v>733</v>
      </c>
    </row>
    <row r="282" spans="1:13" ht="30" customHeight="1" x14ac:dyDescent="0.2">
      <c r="A282" s="2031">
        <v>224</v>
      </c>
      <c r="B282" s="2074" t="s">
        <v>88</v>
      </c>
      <c r="C282" s="2149"/>
      <c r="D282" s="174"/>
      <c r="E282" s="2115" t="s">
        <v>1284</v>
      </c>
      <c r="F282" s="2116"/>
      <c r="G282" s="11">
        <v>40000000</v>
      </c>
      <c r="H282" s="11" t="s">
        <v>329</v>
      </c>
      <c r="I282" s="23" t="s">
        <v>660</v>
      </c>
      <c r="J282" s="24" t="s">
        <v>661</v>
      </c>
      <c r="K282" s="11">
        <f t="shared" si="17"/>
        <v>40000000</v>
      </c>
      <c r="L282" s="97">
        <f t="shared" si="18"/>
        <v>-40000000</v>
      </c>
      <c r="M282" s="3"/>
    </row>
    <row r="283" spans="1:13" ht="30" customHeight="1" x14ac:dyDescent="0.2">
      <c r="A283" s="2032"/>
      <c r="B283" s="2075"/>
      <c r="C283" s="2150"/>
      <c r="D283" s="280">
        <v>500000000</v>
      </c>
      <c r="E283" s="20">
        <v>0.06</v>
      </c>
      <c r="F283" s="20">
        <f>D283*E283</f>
        <v>30000000</v>
      </c>
      <c r="G283" s="1947" t="s">
        <v>1285</v>
      </c>
      <c r="H283" s="1948"/>
      <c r="I283" s="1948"/>
      <c r="J283" s="1948"/>
      <c r="K283" s="1949"/>
      <c r="L283" s="278"/>
      <c r="M283" s="3"/>
    </row>
    <row r="284" spans="1:13" ht="30" customHeight="1" x14ac:dyDescent="0.2">
      <c r="A284" s="4">
        <v>225</v>
      </c>
      <c r="B284" s="3" t="s">
        <v>89</v>
      </c>
      <c r="C284" s="352"/>
      <c r="D284" s="11">
        <v>20000000</v>
      </c>
      <c r="E284" s="20">
        <v>0.05</v>
      </c>
      <c r="F284" s="11">
        <f>D284*E284</f>
        <v>1000000</v>
      </c>
      <c r="G284" s="11">
        <v>1000000</v>
      </c>
      <c r="H284" s="11" t="s">
        <v>329</v>
      </c>
      <c r="I284" s="23" t="s">
        <v>368</v>
      </c>
      <c r="J284" s="21" t="s">
        <v>369</v>
      </c>
      <c r="K284" s="11">
        <f t="shared" si="17"/>
        <v>1000000</v>
      </c>
      <c r="L284" s="11">
        <f t="shared" si="18"/>
        <v>0</v>
      </c>
      <c r="M284" s="3"/>
    </row>
    <row r="285" spans="1:13" ht="30" customHeight="1" x14ac:dyDescent="0.2">
      <c r="A285" s="4">
        <v>226</v>
      </c>
      <c r="B285" s="3" t="s">
        <v>90</v>
      </c>
      <c r="C285" s="352"/>
      <c r="D285" s="54"/>
      <c r="E285" s="44"/>
      <c r="F285" s="54">
        <f t="shared" si="16"/>
        <v>0</v>
      </c>
      <c r="G285" s="11">
        <v>800000</v>
      </c>
      <c r="H285" s="11" t="s">
        <v>388</v>
      </c>
      <c r="I285" s="23" t="s">
        <v>425</v>
      </c>
      <c r="J285" s="30" t="s">
        <v>426</v>
      </c>
      <c r="K285" s="11">
        <f t="shared" si="17"/>
        <v>800000</v>
      </c>
      <c r="L285" s="54">
        <f t="shared" si="18"/>
        <v>-800000</v>
      </c>
      <c r="M285" s="3"/>
    </row>
    <row r="286" spans="1:13" ht="30" customHeight="1" x14ac:dyDescent="0.2">
      <c r="A286" s="4">
        <v>227</v>
      </c>
      <c r="B286" s="3" t="s">
        <v>91</v>
      </c>
      <c r="C286" s="352"/>
      <c r="D286" s="29"/>
      <c r="E286" s="44"/>
      <c r="F286" s="29">
        <f t="shared" si="16"/>
        <v>0</v>
      </c>
      <c r="G286" s="11">
        <v>2600000</v>
      </c>
      <c r="H286" s="11" t="s">
        <v>388</v>
      </c>
      <c r="I286" s="23" t="s">
        <v>389</v>
      </c>
      <c r="J286" s="24" t="s">
        <v>390</v>
      </c>
      <c r="K286" s="11">
        <f t="shared" si="17"/>
        <v>2600000</v>
      </c>
      <c r="L286" s="29">
        <f t="shared" si="18"/>
        <v>-2600000</v>
      </c>
      <c r="M286" s="3"/>
    </row>
    <row r="287" spans="1:13" ht="30" customHeight="1" x14ac:dyDescent="0.2">
      <c r="A287" s="4">
        <v>228</v>
      </c>
      <c r="B287" s="3" t="s">
        <v>92</v>
      </c>
      <c r="C287" s="352"/>
      <c r="D287" s="11">
        <v>20000000</v>
      </c>
      <c r="E287" s="20">
        <v>0.05</v>
      </c>
      <c r="F287" s="11">
        <f t="shared" si="16"/>
        <v>1000000</v>
      </c>
      <c r="G287" s="11">
        <v>1000000</v>
      </c>
      <c r="H287" s="11" t="s">
        <v>453</v>
      </c>
      <c r="I287" s="23" t="s">
        <v>458</v>
      </c>
      <c r="J287" s="24" t="s">
        <v>459</v>
      </c>
      <c r="K287" s="11">
        <f t="shared" si="17"/>
        <v>1000000</v>
      </c>
      <c r="L287" s="11">
        <f t="shared" si="18"/>
        <v>0</v>
      </c>
      <c r="M287" s="3"/>
    </row>
    <row r="288" spans="1:13" ht="30" customHeight="1" x14ac:dyDescent="0.2">
      <c r="A288" s="4">
        <v>229</v>
      </c>
      <c r="B288" s="3" t="s">
        <v>93</v>
      </c>
      <c r="C288" s="352"/>
      <c r="D288" s="11">
        <v>30000000</v>
      </c>
      <c r="E288" s="20">
        <v>4.4999999999999998E-2</v>
      </c>
      <c r="F288" s="11">
        <f t="shared" si="16"/>
        <v>1350000</v>
      </c>
      <c r="G288" s="11">
        <v>1350000</v>
      </c>
      <c r="H288" s="11" t="s">
        <v>294</v>
      </c>
      <c r="I288" s="23" t="s">
        <v>302</v>
      </c>
      <c r="J288" s="30" t="s">
        <v>303</v>
      </c>
      <c r="K288" s="11">
        <f t="shared" si="17"/>
        <v>1350000</v>
      </c>
      <c r="L288" s="11">
        <f t="shared" si="18"/>
        <v>0</v>
      </c>
      <c r="M288" s="3"/>
    </row>
    <row r="289" spans="1:13" ht="30" customHeight="1" x14ac:dyDescent="0.2">
      <c r="A289" s="4">
        <v>230</v>
      </c>
      <c r="B289" s="3" t="s">
        <v>94</v>
      </c>
      <c r="C289" s="352"/>
      <c r="D289" s="11">
        <v>55000000</v>
      </c>
      <c r="E289" s="20">
        <v>0.04</v>
      </c>
      <c r="F289" s="11">
        <f t="shared" si="16"/>
        <v>2200000</v>
      </c>
      <c r="G289" s="11">
        <v>2200000</v>
      </c>
      <c r="H289" s="11" t="s">
        <v>329</v>
      </c>
      <c r="I289" s="23" t="s">
        <v>381</v>
      </c>
      <c r="J289" s="24" t="s">
        <v>382</v>
      </c>
      <c r="K289" s="11">
        <f t="shared" si="17"/>
        <v>2200000</v>
      </c>
      <c r="L289" s="11">
        <f t="shared" si="18"/>
        <v>0</v>
      </c>
      <c r="M289" s="3"/>
    </row>
    <row r="290" spans="1:13" ht="30" customHeight="1" x14ac:dyDescent="0.2">
      <c r="A290" s="4">
        <v>231</v>
      </c>
      <c r="B290" s="13" t="s">
        <v>280</v>
      </c>
      <c r="C290" s="352"/>
      <c r="D290" s="11">
        <v>50000000</v>
      </c>
      <c r="E290" s="20">
        <v>0.05</v>
      </c>
      <c r="F290" s="11">
        <f t="shared" si="16"/>
        <v>2500000</v>
      </c>
      <c r="G290" s="11">
        <v>2500000</v>
      </c>
      <c r="H290" s="11" t="s">
        <v>268</v>
      </c>
      <c r="I290" s="23">
        <v>875357457</v>
      </c>
      <c r="J290" s="24" t="s">
        <v>278</v>
      </c>
      <c r="K290" s="11">
        <f t="shared" si="17"/>
        <v>2500000</v>
      </c>
      <c r="L290" s="11">
        <f t="shared" si="18"/>
        <v>0</v>
      </c>
      <c r="M290" s="18" t="s">
        <v>279</v>
      </c>
    </row>
    <row r="291" spans="1:13" ht="30" customHeight="1" x14ac:dyDescent="0.2">
      <c r="A291" s="2031">
        <v>232</v>
      </c>
      <c r="B291" s="2074" t="s">
        <v>95</v>
      </c>
      <c r="C291" s="2149"/>
      <c r="D291" s="2080"/>
      <c r="E291" s="2082"/>
      <c r="F291" s="2040">
        <v>21000000</v>
      </c>
      <c r="G291" s="11">
        <v>15000000</v>
      </c>
      <c r="H291" s="11" t="s">
        <v>501</v>
      </c>
      <c r="I291" s="36" t="s">
        <v>517</v>
      </c>
      <c r="J291" s="24" t="s">
        <v>518</v>
      </c>
      <c r="K291" s="2040">
        <f>G291+G292+G293</f>
        <v>42000000</v>
      </c>
      <c r="L291" s="2040">
        <f>(F291+F293)-K291</f>
        <v>0</v>
      </c>
      <c r="M291" s="2065" t="s">
        <v>667</v>
      </c>
    </row>
    <row r="292" spans="1:13" ht="30" customHeight="1" x14ac:dyDescent="0.2">
      <c r="A292" s="2034"/>
      <c r="B292" s="2110"/>
      <c r="C292" s="2158"/>
      <c r="D292" s="2126"/>
      <c r="E292" s="2127"/>
      <c r="F292" s="2042"/>
      <c r="G292" s="72">
        <v>20000000</v>
      </c>
      <c r="H292" s="72" t="s">
        <v>649</v>
      </c>
      <c r="I292" s="36" t="s">
        <v>665</v>
      </c>
      <c r="J292" s="24" t="s">
        <v>666</v>
      </c>
      <c r="K292" s="2041"/>
      <c r="L292" s="2041"/>
      <c r="M292" s="2066"/>
    </row>
    <row r="293" spans="1:13" ht="30" customHeight="1" x14ac:dyDescent="0.2">
      <c r="A293" s="2032"/>
      <c r="B293" s="2075"/>
      <c r="C293" s="2150"/>
      <c r="D293" s="2081"/>
      <c r="E293" s="2083"/>
      <c r="F293" s="98">
        <v>21000000</v>
      </c>
      <c r="G293" s="98">
        <v>7000000</v>
      </c>
      <c r="H293" s="98" t="s">
        <v>839</v>
      </c>
      <c r="I293" s="36" t="s">
        <v>872</v>
      </c>
      <c r="J293" s="24" t="s">
        <v>873</v>
      </c>
      <c r="K293" s="2042"/>
      <c r="L293" s="2042"/>
      <c r="M293" s="2067"/>
    </row>
    <row r="294" spans="1:13" ht="30" customHeight="1" x14ac:dyDescent="0.2">
      <c r="A294" s="4">
        <v>233</v>
      </c>
      <c r="B294" s="3" t="s">
        <v>96</v>
      </c>
      <c r="C294" s="352"/>
      <c r="D294" s="11">
        <v>50000000</v>
      </c>
      <c r="E294" s="20">
        <v>0.04</v>
      </c>
      <c r="F294" s="11">
        <f t="shared" si="16"/>
        <v>2000000</v>
      </c>
      <c r="G294" s="11">
        <v>2000000</v>
      </c>
      <c r="H294" s="11" t="s">
        <v>294</v>
      </c>
      <c r="I294" s="23" t="s">
        <v>321</v>
      </c>
      <c r="J294" s="24" t="s">
        <v>322</v>
      </c>
      <c r="K294" s="11">
        <f t="shared" si="17"/>
        <v>2000000</v>
      </c>
      <c r="L294" s="11">
        <f t="shared" si="18"/>
        <v>0</v>
      </c>
      <c r="M294" s="3"/>
    </row>
    <row r="295" spans="1:13" ht="30" customHeight="1" x14ac:dyDescent="0.2">
      <c r="A295" s="4">
        <v>234</v>
      </c>
      <c r="B295" s="3" t="s">
        <v>97</v>
      </c>
      <c r="C295" s="352"/>
      <c r="D295" s="11">
        <v>37000000</v>
      </c>
      <c r="E295" s="20">
        <v>4.1000000000000002E-2</v>
      </c>
      <c r="F295" s="11">
        <v>1500000</v>
      </c>
      <c r="G295" s="11">
        <v>1500000</v>
      </c>
      <c r="H295" s="11" t="s">
        <v>329</v>
      </c>
      <c r="I295" s="23" t="s">
        <v>339</v>
      </c>
      <c r="J295" s="35" t="s">
        <v>340</v>
      </c>
      <c r="K295" s="11">
        <f t="shared" si="17"/>
        <v>1500000</v>
      </c>
      <c r="L295" s="11">
        <f t="shared" si="18"/>
        <v>0</v>
      </c>
      <c r="M295" s="3"/>
    </row>
    <row r="296" spans="1:13" ht="30" customHeight="1" x14ac:dyDescent="0.2">
      <c r="A296" s="4">
        <v>235</v>
      </c>
      <c r="B296" s="3" t="s">
        <v>98</v>
      </c>
      <c r="C296" s="352"/>
      <c r="D296" s="11">
        <v>62500000</v>
      </c>
      <c r="E296" s="20">
        <v>4.8000000000000001E-2</v>
      </c>
      <c r="F296" s="11">
        <f t="shared" si="16"/>
        <v>3000000</v>
      </c>
      <c r="G296" s="11">
        <v>3000000</v>
      </c>
      <c r="H296" s="11" t="s">
        <v>268</v>
      </c>
      <c r="I296" s="23" t="s">
        <v>304</v>
      </c>
      <c r="J296" s="24" t="s">
        <v>305</v>
      </c>
      <c r="K296" s="11">
        <f t="shared" si="17"/>
        <v>3000000</v>
      </c>
      <c r="L296" s="11">
        <f t="shared" si="18"/>
        <v>0</v>
      </c>
      <c r="M296" s="3"/>
    </row>
    <row r="297" spans="1:13" ht="30" customHeight="1" x14ac:dyDescent="0.2">
      <c r="A297" s="4">
        <v>236</v>
      </c>
      <c r="B297" s="3" t="s">
        <v>99</v>
      </c>
      <c r="C297" s="352"/>
      <c r="D297" s="11">
        <v>100000000</v>
      </c>
      <c r="E297" s="20">
        <v>0.05</v>
      </c>
      <c r="F297" s="11">
        <f t="shared" si="16"/>
        <v>5000000</v>
      </c>
      <c r="G297" s="11">
        <v>5000000</v>
      </c>
      <c r="H297" s="11" t="s">
        <v>294</v>
      </c>
      <c r="I297" s="21">
        <v>112453</v>
      </c>
      <c r="J297" s="21" t="s">
        <v>306</v>
      </c>
      <c r="K297" s="11">
        <f t="shared" si="17"/>
        <v>5000000</v>
      </c>
      <c r="L297" s="11">
        <f t="shared" si="18"/>
        <v>0</v>
      </c>
      <c r="M297" s="3"/>
    </row>
    <row r="298" spans="1:13" ht="30" customHeight="1" x14ac:dyDescent="0.2">
      <c r="A298" s="4">
        <v>237</v>
      </c>
      <c r="B298" s="3" t="s">
        <v>100</v>
      </c>
      <c r="C298" s="352" t="s">
        <v>380</v>
      </c>
      <c r="D298" s="11">
        <v>50000000</v>
      </c>
      <c r="E298" s="20">
        <v>0.05</v>
      </c>
      <c r="F298" s="11">
        <f t="shared" si="16"/>
        <v>2500000</v>
      </c>
      <c r="G298" s="11">
        <v>2500000</v>
      </c>
      <c r="H298" s="11" t="s">
        <v>329</v>
      </c>
      <c r="I298" s="23" t="s">
        <v>354</v>
      </c>
      <c r="J298" s="24" t="s">
        <v>355</v>
      </c>
      <c r="K298" s="11">
        <f t="shared" si="17"/>
        <v>2500000</v>
      </c>
      <c r="L298" s="11">
        <f t="shared" si="18"/>
        <v>0</v>
      </c>
      <c r="M298" s="3"/>
    </row>
    <row r="299" spans="1:13" ht="30" customHeight="1" x14ac:dyDescent="0.2">
      <c r="A299" s="4">
        <v>238</v>
      </c>
      <c r="B299" s="3" t="s">
        <v>101</v>
      </c>
      <c r="C299" s="352"/>
      <c r="D299" s="11">
        <v>100000000</v>
      </c>
      <c r="E299" s="20">
        <v>0.04</v>
      </c>
      <c r="F299" s="11">
        <f t="shared" si="16"/>
        <v>4000000</v>
      </c>
      <c r="G299" s="11">
        <v>4000000</v>
      </c>
      <c r="H299" s="11" t="s">
        <v>329</v>
      </c>
      <c r="I299" s="23" t="s">
        <v>352</v>
      </c>
      <c r="J299" s="24" t="s">
        <v>353</v>
      </c>
      <c r="K299" s="11">
        <f t="shared" si="17"/>
        <v>4000000</v>
      </c>
      <c r="L299" s="11">
        <f t="shared" si="18"/>
        <v>0</v>
      </c>
      <c r="M299" s="3"/>
    </row>
    <row r="300" spans="1:13" ht="30" customHeight="1" x14ac:dyDescent="0.2">
      <c r="A300" s="2031">
        <v>239</v>
      </c>
      <c r="B300" s="2074" t="s">
        <v>573</v>
      </c>
      <c r="C300" s="2149"/>
      <c r="D300" s="2040">
        <v>30000000</v>
      </c>
      <c r="E300" s="2082"/>
      <c r="F300" s="2040">
        <v>2350000</v>
      </c>
      <c r="G300" s="11">
        <v>1000000</v>
      </c>
      <c r="H300" s="11" t="s">
        <v>557</v>
      </c>
      <c r="I300" s="23" t="s">
        <v>572</v>
      </c>
      <c r="J300" s="21" t="s">
        <v>571</v>
      </c>
      <c r="K300" s="2040">
        <f>G300+G301</f>
        <v>2400000</v>
      </c>
      <c r="L300" s="2040">
        <f>F300-K300</f>
        <v>-50000</v>
      </c>
      <c r="M300" s="2068" t="s">
        <v>673</v>
      </c>
    </row>
    <row r="301" spans="1:13" ht="30" customHeight="1" x14ac:dyDescent="0.2">
      <c r="A301" s="2032"/>
      <c r="B301" s="2075"/>
      <c r="C301" s="2150"/>
      <c r="D301" s="2042"/>
      <c r="E301" s="2083"/>
      <c r="F301" s="2042"/>
      <c r="G301" s="98">
        <v>1400000</v>
      </c>
      <c r="H301" s="98" t="s">
        <v>649</v>
      </c>
      <c r="I301" s="23" t="s">
        <v>671</v>
      </c>
      <c r="J301" s="102" t="s">
        <v>672</v>
      </c>
      <c r="K301" s="2042"/>
      <c r="L301" s="2042"/>
      <c r="M301" s="2069"/>
    </row>
    <row r="302" spans="1:13" ht="30" customHeight="1" x14ac:dyDescent="0.2">
      <c r="A302" s="4">
        <v>240</v>
      </c>
      <c r="B302" s="3" t="s">
        <v>102</v>
      </c>
      <c r="C302" s="352"/>
      <c r="D302" s="11">
        <v>100000000</v>
      </c>
      <c r="E302" s="20">
        <v>4.4999999999999998E-2</v>
      </c>
      <c r="F302" s="11">
        <f t="shared" si="16"/>
        <v>4500000</v>
      </c>
      <c r="G302" s="11">
        <v>4500000</v>
      </c>
      <c r="H302" s="11" t="s">
        <v>329</v>
      </c>
      <c r="I302" s="23" t="s">
        <v>359</v>
      </c>
      <c r="J302" s="24" t="s">
        <v>360</v>
      </c>
      <c r="K302" s="11">
        <f t="shared" si="17"/>
        <v>4500000</v>
      </c>
      <c r="L302" s="11">
        <f t="shared" si="18"/>
        <v>0</v>
      </c>
      <c r="M302" s="3"/>
    </row>
    <row r="303" spans="1:13" ht="30" customHeight="1" x14ac:dyDescent="0.2">
      <c r="A303" s="2031">
        <v>241</v>
      </c>
      <c r="B303" s="2074" t="s">
        <v>519</v>
      </c>
      <c r="C303" s="2149" t="s">
        <v>379</v>
      </c>
      <c r="D303" s="6">
        <v>25000000</v>
      </c>
      <c r="E303" s="20">
        <v>0.04</v>
      </c>
      <c r="F303" s="6">
        <f t="shared" si="16"/>
        <v>1000000</v>
      </c>
      <c r="G303" s="259">
        <v>1000000</v>
      </c>
      <c r="H303" s="259" t="s">
        <v>329</v>
      </c>
      <c r="I303" s="261" t="s">
        <v>384</v>
      </c>
      <c r="J303" s="24" t="s">
        <v>385</v>
      </c>
      <c r="K303" s="240">
        <f>G303</f>
        <v>1000000</v>
      </c>
      <c r="L303" s="258">
        <f t="shared" si="18"/>
        <v>0</v>
      </c>
      <c r="M303" s="3"/>
    </row>
    <row r="304" spans="1:13" ht="30" customHeight="1" x14ac:dyDescent="0.2">
      <c r="A304" s="2034"/>
      <c r="B304" s="2110"/>
      <c r="C304" s="2158"/>
      <c r="D304" s="1947" t="s">
        <v>1216</v>
      </c>
      <c r="E304" s="1948"/>
      <c r="F304" s="1949"/>
      <c r="G304" s="40">
        <v>5000000</v>
      </c>
      <c r="H304" s="40" t="s">
        <v>294</v>
      </c>
      <c r="I304" s="23" t="s">
        <v>300</v>
      </c>
      <c r="J304" s="24" t="s">
        <v>301</v>
      </c>
      <c r="K304" s="247"/>
      <c r="L304" s="247"/>
      <c r="M304" s="3"/>
    </row>
    <row r="305" spans="1:13" ht="30" customHeight="1" x14ac:dyDescent="0.2">
      <c r="A305" s="2032"/>
      <c r="B305" s="2075"/>
      <c r="C305" s="2150"/>
      <c r="D305" s="6">
        <v>20000000</v>
      </c>
      <c r="E305" s="20">
        <v>0.04</v>
      </c>
      <c r="F305" s="6">
        <f>D305*E305</f>
        <v>800000</v>
      </c>
      <c r="G305" s="1947" t="s">
        <v>1217</v>
      </c>
      <c r="H305" s="1948"/>
      <c r="I305" s="1948"/>
      <c r="J305" s="1948"/>
      <c r="K305" s="1948"/>
      <c r="L305" s="1949"/>
      <c r="M305" s="3"/>
    </row>
    <row r="306" spans="1:13" ht="30" customHeight="1" x14ac:dyDescent="0.2">
      <c r="A306" s="4">
        <v>242</v>
      </c>
      <c r="B306" s="3" t="s">
        <v>103</v>
      </c>
      <c r="C306" s="352"/>
      <c r="D306" s="11">
        <v>50000000</v>
      </c>
      <c r="E306" s="20">
        <v>0.05</v>
      </c>
      <c r="F306" s="11">
        <f t="shared" si="16"/>
        <v>2500000</v>
      </c>
      <c r="G306" s="11">
        <v>2500000</v>
      </c>
      <c r="H306" s="11" t="s">
        <v>294</v>
      </c>
      <c r="I306" s="23" t="s">
        <v>309</v>
      </c>
      <c r="J306" s="24" t="s">
        <v>310</v>
      </c>
      <c r="K306" s="11">
        <f t="shared" si="17"/>
        <v>2500000</v>
      </c>
      <c r="L306" s="11">
        <f t="shared" si="18"/>
        <v>0</v>
      </c>
      <c r="M306" s="3"/>
    </row>
    <row r="307" spans="1:13" ht="30" customHeight="1" x14ac:dyDescent="0.2">
      <c r="A307" s="4">
        <v>243</v>
      </c>
      <c r="B307" s="3" t="s">
        <v>320</v>
      </c>
      <c r="C307" s="352"/>
      <c r="D307" s="11">
        <v>60000000</v>
      </c>
      <c r="E307" s="20">
        <v>0.05</v>
      </c>
      <c r="F307" s="11">
        <f t="shared" ref="F307:F365" si="19">D307*E307</f>
        <v>3000000</v>
      </c>
      <c r="G307" s="11">
        <v>3000000</v>
      </c>
      <c r="H307" s="11" t="s">
        <v>294</v>
      </c>
      <c r="I307" s="23" t="s">
        <v>319</v>
      </c>
      <c r="J307" s="32" t="s">
        <v>318</v>
      </c>
      <c r="K307" s="11">
        <f t="shared" si="17"/>
        <v>3000000</v>
      </c>
      <c r="L307" s="11">
        <f t="shared" si="18"/>
        <v>0</v>
      </c>
      <c r="M307" s="3"/>
    </row>
    <row r="308" spans="1:13" ht="30" customHeight="1" x14ac:dyDescent="0.2">
      <c r="A308" s="4">
        <v>244</v>
      </c>
      <c r="B308" s="3" t="s">
        <v>105</v>
      </c>
      <c r="C308" s="352"/>
      <c r="D308" s="11">
        <v>85000000</v>
      </c>
      <c r="E308" s="20">
        <v>5.0999999999999997E-2</v>
      </c>
      <c r="F308" s="11">
        <v>4300000</v>
      </c>
      <c r="G308" s="11">
        <v>4300000</v>
      </c>
      <c r="H308" s="11" t="s">
        <v>294</v>
      </c>
      <c r="I308" s="23" t="s">
        <v>313</v>
      </c>
      <c r="J308" s="31" t="s">
        <v>314</v>
      </c>
      <c r="K308" s="11">
        <f t="shared" ref="K308:K366" si="20">G308</f>
        <v>4300000</v>
      </c>
      <c r="L308" s="11">
        <f t="shared" ref="L308:L366" si="21">F308-K308</f>
        <v>0</v>
      </c>
      <c r="M308" s="3"/>
    </row>
    <row r="309" spans="1:13" ht="30" customHeight="1" x14ac:dyDescent="0.2">
      <c r="A309" s="4">
        <v>245</v>
      </c>
      <c r="B309" s="3" t="s">
        <v>106</v>
      </c>
      <c r="C309" s="352"/>
      <c r="D309" s="11">
        <v>220000000</v>
      </c>
      <c r="E309" s="20">
        <v>7.0000000000000007E-2</v>
      </c>
      <c r="F309" s="11">
        <f t="shared" si="19"/>
        <v>15400000.000000002</v>
      </c>
      <c r="G309" s="11">
        <v>15400000</v>
      </c>
      <c r="H309" s="11" t="s">
        <v>329</v>
      </c>
      <c r="I309" s="127" t="s">
        <v>343</v>
      </c>
      <c r="J309" s="24" t="s">
        <v>344</v>
      </c>
      <c r="K309" s="11">
        <f t="shared" si="20"/>
        <v>15400000</v>
      </c>
      <c r="L309" s="11">
        <f t="shared" si="21"/>
        <v>0</v>
      </c>
      <c r="M309" s="3" t="s">
        <v>347</v>
      </c>
    </row>
    <row r="310" spans="1:13" ht="30" customHeight="1" x14ac:dyDescent="0.2">
      <c r="A310" s="4">
        <v>246</v>
      </c>
      <c r="B310" s="3" t="s">
        <v>107</v>
      </c>
      <c r="C310" s="352"/>
      <c r="D310" s="29"/>
      <c r="E310" s="44"/>
      <c r="F310" s="29">
        <f t="shared" si="19"/>
        <v>0</v>
      </c>
      <c r="G310" s="11">
        <v>4000000</v>
      </c>
      <c r="H310" s="11" t="s">
        <v>329</v>
      </c>
      <c r="I310" s="23" t="s">
        <v>376</v>
      </c>
      <c r="J310" s="24" t="s">
        <v>377</v>
      </c>
      <c r="K310" s="11">
        <f t="shared" si="20"/>
        <v>4000000</v>
      </c>
      <c r="L310" s="29">
        <f t="shared" si="21"/>
        <v>-4000000</v>
      </c>
      <c r="M310" s="3"/>
    </row>
    <row r="311" spans="1:13" ht="30" customHeight="1" x14ac:dyDescent="0.2">
      <c r="A311" s="4">
        <v>247</v>
      </c>
      <c r="B311" s="3" t="s">
        <v>108</v>
      </c>
      <c r="C311" s="352" t="s">
        <v>265</v>
      </c>
      <c r="D311" s="11">
        <v>10000000</v>
      </c>
      <c r="E311" s="20">
        <v>0.05</v>
      </c>
      <c r="F311" s="11">
        <f t="shared" si="19"/>
        <v>500000</v>
      </c>
      <c r="G311" s="11">
        <v>500000</v>
      </c>
      <c r="H311" s="11" t="s">
        <v>388</v>
      </c>
      <c r="I311" s="23" t="s">
        <v>412</v>
      </c>
      <c r="J311" s="30" t="s">
        <v>413</v>
      </c>
      <c r="K311" s="11">
        <f t="shared" si="20"/>
        <v>500000</v>
      </c>
      <c r="L311" s="11">
        <f t="shared" si="21"/>
        <v>0</v>
      </c>
      <c r="M311" s="3"/>
    </row>
    <row r="312" spans="1:13" ht="30" customHeight="1" x14ac:dyDescent="0.2">
      <c r="A312" s="4">
        <v>248</v>
      </c>
      <c r="B312" s="3" t="s">
        <v>109</v>
      </c>
      <c r="C312" s="352"/>
      <c r="D312" s="11">
        <v>200000000</v>
      </c>
      <c r="E312" s="20">
        <v>0.04</v>
      </c>
      <c r="F312" s="11">
        <f t="shared" si="19"/>
        <v>8000000</v>
      </c>
      <c r="G312" s="11">
        <v>8000000</v>
      </c>
      <c r="H312" s="11" t="s">
        <v>728</v>
      </c>
      <c r="I312" s="36" t="s">
        <v>752</v>
      </c>
      <c r="J312" s="24" t="s">
        <v>753</v>
      </c>
      <c r="K312" s="11">
        <f t="shared" si="20"/>
        <v>8000000</v>
      </c>
      <c r="L312" s="11">
        <f t="shared" si="21"/>
        <v>0</v>
      </c>
      <c r="M312" s="3"/>
    </row>
    <row r="313" spans="1:13" ht="30" customHeight="1" x14ac:dyDescent="0.2">
      <c r="A313" s="4">
        <v>249</v>
      </c>
      <c r="B313" s="3" t="s">
        <v>110</v>
      </c>
      <c r="C313" s="352"/>
      <c r="D313" s="54"/>
      <c r="E313" s="44"/>
      <c r="F313" s="54">
        <f t="shared" si="19"/>
        <v>0</v>
      </c>
      <c r="G313" s="11">
        <v>5400000</v>
      </c>
      <c r="H313" s="11" t="s">
        <v>432</v>
      </c>
      <c r="I313" s="134" t="s">
        <v>442</v>
      </c>
      <c r="J313" s="24" t="s">
        <v>443</v>
      </c>
      <c r="K313" s="11">
        <f t="shared" si="20"/>
        <v>5400000</v>
      </c>
      <c r="L313" s="11">
        <f t="shared" si="21"/>
        <v>-5400000</v>
      </c>
      <c r="M313" s="3" t="s">
        <v>444</v>
      </c>
    </row>
    <row r="314" spans="1:13" ht="30" customHeight="1" x14ac:dyDescent="0.2">
      <c r="A314" s="4">
        <v>250</v>
      </c>
      <c r="B314" s="3" t="s">
        <v>111</v>
      </c>
      <c r="C314" s="352"/>
      <c r="D314" s="11">
        <v>265000000</v>
      </c>
      <c r="E314" s="20">
        <v>0.05</v>
      </c>
      <c r="F314" s="11">
        <f>D314*E314</f>
        <v>13250000</v>
      </c>
      <c r="G314" s="11">
        <v>13250000</v>
      </c>
      <c r="H314" s="11" t="s">
        <v>329</v>
      </c>
      <c r="I314" s="134" t="s">
        <v>341</v>
      </c>
      <c r="J314" s="24" t="s">
        <v>342</v>
      </c>
      <c r="K314" s="11">
        <f t="shared" si="20"/>
        <v>13250000</v>
      </c>
      <c r="L314" s="11">
        <f t="shared" si="21"/>
        <v>0</v>
      </c>
      <c r="M314" s="3"/>
    </row>
    <row r="315" spans="1:13" ht="30" customHeight="1" x14ac:dyDescent="0.2">
      <c r="A315" s="4">
        <v>251</v>
      </c>
      <c r="B315" s="3" t="s">
        <v>112</v>
      </c>
      <c r="C315" s="352"/>
      <c r="D315" s="11">
        <v>20000000</v>
      </c>
      <c r="E315" s="20">
        <v>0.05</v>
      </c>
      <c r="F315" s="11">
        <f t="shared" si="19"/>
        <v>1000000</v>
      </c>
      <c r="G315" s="11">
        <v>1000000</v>
      </c>
      <c r="H315" s="11" t="s">
        <v>755</v>
      </c>
      <c r="I315" s="23" t="s">
        <v>835</v>
      </c>
      <c r="J315" s="88" t="s">
        <v>836</v>
      </c>
      <c r="K315" s="11">
        <f t="shared" si="20"/>
        <v>1000000</v>
      </c>
      <c r="L315" s="11">
        <f t="shared" si="21"/>
        <v>0</v>
      </c>
      <c r="M315" s="3"/>
    </row>
    <row r="316" spans="1:13" ht="30" customHeight="1" x14ac:dyDescent="0.2">
      <c r="A316" s="4">
        <v>252</v>
      </c>
      <c r="B316" s="3" t="s">
        <v>113</v>
      </c>
      <c r="C316" s="352" t="s">
        <v>380</v>
      </c>
      <c r="D316" s="11">
        <v>180000000</v>
      </c>
      <c r="E316" s="20">
        <v>0.05</v>
      </c>
      <c r="F316" s="11">
        <f t="shared" si="19"/>
        <v>9000000</v>
      </c>
      <c r="G316" s="11"/>
      <c r="H316" s="11"/>
      <c r="I316" s="23"/>
      <c r="J316" s="24"/>
      <c r="K316" s="11">
        <f t="shared" si="20"/>
        <v>0</v>
      </c>
      <c r="L316" s="11">
        <f t="shared" si="21"/>
        <v>9000000</v>
      </c>
      <c r="M316" s="3"/>
    </row>
    <row r="317" spans="1:13" ht="30" customHeight="1" x14ac:dyDescent="0.2">
      <c r="A317" s="2031">
        <v>253</v>
      </c>
      <c r="B317" s="2074" t="s">
        <v>2017</v>
      </c>
      <c r="C317" s="2149"/>
      <c r="D317" s="49">
        <v>275000000</v>
      </c>
      <c r="E317" s="20">
        <v>0.05</v>
      </c>
      <c r="F317" s="49">
        <f t="shared" si="19"/>
        <v>13750000</v>
      </c>
      <c r="G317" s="11">
        <v>13750000</v>
      </c>
      <c r="H317" s="11" t="s">
        <v>432</v>
      </c>
      <c r="I317" s="36" t="s">
        <v>449</v>
      </c>
      <c r="J317" s="24" t="s">
        <v>450</v>
      </c>
      <c r="K317" s="11">
        <f t="shared" si="20"/>
        <v>13750000</v>
      </c>
      <c r="L317" s="11">
        <f t="shared" si="21"/>
        <v>0</v>
      </c>
      <c r="M317" s="3"/>
    </row>
    <row r="318" spans="1:13" ht="30" customHeight="1" x14ac:dyDescent="0.2">
      <c r="A318" s="2032"/>
      <c r="B318" s="2075"/>
      <c r="C318" s="2150"/>
      <c r="D318" s="597">
        <v>295000000</v>
      </c>
      <c r="E318" s="608">
        <v>0.05</v>
      </c>
      <c r="F318" s="597">
        <f t="shared" si="19"/>
        <v>14750000</v>
      </c>
      <c r="G318" s="2154" t="s">
        <v>2019</v>
      </c>
      <c r="H318" s="2155"/>
      <c r="I318" s="2155"/>
      <c r="J318" s="2155"/>
      <c r="K318" s="2156"/>
      <c r="L318" s="597"/>
      <c r="M318" s="3" t="s">
        <v>2020</v>
      </c>
    </row>
    <row r="319" spans="1:13" ht="30" customHeight="1" x14ac:dyDescent="0.2">
      <c r="A319" s="4">
        <v>254</v>
      </c>
      <c r="B319" s="3" t="s">
        <v>115</v>
      </c>
      <c r="C319" s="352"/>
      <c r="D319" s="11">
        <v>40000000</v>
      </c>
      <c r="E319" s="20">
        <v>0.05</v>
      </c>
      <c r="F319" s="11">
        <f t="shared" si="19"/>
        <v>2000000</v>
      </c>
      <c r="G319" s="11">
        <v>2000000</v>
      </c>
      <c r="H319" s="11" t="s">
        <v>329</v>
      </c>
      <c r="I319" s="23" t="s">
        <v>348</v>
      </c>
      <c r="J319" s="21" t="s">
        <v>349</v>
      </c>
      <c r="K319" s="11">
        <f t="shared" si="20"/>
        <v>2000000</v>
      </c>
      <c r="L319" s="11">
        <f t="shared" si="21"/>
        <v>0</v>
      </c>
      <c r="M319" s="3"/>
    </row>
    <row r="320" spans="1:13" ht="30" customHeight="1" x14ac:dyDescent="0.2">
      <c r="A320" s="4">
        <v>255</v>
      </c>
      <c r="B320" s="3" t="s">
        <v>116</v>
      </c>
      <c r="C320" s="352"/>
      <c r="D320" s="11">
        <v>100000000</v>
      </c>
      <c r="E320" s="20">
        <v>0.05</v>
      </c>
      <c r="F320" s="11">
        <f t="shared" si="19"/>
        <v>5000000</v>
      </c>
      <c r="G320" s="11">
        <v>5000000</v>
      </c>
      <c r="H320" s="11" t="s">
        <v>329</v>
      </c>
      <c r="I320" s="23" t="s">
        <v>336</v>
      </c>
      <c r="J320" s="21" t="s">
        <v>337</v>
      </c>
      <c r="K320" s="11">
        <f t="shared" si="20"/>
        <v>5000000</v>
      </c>
      <c r="L320" s="11">
        <f t="shared" si="21"/>
        <v>0</v>
      </c>
      <c r="M320" s="3"/>
    </row>
    <row r="321" spans="1:13" ht="30" customHeight="1" x14ac:dyDescent="0.2">
      <c r="A321" s="4">
        <v>256</v>
      </c>
      <c r="B321" s="3" t="s">
        <v>117</v>
      </c>
      <c r="C321" s="352" t="s">
        <v>1347</v>
      </c>
      <c r="D321" s="11">
        <v>30000000</v>
      </c>
      <c r="E321" s="20">
        <v>0.05</v>
      </c>
      <c r="F321" s="11">
        <f t="shared" si="19"/>
        <v>1500000</v>
      </c>
      <c r="G321" s="11">
        <v>1500000</v>
      </c>
      <c r="H321" s="11" t="s">
        <v>453</v>
      </c>
      <c r="I321" s="23" t="s">
        <v>491</v>
      </c>
      <c r="J321" s="24" t="s">
        <v>492</v>
      </c>
      <c r="K321" s="11">
        <f t="shared" si="20"/>
        <v>1500000</v>
      </c>
      <c r="L321" s="11">
        <f t="shared" si="21"/>
        <v>0</v>
      </c>
      <c r="M321" s="3"/>
    </row>
    <row r="322" spans="1:13" ht="30" customHeight="1" x14ac:dyDescent="0.2">
      <c r="A322" s="4">
        <v>257</v>
      </c>
      <c r="B322" s="3" t="s">
        <v>876</v>
      </c>
      <c r="C322" s="352"/>
      <c r="D322" s="135">
        <v>12000000</v>
      </c>
      <c r="E322" s="20">
        <v>0.05</v>
      </c>
      <c r="F322" s="135">
        <f t="shared" si="19"/>
        <v>600000</v>
      </c>
      <c r="G322" s="2040">
        <v>1600000</v>
      </c>
      <c r="H322" s="2040" t="s">
        <v>453</v>
      </c>
      <c r="I322" s="2159" t="s">
        <v>486</v>
      </c>
      <c r="J322" s="2168" t="s">
        <v>485</v>
      </c>
      <c r="K322" s="2040">
        <f t="shared" si="20"/>
        <v>1600000</v>
      </c>
      <c r="L322" s="2040">
        <f>(F322+F323)-K322</f>
        <v>0</v>
      </c>
      <c r="M322" s="3"/>
    </row>
    <row r="323" spans="1:13" ht="30" customHeight="1" x14ac:dyDescent="0.2">
      <c r="A323" s="4">
        <v>258</v>
      </c>
      <c r="B323" s="3" t="s">
        <v>159</v>
      </c>
      <c r="C323" s="352"/>
      <c r="D323" s="135">
        <v>20000000</v>
      </c>
      <c r="E323" s="20">
        <v>0.05</v>
      </c>
      <c r="F323" s="135">
        <f>D323*E323</f>
        <v>1000000</v>
      </c>
      <c r="G323" s="2042"/>
      <c r="H323" s="2042"/>
      <c r="I323" s="2160"/>
      <c r="J323" s="2169"/>
      <c r="K323" s="2042"/>
      <c r="L323" s="2042"/>
      <c r="M323" s="3"/>
    </row>
    <row r="324" spans="1:13" ht="30" customHeight="1" x14ac:dyDescent="0.2">
      <c r="A324" s="4">
        <v>259</v>
      </c>
      <c r="B324" s="3" t="s">
        <v>119</v>
      </c>
      <c r="C324" s="352" t="s">
        <v>265</v>
      </c>
      <c r="D324" s="695">
        <v>50000000</v>
      </c>
      <c r="E324" s="699">
        <v>0.05</v>
      </c>
      <c r="F324" s="695">
        <f t="shared" si="19"/>
        <v>2500000</v>
      </c>
      <c r="G324" s="695">
        <v>2500000</v>
      </c>
      <c r="H324" s="695" t="s">
        <v>453</v>
      </c>
      <c r="I324" s="697" t="s">
        <v>465</v>
      </c>
      <c r="J324" s="24" t="s">
        <v>466</v>
      </c>
      <c r="K324" s="695">
        <f t="shared" si="20"/>
        <v>2500000</v>
      </c>
      <c r="L324" s="695">
        <f t="shared" si="21"/>
        <v>0</v>
      </c>
      <c r="M324" s="3" t="s">
        <v>467</v>
      </c>
    </row>
    <row r="325" spans="1:13" ht="30" customHeight="1" x14ac:dyDescent="0.2">
      <c r="A325" s="4">
        <v>260</v>
      </c>
      <c r="B325" s="3" t="s">
        <v>120</v>
      </c>
      <c r="C325" s="352"/>
      <c r="D325" s="54"/>
      <c r="E325" s="44"/>
      <c r="F325" s="54">
        <f t="shared" si="19"/>
        <v>0</v>
      </c>
      <c r="G325" s="11">
        <v>575000</v>
      </c>
      <c r="H325" s="11" t="s">
        <v>388</v>
      </c>
      <c r="I325" s="23" t="s">
        <v>422</v>
      </c>
      <c r="J325" s="21" t="s">
        <v>423</v>
      </c>
      <c r="K325" s="11">
        <f t="shared" si="20"/>
        <v>575000</v>
      </c>
      <c r="L325" s="11">
        <f t="shared" si="21"/>
        <v>-575000</v>
      </c>
      <c r="M325" s="3"/>
    </row>
    <row r="326" spans="1:13" ht="30" customHeight="1" x14ac:dyDescent="0.2">
      <c r="A326" s="4">
        <v>261</v>
      </c>
      <c r="B326" s="3" t="s">
        <v>121</v>
      </c>
      <c r="C326" s="352"/>
      <c r="D326" s="11">
        <v>7000000</v>
      </c>
      <c r="E326" s="20">
        <v>0.04</v>
      </c>
      <c r="F326" s="11">
        <f t="shared" si="19"/>
        <v>280000</v>
      </c>
      <c r="G326" s="11">
        <v>280000</v>
      </c>
      <c r="H326" s="11" t="s">
        <v>432</v>
      </c>
      <c r="I326" s="23" t="s">
        <v>451</v>
      </c>
      <c r="J326" s="24" t="s">
        <v>452</v>
      </c>
      <c r="K326" s="11">
        <f t="shared" si="20"/>
        <v>280000</v>
      </c>
      <c r="L326" s="11">
        <f t="shared" si="21"/>
        <v>0</v>
      </c>
      <c r="M326" s="3"/>
    </row>
    <row r="327" spans="1:13" ht="30" customHeight="1" x14ac:dyDescent="0.2">
      <c r="A327" s="4">
        <v>262</v>
      </c>
      <c r="B327" s="3" t="s">
        <v>586</v>
      </c>
      <c r="C327" s="352"/>
      <c r="D327" s="54"/>
      <c r="E327" s="44"/>
      <c r="F327" s="54">
        <f t="shared" si="19"/>
        <v>0</v>
      </c>
      <c r="G327" s="11">
        <v>2806000</v>
      </c>
      <c r="H327" s="11" t="s">
        <v>453</v>
      </c>
      <c r="I327" s="23" t="s">
        <v>460</v>
      </c>
      <c r="J327" s="24" t="s">
        <v>461</v>
      </c>
      <c r="K327" s="11">
        <f t="shared" si="20"/>
        <v>2806000</v>
      </c>
      <c r="L327" s="54">
        <f t="shared" si="21"/>
        <v>-2806000</v>
      </c>
      <c r="M327" s="71" t="s">
        <v>462</v>
      </c>
    </row>
    <row r="328" spans="1:13" ht="30" customHeight="1" x14ac:dyDescent="0.2">
      <c r="A328" s="4">
        <v>263</v>
      </c>
      <c r="B328" s="3" t="s">
        <v>122</v>
      </c>
      <c r="C328" s="352"/>
      <c r="D328" s="54"/>
      <c r="E328" s="44"/>
      <c r="F328" s="54">
        <f t="shared" si="19"/>
        <v>0</v>
      </c>
      <c r="G328" s="11">
        <v>2000000</v>
      </c>
      <c r="H328" s="11" t="s">
        <v>388</v>
      </c>
      <c r="I328" s="23" t="s">
        <v>419</v>
      </c>
      <c r="J328" s="28" t="s">
        <v>420</v>
      </c>
      <c r="K328" s="11">
        <f t="shared" si="20"/>
        <v>2000000</v>
      </c>
      <c r="L328" s="11">
        <f t="shared" si="21"/>
        <v>-2000000</v>
      </c>
      <c r="M328" s="68" t="s">
        <v>421</v>
      </c>
    </row>
    <row r="329" spans="1:13" ht="30" customHeight="1" x14ac:dyDescent="0.2">
      <c r="A329" s="2031">
        <v>264</v>
      </c>
      <c r="B329" s="2074" t="s">
        <v>123</v>
      </c>
      <c r="C329" s="2149"/>
      <c r="D329" s="11">
        <v>190000000</v>
      </c>
      <c r="E329" s="20">
        <v>5.5E-2</v>
      </c>
      <c r="F329" s="11">
        <f t="shared" si="19"/>
        <v>10450000</v>
      </c>
      <c r="G329" s="11">
        <v>10450000</v>
      </c>
      <c r="H329" s="11" t="s">
        <v>501</v>
      </c>
      <c r="I329" s="237" t="s">
        <v>504</v>
      </c>
      <c r="J329" s="24" t="s">
        <v>505</v>
      </c>
      <c r="K329" s="11">
        <f t="shared" si="20"/>
        <v>10450000</v>
      </c>
      <c r="L329" s="11">
        <f t="shared" si="21"/>
        <v>0</v>
      </c>
      <c r="M329" s="2031"/>
    </row>
    <row r="330" spans="1:13" ht="30" customHeight="1" x14ac:dyDescent="0.2">
      <c r="A330" s="2034"/>
      <c r="B330" s="2110"/>
      <c r="C330" s="2158"/>
      <c r="D330" s="2040">
        <v>190000000</v>
      </c>
      <c r="E330" s="2115" t="s">
        <v>884</v>
      </c>
      <c r="F330" s="2116"/>
      <c r="G330" s="98">
        <v>8000000</v>
      </c>
      <c r="H330" s="98" t="s">
        <v>649</v>
      </c>
      <c r="I330" s="23" t="s">
        <v>669</v>
      </c>
      <c r="J330" s="30" t="s">
        <v>670</v>
      </c>
      <c r="K330" s="2040">
        <f>G330+G331+G332+G333+G334+G335+G336</f>
        <v>190000000</v>
      </c>
      <c r="L330" s="2040">
        <f>D330-K330</f>
        <v>0</v>
      </c>
      <c r="M330" s="2032"/>
    </row>
    <row r="331" spans="1:13" ht="30" customHeight="1" x14ac:dyDescent="0.2">
      <c r="A331" s="2034"/>
      <c r="B331" s="2110"/>
      <c r="C331" s="2158"/>
      <c r="D331" s="2041"/>
      <c r="E331" s="2121"/>
      <c r="F331" s="2122"/>
      <c r="G331" s="98">
        <v>20000000</v>
      </c>
      <c r="H331" s="98" t="s">
        <v>676</v>
      </c>
      <c r="I331" s="36" t="s">
        <v>681</v>
      </c>
      <c r="J331" s="57" t="s">
        <v>682</v>
      </c>
      <c r="K331" s="2041"/>
      <c r="L331" s="2041"/>
      <c r="M331" s="99"/>
    </row>
    <row r="332" spans="1:13" ht="30" customHeight="1" x14ac:dyDescent="0.2">
      <c r="A332" s="2034"/>
      <c r="B332" s="2110"/>
      <c r="C332" s="2158"/>
      <c r="D332" s="2041"/>
      <c r="E332" s="2121"/>
      <c r="F332" s="2122"/>
      <c r="G332" s="144">
        <v>80000000</v>
      </c>
      <c r="H332" s="147"/>
      <c r="I332" s="118"/>
      <c r="J332" s="172"/>
      <c r="K332" s="2041"/>
      <c r="L332" s="2041"/>
      <c r="M332" s="145"/>
    </row>
    <row r="333" spans="1:13" ht="30" customHeight="1" x14ac:dyDescent="0.2">
      <c r="A333" s="2034"/>
      <c r="B333" s="2110"/>
      <c r="C333" s="2158"/>
      <c r="D333" s="2041"/>
      <c r="E333" s="2121"/>
      <c r="F333" s="2122"/>
      <c r="G333" s="217">
        <v>40000000</v>
      </c>
      <c r="H333" s="242" t="s">
        <v>1013</v>
      </c>
      <c r="I333" s="244" t="s">
        <v>1108</v>
      </c>
      <c r="J333" s="245" t="s">
        <v>682</v>
      </c>
      <c r="K333" s="2041"/>
      <c r="L333" s="2041"/>
      <c r="M333" s="216"/>
    </row>
    <row r="334" spans="1:13" ht="30" customHeight="1" x14ac:dyDescent="0.2">
      <c r="A334" s="2034"/>
      <c r="B334" s="2110"/>
      <c r="C334" s="2158"/>
      <c r="D334" s="2041"/>
      <c r="E334" s="2121"/>
      <c r="F334" s="2122"/>
      <c r="G334" s="232">
        <v>9000000</v>
      </c>
      <c r="H334" s="242" t="s">
        <v>1032</v>
      </c>
      <c r="I334" s="244" t="s">
        <v>1122</v>
      </c>
      <c r="J334" s="245" t="s">
        <v>682</v>
      </c>
      <c r="K334" s="2041"/>
      <c r="L334" s="2041"/>
      <c r="M334" s="229"/>
    </row>
    <row r="335" spans="1:13" ht="30" customHeight="1" x14ac:dyDescent="0.2">
      <c r="A335" s="2034"/>
      <c r="B335" s="2110"/>
      <c r="C335" s="2158"/>
      <c r="D335" s="2041"/>
      <c r="E335" s="2121"/>
      <c r="F335" s="2122"/>
      <c r="G335" s="232">
        <v>25000000</v>
      </c>
      <c r="H335" s="242" t="s">
        <v>1132</v>
      </c>
      <c r="I335" s="244" t="s">
        <v>1133</v>
      </c>
      <c r="J335" s="245" t="s">
        <v>682</v>
      </c>
      <c r="K335" s="2041"/>
      <c r="L335" s="2041"/>
      <c r="M335" s="229"/>
    </row>
    <row r="336" spans="1:13" ht="30" customHeight="1" x14ac:dyDescent="0.2">
      <c r="A336" s="2032"/>
      <c r="B336" s="2075"/>
      <c r="C336" s="2150"/>
      <c r="D336" s="2042"/>
      <c r="E336" s="2117"/>
      <c r="F336" s="2118"/>
      <c r="G336" s="307">
        <v>8000000</v>
      </c>
      <c r="H336" s="242" t="s">
        <v>1315</v>
      </c>
      <c r="I336" s="347" t="s">
        <v>1322</v>
      </c>
      <c r="J336" s="245" t="s">
        <v>682</v>
      </c>
      <c r="K336" s="2042"/>
      <c r="L336" s="2042"/>
      <c r="M336" s="306"/>
    </row>
    <row r="337" spans="1:13" ht="30" customHeight="1" x14ac:dyDescent="0.2">
      <c r="A337" s="4">
        <v>265</v>
      </c>
      <c r="B337" s="3" t="s">
        <v>124</v>
      </c>
      <c r="C337" s="352"/>
      <c r="D337" s="64"/>
      <c r="E337" s="44"/>
      <c r="F337" s="64">
        <f t="shared" si="19"/>
        <v>0</v>
      </c>
      <c r="G337" s="11">
        <v>57000000</v>
      </c>
      <c r="H337" s="11" t="s">
        <v>501</v>
      </c>
      <c r="I337" s="36" t="s">
        <v>511</v>
      </c>
      <c r="J337" s="24" t="s">
        <v>512</v>
      </c>
      <c r="K337" s="11">
        <f t="shared" si="20"/>
        <v>57000000</v>
      </c>
      <c r="L337" s="64">
        <f t="shared" si="21"/>
        <v>-57000000</v>
      </c>
      <c r="M337" s="3"/>
    </row>
    <row r="338" spans="1:13" ht="30" customHeight="1" x14ac:dyDescent="0.2">
      <c r="A338" s="4">
        <v>266</v>
      </c>
      <c r="B338" s="3" t="s">
        <v>125</v>
      </c>
      <c r="C338" s="352"/>
      <c r="D338" s="11">
        <v>80000000</v>
      </c>
      <c r="E338" s="20">
        <v>4.4999999999999998E-2</v>
      </c>
      <c r="F338" s="11">
        <f t="shared" si="19"/>
        <v>3600000</v>
      </c>
      <c r="G338" s="11">
        <v>3600000</v>
      </c>
      <c r="H338" s="11" t="s">
        <v>557</v>
      </c>
      <c r="I338" s="23" t="s">
        <v>584</v>
      </c>
      <c r="J338" s="21" t="s">
        <v>585</v>
      </c>
      <c r="K338" s="11">
        <f t="shared" si="20"/>
        <v>3600000</v>
      </c>
      <c r="L338" s="11">
        <f t="shared" si="21"/>
        <v>0</v>
      </c>
      <c r="M338" s="3"/>
    </row>
    <row r="339" spans="1:13" ht="30" customHeight="1" x14ac:dyDescent="0.2">
      <c r="A339" s="4">
        <v>267</v>
      </c>
      <c r="B339" s="3" t="s">
        <v>508</v>
      </c>
      <c r="C339" s="352"/>
      <c r="D339" s="11">
        <v>250000000</v>
      </c>
      <c r="E339" s="20">
        <v>0.04</v>
      </c>
      <c r="F339" s="11">
        <f t="shared" si="19"/>
        <v>10000000</v>
      </c>
      <c r="G339" s="11">
        <v>10000000</v>
      </c>
      <c r="H339" s="11" t="s">
        <v>501</v>
      </c>
      <c r="I339" s="23" t="s">
        <v>509</v>
      </c>
      <c r="J339" s="21" t="s">
        <v>510</v>
      </c>
      <c r="K339" s="11">
        <f t="shared" si="20"/>
        <v>10000000</v>
      </c>
      <c r="L339" s="11">
        <f t="shared" si="21"/>
        <v>0</v>
      </c>
      <c r="M339" s="3"/>
    </row>
    <row r="340" spans="1:13" ht="30" customHeight="1" x14ac:dyDescent="0.2">
      <c r="A340" s="4">
        <v>268</v>
      </c>
      <c r="B340" s="3" t="s">
        <v>400</v>
      </c>
      <c r="C340" s="352" t="s">
        <v>401</v>
      </c>
      <c r="D340" s="11">
        <v>130000000</v>
      </c>
      <c r="E340" s="20">
        <v>4.4999999999999998E-2</v>
      </c>
      <c r="F340" s="11">
        <f t="shared" si="19"/>
        <v>5850000</v>
      </c>
      <c r="G340" s="11">
        <v>5850000</v>
      </c>
      <c r="H340" s="11" t="s">
        <v>388</v>
      </c>
      <c r="I340" s="23" t="s">
        <v>398</v>
      </c>
      <c r="J340" s="21" t="s">
        <v>399</v>
      </c>
      <c r="K340" s="11">
        <f t="shared" si="20"/>
        <v>5850000</v>
      </c>
      <c r="L340" s="11">
        <f t="shared" si="21"/>
        <v>0</v>
      </c>
      <c r="M340" s="3"/>
    </row>
    <row r="341" spans="1:13" ht="30" customHeight="1" x14ac:dyDescent="0.2">
      <c r="A341" s="4">
        <v>269</v>
      </c>
      <c r="B341" s="45" t="s">
        <v>126</v>
      </c>
      <c r="C341" s="352"/>
      <c r="D341" s="11">
        <v>200000000</v>
      </c>
      <c r="E341" s="20">
        <v>0.05</v>
      </c>
      <c r="F341" s="11">
        <f t="shared" si="19"/>
        <v>10000000</v>
      </c>
      <c r="G341" s="11">
        <v>10000000</v>
      </c>
      <c r="H341" s="11" t="s">
        <v>268</v>
      </c>
      <c r="I341" s="23">
        <v>875355683</v>
      </c>
      <c r="J341" s="24" t="s">
        <v>281</v>
      </c>
      <c r="K341" s="11">
        <f t="shared" si="20"/>
        <v>10000000</v>
      </c>
      <c r="L341" s="11">
        <f t="shared" si="21"/>
        <v>0</v>
      </c>
      <c r="M341" s="13"/>
    </row>
    <row r="342" spans="1:13" ht="30" customHeight="1" x14ac:dyDescent="0.2">
      <c r="A342" s="4">
        <v>270</v>
      </c>
      <c r="B342" s="3" t="s">
        <v>127</v>
      </c>
      <c r="C342" s="352"/>
      <c r="D342" s="11">
        <v>20000000</v>
      </c>
      <c r="E342" s="20">
        <v>5.5E-2</v>
      </c>
      <c r="F342" s="11">
        <f t="shared" si="19"/>
        <v>1100000</v>
      </c>
      <c r="G342" s="11">
        <v>1100000</v>
      </c>
      <c r="H342" s="11" t="s">
        <v>501</v>
      </c>
      <c r="I342" s="23" t="s">
        <v>502</v>
      </c>
      <c r="J342" s="24" t="s">
        <v>503</v>
      </c>
      <c r="K342" s="11">
        <f t="shared" si="20"/>
        <v>1100000</v>
      </c>
      <c r="L342" s="11">
        <f t="shared" si="21"/>
        <v>0</v>
      </c>
      <c r="M342" s="3"/>
    </row>
    <row r="343" spans="1:13" ht="30" customHeight="1" x14ac:dyDescent="0.2">
      <c r="A343" s="2031">
        <v>271</v>
      </c>
      <c r="B343" s="2074" t="s">
        <v>128</v>
      </c>
      <c r="C343" s="2149" t="s">
        <v>367</v>
      </c>
      <c r="D343" s="2040">
        <v>40000000</v>
      </c>
      <c r="E343" s="2037">
        <v>5.5E-2</v>
      </c>
      <c r="F343" s="2040">
        <f t="shared" si="19"/>
        <v>2200000</v>
      </c>
      <c r="G343" s="11">
        <v>1800000</v>
      </c>
      <c r="H343" s="11" t="s">
        <v>501</v>
      </c>
      <c r="I343" s="23" t="s">
        <v>513</v>
      </c>
      <c r="J343" s="21" t="s">
        <v>514</v>
      </c>
      <c r="K343" s="2040">
        <f>G343+G344</f>
        <v>2200000</v>
      </c>
      <c r="L343" s="2040">
        <f t="shared" si="21"/>
        <v>0</v>
      </c>
      <c r="M343" s="3"/>
    </row>
    <row r="344" spans="1:13" ht="30" customHeight="1" x14ac:dyDescent="0.2">
      <c r="A344" s="2032"/>
      <c r="B344" s="2075"/>
      <c r="C344" s="2150"/>
      <c r="D344" s="2042"/>
      <c r="E344" s="2039"/>
      <c r="F344" s="2042"/>
      <c r="G344" s="62">
        <v>400000</v>
      </c>
      <c r="H344" s="62" t="s">
        <v>501</v>
      </c>
      <c r="I344" s="23" t="s">
        <v>515</v>
      </c>
      <c r="J344" s="21" t="s">
        <v>514</v>
      </c>
      <c r="K344" s="2042"/>
      <c r="L344" s="2042"/>
      <c r="M344" s="3"/>
    </row>
    <row r="345" spans="1:13" ht="30" customHeight="1" x14ac:dyDescent="0.2">
      <c r="A345" s="2031">
        <v>272</v>
      </c>
      <c r="B345" s="2074" t="s">
        <v>129</v>
      </c>
      <c r="C345" s="2149"/>
      <c r="D345" s="95">
        <v>560000000</v>
      </c>
      <c r="E345" s="20">
        <v>5.5E-2</v>
      </c>
      <c r="F345" s="95">
        <f t="shared" si="19"/>
        <v>30800000</v>
      </c>
      <c r="G345" s="11">
        <v>20000000</v>
      </c>
      <c r="H345" s="11" t="s">
        <v>432</v>
      </c>
      <c r="I345" s="36" t="s">
        <v>440</v>
      </c>
      <c r="J345" s="24" t="s">
        <v>441</v>
      </c>
      <c r="K345" s="2040">
        <f>G345+G346</f>
        <v>37100000</v>
      </c>
      <c r="L345" s="2040">
        <f>(F345+F346)-K345</f>
        <v>0</v>
      </c>
      <c r="M345" s="2031"/>
    </row>
    <row r="346" spans="1:13" ht="30" customHeight="1" x14ac:dyDescent="0.2">
      <c r="A346" s="2032"/>
      <c r="B346" s="2075"/>
      <c r="C346" s="2150"/>
      <c r="D346" s="98">
        <v>105000000</v>
      </c>
      <c r="E346" s="100">
        <v>0.06</v>
      </c>
      <c r="F346" s="95">
        <f>D346*E346</f>
        <v>6300000</v>
      </c>
      <c r="G346" s="49">
        <v>17100000</v>
      </c>
      <c r="H346" s="49" t="s">
        <v>501</v>
      </c>
      <c r="I346" s="23" t="s">
        <v>663</v>
      </c>
      <c r="J346" s="23" t="s">
        <v>662</v>
      </c>
      <c r="K346" s="2042"/>
      <c r="L346" s="2042"/>
      <c r="M346" s="2032"/>
    </row>
    <row r="347" spans="1:13" ht="30" customHeight="1" x14ac:dyDescent="0.2">
      <c r="A347" s="4">
        <v>273</v>
      </c>
      <c r="B347" s="3" t="s">
        <v>130</v>
      </c>
      <c r="C347" s="352" t="s">
        <v>1346</v>
      </c>
      <c r="D347" s="11">
        <v>20000000</v>
      </c>
      <c r="E347" s="20">
        <v>0.05</v>
      </c>
      <c r="F347" s="11">
        <f t="shared" si="19"/>
        <v>1000000</v>
      </c>
      <c r="G347" s="11">
        <v>1000000</v>
      </c>
      <c r="H347" s="11" t="s">
        <v>453</v>
      </c>
      <c r="I347" s="23" t="s">
        <v>489</v>
      </c>
      <c r="J347" s="24" t="s">
        <v>490</v>
      </c>
      <c r="K347" s="11">
        <f t="shared" si="20"/>
        <v>1000000</v>
      </c>
      <c r="L347" s="11">
        <f t="shared" si="21"/>
        <v>0</v>
      </c>
      <c r="M347" s="3"/>
    </row>
    <row r="348" spans="1:13" ht="30" customHeight="1" x14ac:dyDescent="0.2">
      <c r="A348" s="4">
        <v>274</v>
      </c>
      <c r="B348" s="3" t="s">
        <v>131</v>
      </c>
      <c r="C348" s="352"/>
      <c r="D348" s="11">
        <v>8000000</v>
      </c>
      <c r="E348" s="20">
        <v>0.05</v>
      </c>
      <c r="F348" s="11">
        <f t="shared" si="19"/>
        <v>400000</v>
      </c>
      <c r="G348" s="11">
        <v>400000</v>
      </c>
      <c r="H348" s="11" t="s">
        <v>388</v>
      </c>
      <c r="I348" s="23" t="s">
        <v>396</v>
      </c>
      <c r="J348" s="24" t="s">
        <v>397</v>
      </c>
      <c r="K348" s="11">
        <f t="shared" si="20"/>
        <v>400000</v>
      </c>
      <c r="L348" s="11">
        <f t="shared" si="21"/>
        <v>0</v>
      </c>
      <c r="M348" s="3"/>
    </row>
    <row r="349" spans="1:13" ht="30" customHeight="1" x14ac:dyDescent="0.2">
      <c r="A349" s="4">
        <v>275</v>
      </c>
      <c r="B349" s="3" t="s">
        <v>132</v>
      </c>
      <c r="C349" s="352" t="s">
        <v>1346</v>
      </c>
      <c r="D349" s="11">
        <v>130000000</v>
      </c>
      <c r="E349" s="20">
        <v>0.05</v>
      </c>
      <c r="F349" s="11">
        <f t="shared" si="19"/>
        <v>6500000</v>
      </c>
      <c r="G349" s="11">
        <v>6500000</v>
      </c>
      <c r="H349" s="11" t="s">
        <v>1032</v>
      </c>
      <c r="I349" s="23" t="s">
        <v>1033</v>
      </c>
      <c r="J349" s="24" t="s">
        <v>1034</v>
      </c>
      <c r="K349" s="11">
        <f t="shared" si="20"/>
        <v>6500000</v>
      </c>
      <c r="L349" s="11">
        <f t="shared" si="21"/>
        <v>0</v>
      </c>
      <c r="M349" s="3"/>
    </row>
    <row r="350" spans="1:13" ht="30" customHeight="1" x14ac:dyDescent="0.2">
      <c r="A350" s="4">
        <v>276</v>
      </c>
      <c r="B350" s="3" t="s">
        <v>133</v>
      </c>
      <c r="C350" s="352"/>
      <c r="D350" s="11">
        <v>95000000</v>
      </c>
      <c r="E350" s="20">
        <v>5.2999999999999999E-2</v>
      </c>
      <c r="F350" s="11">
        <v>5000000</v>
      </c>
      <c r="G350" s="11">
        <v>5000000</v>
      </c>
      <c r="H350" s="11" t="s">
        <v>453</v>
      </c>
      <c r="I350" s="23" t="s">
        <v>477</v>
      </c>
      <c r="J350" s="24" t="s">
        <v>478</v>
      </c>
      <c r="K350" s="11">
        <f t="shared" si="20"/>
        <v>5000000</v>
      </c>
      <c r="L350" s="11">
        <f t="shared" si="21"/>
        <v>0</v>
      </c>
      <c r="M350" s="3"/>
    </row>
    <row r="351" spans="1:13" ht="30" customHeight="1" x14ac:dyDescent="0.2">
      <c r="A351" s="4">
        <v>277</v>
      </c>
      <c r="B351" s="3" t="s">
        <v>134</v>
      </c>
      <c r="C351" s="352"/>
      <c r="D351" s="11">
        <v>200000000</v>
      </c>
      <c r="E351" s="20">
        <v>0.05</v>
      </c>
      <c r="F351" s="11">
        <f t="shared" si="19"/>
        <v>10000000</v>
      </c>
      <c r="G351" s="11">
        <v>10000000</v>
      </c>
      <c r="H351" s="11" t="s">
        <v>676</v>
      </c>
      <c r="I351" s="23" t="s">
        <v>697</v>
      </c>
      <c r="J351" s="24" t="s">
        <v>698</v>
      </c>
      <c r="K351" s="11">
        <f t="shared" si="20"/>
        <v>10000000</v>
      </c>
      <c r="L351" s="11">
        <f t="shared" si="21"/>
        <v>0</v>
      </c>
      <c r="M351" s="3"/>
    </row>
    <row r="352" spans="1:13" ht="30" customHeight="1" x14ac:dyDescent="0.2">
      <c r="A352" s="4">
        <v>278</v>
      </c>
      <c r="B352" s="3" t="s">
        <v>634</v>
      </c>
      <c r="C352" s="352"/>
      <c r="D352" s="124">
        <v>40000000</v>
      </c>
      <c r="E352" s="44">
        <v>4.2999999999999997E-2</v>
      </c>
      <c r="F352" s="124">
        <v>1750000</v>
      </c>
      <c r="G352" s="11">
        <v>1750000</v>
      </c>
      <c r="H352" s="11" t="s">
        <v>557</v>
      </c>
      <c r="I352" s="23" t="s">
        <v>635</v>
      </c>
      <c r="J352" s="24" t="s">
        <v>636</v>
      </c>
      <c r="K352" s="11">
        <f t="shared" si="20"/>
        <v>1750000</v>
      </c>
      <c r="L352" s="11">
        <f t="shared" si="21"/>
        <v>0</v>
      </c>
      <c r="M352" s="3"/>
    </row>
    <row r="353" spans="1:13" ht="30" customHeight="1" x14ac:dyDescent="0.2">
      <c r="A353" s="4">
        <v>279</v>
      </c>
      <c r="B353" s="3" t="s">
        <v>135</v>
      </c>
      <c r="C353" s="352"/>
      <c r="D353" s="11">
        <v>11000000</v>
      </c>
      <c r="E353" s="20">
        <v>4.4999999999999998E-2</v>
      </c>
      <c r="F353" s="11">
        <v>500000</v>
      </c>
      <c r="G353" s="11">
        <v>500000</v>
      </c>
      <c r="H353" s="11" t="s">
        <v>728</v>
      </c>
      <c r="I353" s="23" t="s">
        <v>750</v>
      </c>
      <c r="J353" s="24" t="s">
        <v>751</v>
      </c>
      <c r="K353" s="11">
        <f t="shared" si="20"/>
        <v>500000</v>
      </c>
      <c r="L353" s="11">
        <f t="shared" si="21"/>
        <v>0</v>
      </c>
      <c r="M353" s="3"/>
    </row>
    <row r="354" spans="1:13" ht="30" customHeight="1" x14ac:dyDescent="0.2">
      <c r="A354" s="4">
        <v>280</v>
      </c>
      <c r="B354" s="3" t="s">
        <v>468</v>
      </c>
      <c r="C354" s="352"/>
      <c r="D354" s="64"/>
      <c r="E354" s="44"/>
      <c r="F354" s="64">
        <f t="shared" si="19"/>
        <v>0</v>
      </c>
      <c r="G354" s="11">
        <v>585000</v>
      </c>
      <c r="H354" s="11" t="s">
        <v>453</v>
      </c>
      <c r="I354" s="23" t="s">
        <v>469</v>
      </c>
      <c r="J354" s="28" t="s">
        <v>470</v>
      </c>
      <c r="K354" s="11">
        <f t="shared" si="20"/>
        <v>585000</v>
      </c>
      <c r="L354" s="64">
        <f t="shared" si="21"/>
        <v>-585000</v>
      </c>
      <c r="M354" s="3"/>
    </row>
    <row r="355" spans="1:13" ht="30" customHeight="1" x14ac:dyDescent="0.2">
      <c r="A355" s="2031">
        <v>281</v>
      </c>
      <c r="B355" s="2074" t="s">
        <v>136</v>
      </c>
      <c r="C355" s="2149" t="s">
        <v>1345</v>
      </c>
      <c r="D355" s="11">
        <v>25000000</v>
      </c>
      <c r="E355" s="20">
        <v>4.8000000000000001E-2</v>
      </c>
      <c r="F355" s="11">
        <f t="shared" si="19"/>
        <v>1200000</v>
      </c>
      <c r="G355" s="11">
        <v>1200000</v>
      </c>
      <c r="H355" s="11" t="s">
        <v>649</v>
      </c>
      <c r="I355" s="23" t="s">
        <v>650</v>
      </c>
      <c r="J355" s="24" t="s">
        <v>651</v>
      </c>
      <c r="K355" s="11">
        <f t="shared" si="20"/>
        <v>1200000</v>
      </c>
      <c r="L355" s="11">
        <f t="shared" si="21"/>
        <v>0</v>
      </c>
      <c r="M355" s="3"/>
    </row>
    <row r="356" spans="1:13" ht="30" customHeight="1" x14ac:dyDescent="0.2">
      <c r="A356" s="2032"/>
      <c r="B356" s="2075"/>
      <c r="C356" s="2150"/>
      <c r="D356" s="295">
        <v>40000000</v>
      </c>
      <c r="E356" s="20">
        <v>0.05</v>
      </c>
      <c r="F356" s="295">
        <f t="shared" si="19"/>
        <v>2000000</v>
      </c>
      <c r="G356" s="2154" t="s">
        <v>1296</v>
      </c>
      <c r="H356" s="2155"/>
      <c r="I356" s="2155"/>
      <c r="J356" s="2155"/>
      <c r="K356" s="2156"/>
      <c r="L356" s="295"/>
      <c r="M356" s="3"/>
    </row>
    <row r="357" spans="1:13" ht="30" customHeight="1" x14ac:dyDescent="0.2">
      <c r="A357" s="4">
        <v>282</v>
      </c>
      <c r="B357" s="3" t="s">
        <v>1054</v>
      </c>
      <c r="C357" s="352"/>
      <c r="D357" s="11">
        <v>20000000</v>
      </c>
      <c r="E357" s="20">
        <v>0.04</v>
      </c>
      <c r="F357" s="11">
        <f t="shared" si="19"/>
        <v>800000</v>
      </c>
      <c r="G357" s="11">
        <v>800000</v>
      </c>
      <c r="H357" s="11" t="s">
        <v>453</v>
      </c>
      <c r="I357" s="23" t="s">
        <v>480</v>
      </c>
      <c r="J357" s="36" t="s">
        <v>479</v>
      </c>
      <c r="K357" s="11">
        <f t="shared" si="20"/>
        <v>800000</v>
      </c>
      <c r="L357" s="11">
        <f t="shared" si="21"/>
        <v>0</v>
      </c>
      <c r="M357" s="3"/>
    </row>
    <row r="358" spans="1:13" ht="30" customHeight="1" x14ac:dyDescent="0.2">
      <c r="A358" s="2031">
        <v>283</v>
      </c>
      <c r="B358" s="2074" t="s">
        <v>137</v>
      </c>
      <c r="C358" s="2149"/>
      <c r="D358" s="2080"/>
      <c r="E358" s="2082"/>
      <c r="F358" s="2040">
        <v>1550000</v>
      </c>
      <c r="G358" s="11">
        <v>1505000</v>
      </c>
      <c r="H358" s="11" t="s">
        <v>557</v>
      </c>
      <c r="I358" s="23" t="s">
        <v>640</v>
      </c>
      <c r="J358" s="24" t="s">
        <v>641</v>
      </c>
      <c r="K358" s="2040">
        <f>G358+G359</f>
        <v>1550000</v>
      </c>
      <c r="L358" s="2040">
        <f>F358-K358</f>
        <v>0</v>
      </c>
      <c r="M358" s="2072" t="s">
        <v>642</v>
      </c>
    </row>
    <row r="359" spans="1:13" ht="30" customHeight="1" x14ac:dyDescent="0.2">
      <c r="A359" s="2032"/>
      <c r="B359" s="2075"/>
      <c r="C359" s="2150"/>
      <c r="D359" s="2081"/>
      <c r="E359" s="2083"/>
      <c r="F359" s="2042"/>
      <c r="G359" s="90">
        <v>45000</v>
      </c>
      <c r="H359" s="90" t="s">
        <v>557</v>
      </c>
      <c r="I359" s="23" t="s">
        <v>645</v>
      </c>
      <c r="J359" s="24" t="s">
        <v>646</v>
      </c>
      <c r="K359" s="2042"/>
      <c r="L359" s="2042"/>
      <c r="M359" s="2073"/>
    </row>
    <row r="360" spans="1:13" ht="30" customHeight="1" x14ac:dyDescent="0.2">
      <c r="A360" s="2031">
        <v>284</v>
      </c>
      <c r="B360" s="2074" t="s">
        <v>1197</v>
      </c>
      <c r="C360" s="2149" t="s">
        <v>379</v>
      </c>
      <c r="D360" s="11">
        <v>115000000</v>
      </c>
      <c r="E360" s="20">
        <v>4.4999999999999998E-2</v>
      </c>
      <c r="F360" s="11">
        <f t="shared" si="19"/>
        <v>5175000</v>
      </c>
      <c r="G360" s="2040">
        <v>6675000</v>
      </c>
      <c r="H360" s="2040" t="s">
        <v>1177</v>
      </c>
      <c r="I360" s="2159" t="s">
        <v>1198</v>
      </c>
      <c r="J360" s="2128" t="s">
        <v>1199</v>
      </c>
      <c r="K360" s="2040">
        <f t="shared" si="20"/>
        <v>6675000</v>
      </c>
      <c r="L360" s="2040">
        <f>(F360+1500000)-K360</f>
        <v>0</v>
      </c>
      <c r="M360" s="2072" t="s">
        <v>1200</v>
      </c>
    </row>
    <row r="361" spans="1:13" ht="30" customHeight="1" x14ac:dyDescent="0.2">
      <c r="A361" s="2032"/>
      <c r="B361" s="2075"/>
      <c r="C361" s="2150"/>
      <c r="D361" s="250">
        <v>60000000</v>
      </c>
      <c r="E361" s="20">
        <v>0.05</v>
      </c>
      <c r="F361" s="250">
        <f t="shared" si="19"/>
        <v>3000000</v>
      </c>
      <c r="G361" s="2042"/>
      <c r="H361" s="2042"/>
      <c r="I361" s="2160"/>
      <c r="J361" s="2129"/>
      <c r="K361" s="2042"/>
      <c r="L361" s="2042"/>
      <c r="M361" s="2073"/>
    </row>
    <row r="362" spans="1:13" ht="30" customHeight="1" x14ac:dyDescent="0.2">
      <c r="A362" s="4">
        <v>285</v>
      </c>
      <c r="B362" s="3" t="s">
        <v>138</v>
      </c>
      <c r="C362" s="352"/>
      <c r="D362" s="11">
        <v>100000000</v>
      </c>
      <c r="E362" s="20">
        <v>7.0000000000000007E-2</v>
      </c>
      <c r="F362" s="11">
        <f t="shared" si="19"/>
        <v>7000000.0000000009</v>
      </c>
      <c r="G362" s="11">
        <v>7000000</v>
      </c>
      <c r="H362" s="11" t="s">
        <v>557</v>
      </c>
      <c r="I362" s="23" t="s">
        <v>643</v>
      </c>
      <c r="J362" s="24" t="s">
        <v>644</v>
      </c>
      <c r="K362" s="11">
        <f t="shared" si="20"/>
        <v>7000000</v>
      </c>
      <c r="L362" s="11">
        <f t="shared" si="21"/>
        <v>0</v>
      </c>
      <c r="M362" s="3"/>
    </row>
    <row r="363" spans="1:13" ht="30" customHeight="1" x14ac:dyDescent="0.2">
      <c r="A363" s="4">
        <v>286</v>
      </c>
      <c r="B363" s="3" t="s">
        <v>139</v>
      </c>
      <c r="C363" s="352"/>
      <c r="D363" s="11">
        <v>35000000</v>
      </c>
      <c r="E363" s="20">
        <v>0.04</v>
      </c>
      <c r="F363" s="11">
        <f t="shared" si="19"/>
        <v>1400000</v>
      </c>
      <c r="G363" s="11">
        <v>1400000</v>
      </c>
      <c r="H363" s="11" t="s">
        <v>294</v>
      </c>
      <c r="I363" s="23" t="s">
        <v>311</v>
      </c>
      <c r="J363" s="21" t="s">
        <v>312</v>
      </c>
      <c r="K363" s="11">
        <f t="shared" si="20"/>
        <v>1400000</v>
      </c>
      <c r="L363" s="11">
        <f t="shared" si="21"/>
        <v>0</v>
      </c>
      <c r="M363" s="3"/>
    </row>
    <row r="364" spans="1:13" ht="30" customHeight="1" x14ac:dyDescent="0.2">
      <c r="A364" s="4">
        <v>287</v>
      </c>
      <c r="B364" s="3" t="s">
        <v>140</v>
      </c>
      <c r="C364" s="352"/>
      <c r="D364" s="11">
        <v>15000000</v>
      </c>
      <c r="E364" s="20">
        <v>0.05</v>
      </c>
      <c r="F364" s="11">
        <f t="shared" si="19"/>
        <v>750000</v>
      </c>
      <c r="G364" s="11">
        <v>750000</v>
      </c>
      <c r="H364" s="11" t="s">
        <v>557</v>
      </c>
      <c r="I364" s="23" t="s">
        <v>582</v>
      </c>
      <c r="J364" s="24" t="s">
        <v>583</v>
      </c>
      <c r="K364" s="11">
        <f t="shared" si="20"/>
        <v>750000</v>
      </c>
      <c r="L364" s="11">
        <f t="shared" si="21"/>
        <v>0</v>
      </c>
      <c r="M364" s="3"/>
    </row>
    <row r="365" spans="1:13" ht="30" customHeight="1" x14ac:dyDescent="0.2">
      <c r="A365" s="4">
        <v>288</v>
      </c>
      <c r="B365" s="3" t="s">
        <v>141</v>
      </c>
      <c r="C365" s="352" t="s">
        <v>1344</v>
      </c>
      <c r="D365" s="11">
        <v>50000000</v>
      </c>
      <c r="E365" s="20">
        <v>4.4999999999999998E-2</v>
      </c>
      <c r="F365" s="11">
        <f t="shared" si="19"/>
        <v>2250000</v>
      </c>
      <c r="G365" s="11">
        <v>2250000</v>
      </c>
      <c r="H365" s="11" t="s">
        <v>676</v>
      </c>
      <c r="I365" s="23" t="s">
        <v>689</v>
      </c>
      <c r="J365" s="24" t="s">
        <v>690</v>
      </c>
      <c r="K365" s="11">
        <f t="shared" si="20"/>
        <v>2250000</v>
      </c>
      <c r="L365" s="11">
        <f t="shared" si="21"/>
        <v>0</v>
      </c>
      <c r="M365" s="3"/>
    </row>
    <row r="366" spans="1:13" ht="30" customHeight="1" x14ac:dyDescent="0.2">
      <c r="A366" s="4">
        <v>289</v>
      </c>
      <c r="B366" s="3" t="s">
        <v>653</v>
      </c>
      <c r="C366" s="352"/>
      <c r="D366" s="94"/>
      <c r="E366" s="44"/>
      <c r="F366" s="94">
        <f t="shared" ref="F366:F410" si="22">D366*E366</f>
        <v>0</v>
      </c>
      <c r="G366" s="11">
        <v>1350000</v>
      </c>
      <c r="H366" s="11" t="s">
        <v>649</v>
      </c>
      <c r="I366" s="23" t="s">
        <v>655</v>
      </c>
      <c r="J366" s="21" t="s">
        <v>654</v>
      </c>
      <c r="K366" s="11">
        <f t="shared" si="20"/>
        <v>1350000</v>
      </c>
      <c r="L366" s="94">
        <f t="shared" si="21"/>
        <v>-1350000</v>
      </c>
      <c r="M366" s="3"/>
    </row>
    <row r="367" spans="1:13" ht="30" customHeight="1" x14ac:dyDescent="0.2">
      <c r="A367" s="4">
        <v>290</v>
      </c>
      <c r="B367" s="3" t="s">
        <v>652</v>
      </c>
      <c r="C367" s="352" t="s">
        <v>1343</v>
      </c>
      <c r="D367" s="11">
        <v>550000000</v>
      </c>
      <c r="E367" s="20">
        <v>0.05</v>
      </c>
      <c r="F367" s="11">
        <f t="shared" si="22"/>
        <v>27500000</v>
      </c>
      <c r="G367" s="11">
        <v>27500000</v>
      </c>
      <c r="H367" s="11" t="s">
        <v>557</v>
      </c>
      <c r="I367" s="23"/>
      <c r="J367" s="24"/>
      <c r="K367" s="11">
        <f t="shared" ref="K367:K410" si="23">G367</f>
        <v>27500000</v>
      </c>
      <c r="L367" s="11">
        <f t="shared" ref="L367:L410" si="24">F367-K367</f>
        <v>0</v>
      </c>
      <c r="M367" s="93" t="s">
        <v>639</v>
      </c>
    </row>
    <row r="368" spans="1:13" ht="30" customHeight="1" x14ac:dyDescent="0.2">
      <c r="A368" s="2031">
        <v>291</v>
      </c>
      <c r="B368" s="2074" t="s">
        <v>142</v>
      </c>
      <c r="C368" s="2149"/>
      <c r="D368" s="11">
        <v>20000000</v>
      </c>
      <c r="E368" s="20">
        <v>0.05</v>
      </c>
      <c r="F368" s="11">
        <f t="shared" si="22"/>
        <v>1000000</v>
      </c>
      <c r="G368" s="11">
        <v>1000000</v>
      </c>
      <c r="H368" s="11" t="s">
        <v>453</v>
      </c>
      <c r="I368" s="23" t="s">
        <v>456</v>
      </c>
      <c r="J368" s="24" t="s">
        <v>457</v>
      </c>
      <c r="K368" s="11">
        <f t="shared" si="23"/>
        <v>1000000</v>
      </c>
      <c r="L368" s="11">
        <f t="shared" si="24"/>
        <v>0</v>
      </c>
      <c r="M368" s="2031"/>
    </row>
    <row r="369" spans="1:13" ht="30" customHeight="1" x14ac:dyDescent="0.2">
      <c r="A369" s="2034"/>
      <c r="B369" s="2110"/>
      <c r="C369" s="2158"/>
      <c r="D369" s="2040">
        <v>20000000</v>
      </c>
      <c r="E369" s="2115" t="s">
        <v>668</v>
      </c>
      <c r="F369" s="2116"/>
      <c r="G369" s="250">
        <v>3000000</v>
      </c>
      <c r="H369" s="250" t="s">
        <v>1177</v>
      </c>
      <c r="I369" s="254" t="s">
        <v>1206</v>
      </c>
      <c r="J369" s="2128" t="s">
        <v>457</v>
      </c>
      <c r="K369" s="2040">
        <f>G369+G370</f>
        <v>5000000</v>
      </c>
      <c r="L369" s="2040">
        <f>D369-K369</f>
        <v>15000000</v>
      </c>
      <c r="M369" s="2034"/>
    </row>
    <row r="370" spans="1:13" ht="30" customHeight="1" x14ac:dyDescent="0.2">
      <c r="A370" s="2032"/>
      <c r="B370" s="2075"/>
      <c r="C370" s="2150"/>
      <c r="D370" s="2042"/>
      <c r="E370" s="2117"/>
      <c r="F370" s="2118"/>
      <c r="G370" s="250">
        <v>2000000</v>
      </c>
      <c r="H370" s="250" t="s">
        <v>1177</v>
      </c>
      <c r="I370" s="254" t="s">
        <v>1207</v>
      </c>
      <c r="J370" s="2129"/>
      <c r="K370" s="2042"/>
      <c r="L370" s="2042"/>
      <c r="M370" s="2032"/>
    </row>
    <row r="371" spans="1:13" ht="30" customHeight="1" x14ac:dyDescent="0.2">
      <c r="A371" s="4">
        <v>292</v>
      </c>
      <c r="B371" s="3" t="s">
        <v>143</v>
      </c>
      <c r="C371" s="352"/>
      <c r="D371" s="101"/>
      <c r="E371" s="44"/>
      <c r="F371" s="101">
        <f t="shared" si="22"/>
        <v>0</v>
      </c>
      <c r="G371" s="11">
        <v>5000000</v>
      </c>
      <c r="H371" s="11" t="s">
        <v>676</v>
      </c>
      <c r="I371" s="23" t="s">
        <v>679</v>
      </c>
      <c r="J371" s="24" t="s">
        <v>680</v>
      </c>
      <c r="K371" s="11">
        <f t="shared" si="23"/>
        <v>5000000</v>
      </c>
      <c r="L371" s="101">
        <f t="shared" si="24"/>
        <v>-5000000</v>
      </c>
      <c r="M371" s="3"/>
    </row>
    <row r="372" spans="1:13" ht="30" customHeight="1" x14ac:dyDescent="0.2">
      <c r="A372" s="4">
        <v>293</v>
      </c>
      <c r="B372" s="3" t="s">
        <v>144</v>
      </c>
      <c r="C372" s="352"/>
      <c r="D372" s="11">
        <v>75000000</v>
      </c>
      <c r="E372" s="20">
        <v>0.04</v>
      </c>
      <c r="F372" s="11">
        <f>D372*E372</f>
        <v>3000000</v>
      </c>
      <c r="G372" s="11">
        <v>3000000</v>
      </c>
      <c r="H372" s="11" t="s">
        <v>728</v>
      </c>
      <c r="I372" s="23" t="s">
        <v>745</v>
      </c>
      <c r="J372" s="21" t="s">
        <v>746</v>
      </c>
      <c r="K372" s="11">
        <f t="shared" si="23"/>
        <v>3000000</v>
      </c>
      <c r="L372" s="11">
        <f t="shared" si="24"/>
        <v>0</v>
      </c>
      <c r="M372" s="3"/>
    </row>
    <row r="373" spans="1:13" ht="30" customHeight="1" x14ac:dyDescent="0.2">
      <c r="A373" s="2031">
        <v>294</v>
      </c>
      <c r="B373" s="2074" t="s">
        <v>145</v>
      </c>
      <c r="C373" s="2149"/>
      <c r="D373" s="2040">
        <v>100000000</v>
      </c>
      <c r="E373" s="2115" t="s">
        <v>668</v>
      </c>
      <c r="F373" s="2116"/>
      <c r="G373" s="1947" t="s">
        <v>2654</v>
      </c>
      <c r="H373" s="1948"/>
      <c r="I373" s="1948"/>
      <c r="J373" s="1949"/>
      <c r="K373" s="2040" t="e">
        <f>G374+G373</f>
        <v>#VALUE!</v>
      </c>
      <c r="L373" s="2040" t="e">
        <f>D373-K373</f>
        <v>#VALUE!</v>
      </c>
      <c r="M373" s="3"/>
    </row>
    <row r="374" spans="1:13" ht="30" customHeight="1" x14ac:dyDescent="0.2">
      <c r="A374" s="2034"/>
      <c r="B374" s="2110"/>
      <c r="C374" s="2158"/>
      <c r="D374" s="2042"/>
      <c r="E374" s="2117"/>
      <c r="F374" s="2118"/>
      <c r="G374" s="6">
        <v>20000000</v>
      </c>
      <c r="H374" s="6" t="s">
        <v>1264</v>
      </c>
      <c r="I374" s="281" t="s">
        <v>1274</v>
      </c>
      <c r="J374" s="21" t="s">
        <v>1275</v>
      </c>
      <c r="K374" s="2042"/>
      <c r="L374" s="2042"/>
      <c r="M374" s="3" t="s">
        <v>2653</v>
      </c>
    </row>
    <row r="375" spans="1:13" ht="30" customHeight="1" x14ac:dyDescent="0.2">
      <c r="A375" s="2032"/>
      <c r="B375" s="2075"/>
      <c r="C375" s="2150"/>
      <c r="D375" s="11">
        <v>100000000</v>
      </c>
      <c r="E375" s="20">
        <v>0.05</v>
      </c>
      <c r="F375" s="11">
        <f t="shared" si="22"/>
        <v>5000000</v>
      </c>
      <c r="G375" s="2040">
        <v>5500000</v>
      </c>
      <c r="H375" s="2040" t="s">
        <v>728</v>
      </c>
      <c r="I375" s="2159" t="s">
        <v>729</v>
      </c>
      <c r="J375" s="2128" t="s">
        <v>730</v>
      </c>
      <c r="K375" s="2040">
        <f t="shared" si="23"/>
        <v>5500000</v>
      </c>
      <c r="L375" s="2040">
        <f>(F375+F376)-K375</f>
        <v>0</v>
      </c>
      <c r="M375" s="3"/>
    </row>
    <row r="376" spans="1:13" ht="30" customHeight="1" x14ac:dyDescent="0.2">
      <c r="A376" s="4">
        <v>295</v>
      </c>
      <c r="B376" s="3" t="s">
        <v>727</v>
      </c>
      <c r="C376" s="352"/>
      <c r="D376" s="105">
        <v>10000000</v>
      </c>
      <c r="E376" s="20">
        <v>0.05</v>
      </c>
      <c r="F376" s="105">
        <f>D376*E376</f>
        <v>500000</v>
      </c>
      <c r="G376" s="2042"/>
      <c r="H376" s="2042"/>
      <c r="I376" s="2160"/>
      <c r="J376" s="2129"/>
      <c r="K376" s="2042"/>
      <c r="L376" s="2042"/>
      <c r="M376" s="3"/>
    </row>
    <row r="377" spans="1:13" ht="30" customHeight="1" x14ac:dyDescent="0.2">
      <c r="A377" s="4">
        <v>296</v>
      </c>
      <c r="B377" s="3" t="s">
        <v>146</v>
      </c>
      <c r="C377" s="352"/>
      <c r="D377" s="11">
        <v>35000000</v>
      </c>
      <c r="E377" s="20">
        <v>0.04</v>
      </c>
      <c r="F377" s="11">
        <f t="shared" si="22"/>
        <v>1400000</v>
      </c>
      <c r="G377" s="11">
        <v>1400000</v>
      </c>
      <c r="H377" s="11" t="s">
        <v>1132</v>
      </c>
      <c r="I377" s="23" t="s">
        <v>1139</v>
      </c>
      <c r="J377" s="24" t="s">
        <v>1140</v>
      </c>
      <c r="K377" s="11">
        <f t="shared" si="23"/>
        <v>1400000</v>
      </c>
      <c r="L377" s="11">
        <f t="shared" si="24"/>
        <v>0</v>
      </c>
      <c r="M377" s="3"/>
    </row>
    <row r="378" spans="1:13" ht="30" customHeight="1" x14ac:dyDescent="0.2">
      <c r="A378" s="4">
        <v>297</v>
      </c>
      <c r="B378" s="3" t="s">
        <v>147</v>
      </c>
      <c r="C378" s="352"/>
      <c r="D378" s="11">
        <v>50000000</v>
      </c>
      <c r="E378" s="44"/>
      <c r="F378" s="297">
        <f t="shared" si="22"/>
        <v>0</v>
      </c>
      <c r="G378" s="11">
        <v>4160000</v>
      </c>
      <c r="H378" s="11" t="s">
        <v>1297</v>
      </c>
      <c r="I378" s="23" t="s">
        <v>1310</v>
      </c>
      <c r="J378" s="298" t="s">
        <v>1311</v>
      </c>
      <c r="K378" s="11">
        <f t="shared" si="23"/>
        <v>4160000</v>
      </c>
      <c r="L378" s="297">
        <f t="shared" si="24"/>
        <v>-4160000</v>
      </c>
      <c r="M378" s="3"/>
    </row>
    <row r="379" spans="1:13" ht="30" customHeight="1" x14ac:dyDescent="0.2">
      <c r="A379" s="4">
        <v>298</v>
      </c>
      <c r="B379" s="3" t="s">
        <v>148</v>
      </c>
      <c r="C379" s="352" t="s">
        <v>1165</v>
      </c>
      <c r="D379" s="11">
        <v>40000000</v>
      </c>
      <c r="E379" s="20">
        <v>5.1999999999999998E-2</v>
      </c>
      <c r="F379" s="11">
        <v>2000000</v>
      </c>
      <c r="G379" s="11">
        <v>2000000</v>
      </c>
      <c r="H379" s="11" t="s">
        <v>933</v>
      </c>
      <c r="I379" s="23" t="s">
        <v>1009</v>
      </c>
      <c r="J379" s="24" t="s">
        <v>1010</v>
      </c>
      <c r="K379" s="11">
        <f t="shared" si="23"/>
        <v>2000000</v>
      </c>
      <c r="L379" s="11">
        <f t="shared" si="24"/>
        <v>0</v>
      </c>
      <c r="M379" s="3"/>
    </row>
    <row r="380" spans="1:13" ht="30" customHeight="1" x14ac:dyDescent="0.2">
      <c r="A380" s="2031">
        <v>299</v>
      </c>
      <c r="B380" s="2074" t="s">
        <v>851</v>
      </c>
      <c r="C380" s="2149"/>
      <c r="D380" s="2112">
        <v>200000000</v>
      </c>
      <c r="E380" s="2104" t="s">
        <v>884</v>
      </c>
      <c r="F380" s="2105"/>
      <c r="G380" s="11">
        <v>20000000</v>
      </c>
      <c r="H380" s="11" t="s">
        <v>388</v>
      </c>
      <c r="I380" s="36" t="s">
        <v>427</v>
      </c>
      <c r="J380" s="24" t="s">
        <v>428</v>
      </c>
      <c r="K380" s="2040">
        <f>G380+G381+G382+G383+G384</f>
        <v>200000000</v>
      </c>
      <c r="L380" s="2112">
        <f>D380-K380</f>
        <v>0</v>
      </c>
      <c r="M380" s="2010"/>
    </row>
    <row r="381" spans="1:13" ht="30" customHeight="1" x14ac:dyDescent="0.2">
      <c r="A381" s="2034"/>
      <c r="B381" s="2110"/>
      <c r="C381" s="2158"/>
      <c r="D381" s="2113"/>
      <c r="E381" s="2106"/>
      <c r="F381" s="2107"/>
      <c r="G381" s="75">
        <v>50000000</v>
      </c>
      <c r="H381" s="75" t="s">
        <v>557</v>
      </c>
      <c r="I381" s="36" t="s">
        <v>580</v>
      </c>
      <c r="J381" s="24" t="s">
        <v>581</v>
      </c>
      <c r="K381" s="2041"/>
      <c r="L381" s="2113"/>
      <c r="M381" s="2103"/>
    </row>
    <row r="382" spans="1:13" ht="30" customHeight="1" x14ac:dyDescent="0.2">
      <c r="A382" s="2034"/>
      <c r="B382" s="2110"/>
      <c r="C382" s="2158"/>
      <c r="D382" s="2113"/>
      <c r="E382" s="2106"/>
      <c r="F382" s="2107"/>
      <c r="G382" s="95">
        <v>50000000</v>
      </c>
      <c r="H382" s="95" t="s">
        <v>557</v>
      </c>
      <c r="I382" s="36" t="s">
        <v>664</v>
      </c>
      <c r="J382" s="24" t="s">
        <v>581</v>
      </c>
      <c r="K382" s="2041"/>
      <c r="L382" s="2113"/>
      <c r="M382" s="2103"/>
    </row>
    <row r="383" spans="1:13" ht="30" customHeight="1" x14ac:dyDescent="0.2">
      <c r="A383" s="2034"/>
      <c r="B383" s="2110"/>
      <c r="C383" s="2158"/>
      <c r="D383" s="2113"/>
      <c r="E383" s="2106"/>
      <c r="F383" s="2107"/>
      <c r="G383" s="129">
        <v>50000000</v>
      </c>
      <c r="H383" s="129" t="s">
        <v>839</v>
      </c>
      <c r="I383" s="138" t="s">
        <v>852</v>
      </c>
      <c r="J383" s="24" t="s">
        <v>853</v>
      </c>
      <c r="K383" s="2041"/>
      <c r="L383" s="2113"/>
      <c r="M383" s="2103"/>
    </row>
    <row r="384" spans="1:13" ht="30" customHeight="1" x14ac:dyDescent="0.2">
      <c r="A384" s="2032"/>
      <c r="B384" s="2075"/>
      <c r="C384" s="2150"/>
      <c r="D384" s="2114"/>
      <c r="E384" s="2108"/>
      <c r="F384" s="2109"/>
      <c r="G384" s="135">
        <v>30000000</v>
      </c>
      <c r="H384" s="135" t="s">
        <v>839</v>
      </c>
      <c r="I384" s="36" t="s">
        <v>883</v>
      </c>
      <c r="J384" s="36" t="s">
        <v>882</v>
      </c>
      <c r="K384" s="2042"/>
      <c r="L384" s="2114"/>
      <c r="M384" s="2011"/>
    </row>
    <row r="385" spans="1:13" ht="30" customHeight="1" x14ac:dyDescent="0.2">
      <c r="A385" s="4">
        <v>300</v>
      </c>
      <c r="B385" s="3" t="s">
        <v>149</v>
      </c>
      <c r="C385" s="352"/>
      <c r="D385" s="11">
        <v>10000000</v>
      </c>
      <c r="E385" s="20">
        <v>0.05</v>
      </c>
      <c r="F385" s="11">
        <f t="shared" si="22"/>
        <v>500000</v>
      </c>
      <c r="G385" s="11">
        <v>500000</v>
      </c>
      <c r="H385" s="11" t="s">
        <v>933</v>
      </c>
      <c r="I385" s="23" t="s">
        <v>1005</v>
      </c>
      <c r="J385" s="24" t="s">
        <v>1006</v>
      </c>
      <c r="K385" s="11">
        <f t="shared" si="23"/>
        <v>500000</v>
      </c>
      <c r="L385" s="11">
        <f t="shared" si="24"/>
        <v>0</v>
      </c>
      <c r="M385" s="3"/>
    </row>
    <row r="386" spans="1:13" ht="30" customHeight="1" x14ac:dyDescent="0.2">
      <c r="A386" s="2031">
        <v>301</v>
      </c>
      <c r="B386" s="2074" t="s">
        <v>150</v>
      </c>
      <c r="C386" s="2149" t="s">
        <v>917</v>
      </c>
      <c r="D386" s="2040">
        <v>178000000</v>
      </c>
      <c r="E386" s="2037">
        <v>5.8999999999999997E-2</v>
      </c>
      <c r="F386" s="2040">
        <v>10500000</v>
      </c>
      <c r="G386" s="11">
        <v>10000000</v>
      </c>
      <c r="H386" s="11" t="s">
        <v>839</v>
      </c>
      <c r="I386" s="23" t="s">
        <v>868</v>
      </c>
      <c r="J386" s="24" t="s">
        <v>869</v>
      </c>
      <c r="K386" s="2040">
        <f>G386+G387</f>
        <v>10500000</v>
      </c>
      <c r="L386" s="2080">
        <f>F386-K386</f>
        <v>0</v>
      </c>
      <c r="M386" s="3"/>
    </row>
    <row r="387" spans="1:13" ht="30" customHeight="1" x14ac:dyDescent="0.2">
      <c r="A387" s="2032"/>
      <c r="B387" s="2075"/>
      <c r="C387" s="2150"/>
      <c r="D387" s="2042"/>
      <c r="E387" s="2039"/>
      <c r="F387" s="2042"/>
      <c r="G387" s="129">
        <v>500000</v>
      </c>
      <c r="H387" s="129" t="s">
        <v>1013</v>
      </c>
      <c r="I387" s="132" t="s">
        <v>1023</v>
      </c>
      <c r="J387" s="24" t="s">
        <v>869</v>
      </c>
      <c r="K387" s="2042"/>
      <c r="L387" s="2081"/>
      <c r="M387" s="3"/>
    </row>
    <row r="388" spans="1:13" ht="30" customHeight="1" x14ac:dyDescent="0.2">
      <c r="A388" s="4">
        <v>302</v>
      </c>
      <c r="B388" s="3" t="s">
        <v>151</v>
      </c>
      <c r="C388" s="352"/>
      <c r="D388" s="105">
        <v>10000000</v>
      </c>
      <c r="E388" s="20">
        <v>0.04</v>
      </c>
      <c r="F388" s="105">
        <f>D388*E388</f>
        <v>400000</v>
      </c>
      <c r="G388" s="11">
        <v>800000</v>
      </c>
      <c r="H388" s="11" t="s">
        <v>728</v>
      </c>
      <c r="I388" s="23" t="s">
        <v>743</v>
      </c>
      <c r="J388" s="24" t="s">
        <v>744</v>
      </c>
      <c r="K388" s="11">
        <f t="shared" si="23"/>
        <v>800000</v>
      </c>
      <c r="L388" s="11">
        <f t="shared" si="24"/>
        <v>-400000</v>
      </c>
      <c r="M388" s="82" t="s">
        <v>667</v>
      </c>
    </row>
    <row r="389" spans="1:13" ht="30" customHeight="1" x14ac:dyDescent="0.2">
      <c r="A389" s="4">
        <v>303</v>
      </c>
      <c r="B389" s="3" t="s">
        <v>152</v>
      </c>
      <c r="C389" s="352"/>
      <c r="D389" s="11">
        <v>60000000</v>
      </c>
      <c r="E389" s="20">
        <v>4.4999999999999998E-2</v>
      </c>
      <c r="F389" s="11">
        <f t="shared" si="22"/>
        <v>2700000</v>
      </c>
      <c r="G389" s="11">
        <v>2700000</v>
      </c>
      <c r="H389" s="11" t="s">
        <v>1132</v>
      </c>
      <c r="I389" s="23" t="s">
        <v>1161</v>
      </c>
      <c r="J389" s="24" t="s">
        <v>1162</v>
      </c>
      <c r="K389" s="11">
        <f t="shared" si="23"/>
        <v>2700000</v>
      </c>
      <c r="L389" s="11">
        <f t="shared" si="24"/>
        <v>0</v>
      </c>
      <c r="M389" s="3"/>
    </row>
    <row r="390" spans="1:13" ht="30" customHeight="1" x14ac:dyDescent="0.2">
      <c r="A390" s="2031">
        <v>304</v>
      </c>
      <c r="B390" s="2074" t="s">
        <v>153</v>
      </c>
      <c r="C390" s="2149"/>
      <c r="D390" s="2080"/>
      <c r="E390" s="2082"/>
      <c r="F390" s="2080">
        <f t="shared" si="22"/>
        <v>0</v>
      </c>
      <c r="G390" s="11">
        <v>50000000</v>
      </c>
      <c r="H390" s="11" t="s">
        <v>1032</v>
      </c>
      <c r="I390" s="36" t="s">
        <v>1114</v>
      </c>
      <c r="J390" s="24" t="s">
        <v>1115</v>
      </c>
      <c r="K390" s="11">
        <f t="shared" si="23"/>
        <v>50000000</v>
      </c>
      <c r="L390" s="2080">
        <f t="shared" si="24"/>
        <v>-50000000</v>
      </c>
      <c r="M390" s="3"/>
    </row>
    <row r="391" spans="1:13" ht="30" customHeight="1" x14ac:dyDescent="0.2">
      <c r="A391" s="2032"/>
      <c r="B391" s="2075"/>
      <c r="C391" s="2150"/>
      <c r="D391" s="2081"/>
      <c r="E391" s="2083"/>
      <c r="F391" s="2081"/>
      <c r="G391" s="250">
        <v>25000000</v>
      </c>
      <c r="H391" s="250" t="s">
        <v>1177</v>
      </c>
      <c r="I391" s="36" t="s">
        <v>1178</v>
      </c>
      <c r="J391" s="24" t="s">
        <v>1179</v>
      </c>
      <c r="K391" s="250">
        <f t="shared" si="23"/>
        <v>25000000</v>
      </c>
      <c r="L391" s="2081"/>
      <c r="M391" s="3"/>
    </row>
    <row r="392" spans="1:13" ht="30" customHeight="1" x14ac:dyDescent="0.2">
      <c r="A392" s="2031">
        <v>305</v>
      </c>
      <c r="B392" s="2029" t="s">
        <v>154</v>
      </c>
      <c r="C392" s="2149"/>
      <c r="D392" s="11">
        <v>10000000</v>
      </c>
      <c r="E392" s="20">
        <v>0.06</v>
      </c>
      <c r="F392" s="11">
        <f t="shared" si="22"/>
        <v>600000</v>
      </c>
      <c r="G392" s="11">
        <v>600000</v>
      </c>
      <c r="H392" s="11" t="s">
        <v>268</v>
      </c>
      <c r="I392" s="27">
        <v>121083218622</v>
      </c>
      <c r="J392" s="24" t="s">
        <v>1123</v>
      </c>
      <c r="K392" s="11">
        <f t="shared" si="23"/>
        <v>600000</v>
      </c>
      <c r="L392" s="11">
        <f t="shared" si="24"/>
        <v>0</v>
      </c>
      <c r="M392" s="103" t="s">
        <v>1126</v>
      </c>
    </row>
    <row r="393" spans="1:13" ht="30" customHeight="1" x14ac:dyDescent="0.2">
      <c r="A393" s="2032"/>
      <c r="B393" s="2030"/>
      <c r="C393" s="2150"/>
      <c r="D393" s="232">
        <v>10000000</v>
      </c>
      <c r="E393" s="20">
        <v>0.06</v>
      </c>
      <c r="F393" s="232">
        <f t="shared" si="22"/>
        <v>600000</v>
      </c>
      <c r="G393" s="232">
        <v>600000</v>
      </c>
      <c r="H393" s="232" t="s">
        <v>1032</v>
      </c>
      <c r="I393" s="238">
        <v>178284</v>
      </c>
      <c r="J393" s="24" t="s">
        <v>1123</v>
      </c>
      <c r="K393" s="232">
        <f t="shared" si="23"/>
        <v>600000</v>
      </c>
      <c r="L393" s="232">
        <f>F393-K393</f>
        <v>0</v>
      </c>
      <c r="M393" s="45"/>
    </row>
    <row r="394" spans="1:13" ht="30" customHeight="1" x14ac:dyDescent="0.2">
      <c r="A394" s="2031">
        <v>306</v>
      </c>
      <c r="B394" s="2074" t="s">
        <v>155</v>
      </c>
      <c r="C394" s="2149"/>
      <c r="D394" s="2040">
        <v>650000000</v>
      </c>
      <c r="E394" s="2115">
        <f>F394/D394</f>
        <v>5.7692307692307696E-2</v>
      </c>
      <c r="F394" s="2157">
        <v>37500000</v>
      </c>
      <c r="G394" s="11">
        <v>10000000</v>
      </c>
      <c r="H394" s="11" t="s">
        <v>432</v>
      </c>
      <c r="I394" s="309" t="s">
        <v>447</v>
      </c>
      <c r="J394" s="24" t="s">
        <v>448</v>
      </c>
      <c r="K394" s="2040">
        <f>G394+G395</f>
        <v>36000000</v>
      </c>
      <c r="L394" s="2040">
        <f t="shared" si="24"/>
        <v>1500000</v>
      </c>
      <c r="M394" s="2031"/>
    </row>
    <row r="395" spans="1:13" ht="30" customHeight="1" x14ac:dyDescent="0.2">
      <c r="A395" s="2032"/>
      <c r="B395" s="2075"/>
      <c r="C395" s="2150"/>
      <c r="D395" s="2042"/>
      <c r="E395" s="2117"/>
      <c r="F395" s="2157"/>
      <c r="G395" s="323">
        <v>26000000</v>
      </c>
      <c r="H395" s="323" t="s">
        <v>1315</v>
      </c>
      <c r="I395" s="336" t="s">
        <v>1331</v>
      </c>
      <c r="J395" s="24" t="s">
        <v>448</v>
      </c>
      <c r="K395" s="2042"/>
      <c r="L395" s="2042"/>
      <c r="M395" s="2032"/>
    </row>
    <row r="396" spans="1:13" ht="30" customHeight="1" x14ac:dyDescent="0.2">
      <c r="A396" s="2031">
        <v>307</v>
      </c>
      <c r="B396" s="2074" t="s">
        <v>156</v>
      </c>
      <c r="C396" s="2149"/>
      <c r="D396" s="2040">
        <v>70000000</v>
      </c>
      <c r="E396" s="2097" t="s">
        <v>668</v>
      </c>
      <c r="F396" s="2098"/>
      <c r="G396" s="11">
        <v>40000000</v>
      </c>
      <c r="H396" s="11" t="s">
        <v>1315</v>
      </c>
      <c r="I396" s="309" t="s">
        <v>1324</v>
      </c>
      <c r="J396" s="308" t="s">
        <v>1323</v>
      </c>
      <c r="K396" s="2040">
        <f>G396+G397</f>
        <v>40000000</v>
      </c>
      <c r="L396" s="2040">
        <f>D396-K396</f>
        <v>30000000</v>
      </c>
      <c r="M396" s="3"/>
    </row>
    <row r="397" spans="1:13" ht="30" customHeight="1" x14ac:dyDescent="0.2">
      <c r="A397" s="2032"/>
      <c r="B397" s="2075"/>
      <c r="C397" s="2150"/>
      <c r="D397" s="2042"/>
      <c r="E397" s="2099"/>
      <c r="F397" s="2100"/>
      <c r="G397" s="307"/>
      <c r="H397" s="307"/>
      <c r="I397" s="308"/>
      <c r="J397" s="24"/>
      <c r="K397" s="2042"/>
      <c r="L397" s="2042"/>
      <c r="M397" s="3"/>
    </row>
    <row r="398" spans="1:13" ht="30" customHeight="1" x14ac:dyDescent="0.2">
      <c r="A398" s="2031">
        <v>308</v>
      </c>
      <c r="B398" s="2074" t="s">
        <v>157</v>
      </c>
      <c r="C398" s="2149"/>
      <c r="D398" s="11">
        <v>100000000</v>
      </c>
      <c r="E398" s="20">
        <v>0.04</v>
      </c>
      <c r="F398" s="11">
        <f t="shared" si="22"/>
        <v>4000000</v>
      </c>
      <c r="G398" s="11">
        <v>4000000</v>
      </c>
      <c r="H398" s="11" t="s">
        <v>755</v>
      </c>
      <c r="I398" s="23" t="s">
        <v>829</v>
      </c>
      <c r="J398" s="24" t="s">
        <v>830</v>
      </c>
      <c r="K398" s="2040">
        <f>G398+G399:G399</f>
        <v>11000000</v>
      </c>
      <c r="L398" s="2040">
        <f>(G398+G399)-K398</f>
        <v>0</v>
      </c>
      <c r="M398" s="2031"/>
    </row>
    <row r="399" spans="1:13" ht="30" customHeight="1" x14ac:dyDescent="0.2">
      <c r="A399" s="2032"/>
      <c r="B399" s="2075"/>
      <c r="C399" s="2150"/>
      <c r="D399" s="815">
        <v>120000000</v>
      </c>
      <c r="E399" s="813">
        <v>0.06</v>
      </c>
      <c r="F399" s="815">
        <v>7000000</v>
      </c>
      <c r="G399" s="816">
        <v>7000000</v>
      </c>
      <c r="H399" s="816" t="s">
        <v>1264</v>
      </c>
      <c r="I399" s="2177" t="s">
        <v>2410</v>
      </c>
      <c r="J399" s="2178"/>
      <c r="K399" s="2042"/>
      <c r="L399" s="2042"/>
      <c r="M399" s="2032"/>
    </row>
    <row r="400" spans="1:13" ht="30" customHeight="1" x14ac:dyDescent="0.2">
      <c r="A400" s="2031">
        <v>309</v>
      </c>
      <c r="B400" s="2074" t="s">
        <v>158</v>
      </c>
      <c r="C400" s="2149"/>
      <c r="D400" s="2040">
        <v>300000000</v>
      </c>
      <c r="E400" s="2037">
        <v>0.05</v>
      </c>
      <c r="F400" s="2040">
        <f t="shared" si="22"/>
        <v>15000000</v>
      </c>
      <c r="G400" s="11">
        <v>3000000</v>
      </c>
      <c r="H400" s="11" t="s">
        <v>388</v>
      </c>
      <c r="I400" s="23" t="s">
        <v>414</v>
      </c>
      <c r="J400" s="21" t="s">
        <v>415</v>
      </c>
      <c r="K400" s="2040">
        <f>G400+G401</f>
        <v>3000000</v>
      </c>
      <c r="L400" s="2080">
        <f t="shared" si="24"/>
        <v>12000000</v>
      </c>
      <c r="M400" s="3"/>
    </row>
    <row r="401" spans="1:13" ht="30" customHeight="1" x14ac:dyDescent="0.2">
      <c r="A401" s="2032"/>
      <c r="B401" s="2075"/>
      <c r="C401" s="2150"/>
      <c r="D401" s="2042"/>
      <c r="E401" s="2039"/>
      <c r="F401" s="2042"/>
      <c r="G401" s="29"/>
      <c r="H401" s="29"/>
      <c r="I401" s="60"/>
      <c r="J401" s="61"/>
      <c r="K401" s="2042"/>
      <c r="L401" s="2081"/>
      <c r="M401" s="3"/>
    </row>
    <row r="402" spans="1:13" ht="30" customHeight="1" x14ac:dyDescent="0.2">
      <c r="A402" s="4">
        <v>310</v>
      </c>
      <c r="B402" s="3" t="s">
        <v>160</v>
      </c>
      <c r="C402" s="352"/>
      <c r="D402" s="29"/>
      <c r="E402" s="44"/>
      <c r="F402" s="29">
        <f t="shared" si="22"/>
        <v>0</v>
      </c>
      <c r="G402" s="11">
        <v>5000000</v>
      </c>
      <c r="H402" s="11" t="s">
        <v>329</v>
      </c>
      <c r="I402" s="36" t="s">
        <v>372</v>
      </c>
      <c r="J402" s="24" t="s">
        <v>373</v>
      </c>
      <c r="K402" s="11">
        <f t="shared" si="23"/>
        <v>5000000</v>
      </c>
      <c r="L402" s="29">
        <f t="shared" si="24"/>
        <v>-5000000</v>
      </c>
      <c r="M402" s="3"/>
    </row>
    <row r="403" spans="1:13" ht="30" customHeight="1" x14ac:dyDescent="0.2">
      <c r="A403" s="4">
        <v>311</v>
      </c>
      <c r="B403" s="3" t="s">
        <v>161</v>
      </c>
      <c r="C403" s="352"/>
      <c r="D403" s="11">
        <v>52000000</v>
      </c>
      <c r="E403" s="20">
        <v>0.05</v>
      </c>
      <c r="F403" s="11">
        <f t="shared" si="22"/>
        <v>2600000</v>
      </c>
      <c r="G403" s="11">
        <v>2750000</v>
      </c>
      <c r="H403" s="11">
        <v>2750000</v>
      </c>
      <c r="I403" s="32" t="s">
        <v>392</v>
      </c>
      <c r="J403" s="32" t="s">
        <v>391</v>
      </c>
      <c r="K403" s="11">
        <f t="shared" si="23"/>
        <v>2750000</v>
      </c>
      <c r="L403" s="29">
        <f t="shared" si="24"/>
        <v>-150000</v>
      </c>
      <c r="M403" s="56" t="s">
        <v>393</v>
      </c>
    </row>
    <row r="404" spans="1:13" ht="30" customHeight="1" x14ac:dyDescent="0.2">
      <c r="A404" s="4">
        <v>312</v>
      </c>
      <c r="B404" s="3" t="s">
        <v>162</v>
      </c>
      <c r="C404" s="352"/>
      <c r="D404" s="108"/>
      <c r="E404" s="44"/>
      <c r="F404" s="108">
        <f t="shared" si="22"/>
        <v>0</v>
      </c>
      <c r="G404" s="11">
        <v>2000000</v>
      </c>
      <c r="H404" s="11" t="s">
        <v>676</v>
      </c>
      <c r="I404" s="23" t="s">
        <v>725</v>
      </c>
      <c r="J404" s="24" t="s">
        <v>726</v>
      </c>
      <c r="K404" s="11">
        <f t="shared" si="23"/>
        <v>2000000</v>
      </c>
      <c r="L404" s="108">
        <f t="shared" si="24"/>
        <v>-2000000</v>
      </c>
      <c r="M404" s="3"/>
    </row>
    <row r="405" spans="1:13" ht="30" customHeight="1" x14ac:dyDescent="0.2">
      <c r="A405" s="2031">
        <v>313</v>
      </c>
      <c r="B405" s="2074" t="s">
        <v>164</v>
      </c>
      <c r="C405" s="2149"/>
      <c r="D405" s="11">
        <v>152000000</v>
      </c>
      <c r="E405" s="20">
        <v>0.05</v>
      </c>
      <c r="F405" s="11">
        <f>D405*E405</f>
        <v>7600000</v>
      </c>
      <c r="G405" s="11">
        <v>7600000</v>
      </c>
      <c r="H405" s="11" t="s">
        <v>268</v>
      </c>
      <c r="I405" s="23" t="s">
        <v>327</v>
      </c>
      <c r="J405" s="24" t="s">
        <v>328</v>
      </c>
      <c r="K405" s="11">
        <f t="shared" si="23"/>
        <v>7600000</v>
      </c>
      <c r="L405" s="11">
        <f t="shared" si="24"/>
        <v>0</v>
      </c>
      <c r="M405" s="3"/>
    </row>
    <row r="406" spans="1:13" ht="30" customHeight="1" x14ac:dyDescent="0.2">
      <c r="A406" s="2032"/>
      <c r="B406" s="2075"/>
      <c r="C406" s="2150"/>
      <c r="D406" s="1947" t="s">
        <v>1333</v>
      </c>
      <c r="E406" s="1948"/>
      <c r="F406" s="1949"/>
      <c r="G406" s="323">
        <v>15000000</v>
      </c>
      <c r="H406" s="323" t="s">
        <v>1315</v>
      </c>
      <c r="I406" s="336" t="s">
        <v>1334</v>
      </c>
      <c r="J406" s="24" t="s">
        <v>476</v>
      </c>
      <c r="K406" s="323">
        <f>G406</f>
        <v>15000000</v>
      </c>
      <c r="L406" s="323"/>
      <c r="M406" s="3"/>
    </row>
    <row r="407" spans="1:13" ht="30" customHeight="1" x14ac:dyDescent="0.2">
      <c r="A407" s="4">
        <v>314</v>
      </c>
      <c r="B407" s="3" t="s">
        <v>165</v>
      </c>
      <c r="C407" s="352"/>
      <c r="D407" s="11">
        <v>20000000</v>
      </c>
      <c r="E407" s="20">
        <v>0.04</v>
      </c>
      <c r="F407" s="11">
        <f t="shared" si="22"/>
        <v>800000</v>
      </c>
      <c r="G407" s="11">
        <v>1600000</v>
      </c>
      <c r="H407" s="11" t="s">
        <v>728</v>
      </c>
      <c r="I407" s="23" t="s">
        <v>747</v>
      </c>
      <c r="J407" s="24" t="s">
        <v>748</v>
      </c>
      <c r="K407" s="11">
        <f t="shared" si="23"/>
        <v>1600000</v>
      </c>
      <c r="L407" s="11">
        <f t="shared" si="24"/>
        <v>-800000</v>
      </c>
      <c r="M407" s="82" t="s">
        <v>749</v>
      </c>
    </row>
    <row r="408" spans="1:13" ht="30" customHeight="1" x14ac:dyDescent="0.2">
      <c r="A408" s="4">
        <v>315</v>
      </c>
      <c r="B408" s="3" t="s">
        <v>166</v>
      </c>
      <c r="C408" s="352"/>
      <c r="D408" s="54"/>
      <c r="E408" s="44"/>
      <c r="F408" s="54">
        <f t="shared" si="22"/>
        <v>0</v>
      </c>
      <c r="G408" s="11">
        <v>22700000</v>
      </c>
      <c r="H408" s="11" t="s">
        <v>453</v>
      </c>
      <c r="I408" s="23" t="s">
        <v>454</v>
      </c>
      <c r="J408" s="24" t="s">
        <v>455</v>
      </c>
      <c r="K408" s="11">
        <f t="shared" si="23"/>
        <v>22700000</v>
      </c>
      <c r="L408" s="54">
        <f t="shared" si="24"/>
        <v>-22700000</v>
      </c>
      <c r="M408" s="3"/>
    </row>
    <row r="409" spans="1:13" ht="30" customHeight="1" x14ac:dyDescent="0.2">
      <c r="A409" s="4">
        <v>316</v>
      </c>
      <c r="B409" s="3" t="s">
        <v>167</v>
      </c>
      <c r="C409" s="352"/>
      <c r="D409" s="11">
        <v>35000000</v>
      </c>
      <c r="E409" s="20">
        <v>0.04</v>
      </c>
      <c r="F409" s="11">
        <f>D409*E409</f>
        <v>1400000</v>
      </c>
      <c r="G409" s="11">
        <v>1400000</v>
      </c>
      <c r="H409" s="11" t="s">
        <v>294</v>
      </c>
      <c r="I409" s="23" t="s">
        <v>295</v>
      </c>
      <c r="J409" s="21" t="s">
        <v>293</v>
      </c>
      <c r="K409" s="11">
        <f t="shared" si="23"/>
        <v>1400000</v>
      </c>
      <c r="L409" s="1218">
        <f t="shared" si="24"/>
        <v>0</v>
      </c>
      <c r="M409" s="3"/>
    </row>
    <row r="410" spans="1:13" ht="28.5" customHeight="1" x14ac:dyDescent="0.2">
      <c r="A410" s="4">
        <v>317</v>
      </c>
      <c r="B410" s="3" t="s">
        <v>168</v>
      </c>
      <c r="C410" s="352"/>
      <c r="D410" s="64"/>
      <c r="E410" s="44"/>
      <c r="F410" s="64">
        <f t="shared" si="22"/>
        <v>0</v>
      </c>
      <c r="G410" s="11">
        <v>13500000</v>
      </c>
      <c r="H410" s="11" t="s">
        <v>453</v>
      </c>
      <c r="I410" s="36" t="s">
        <v>475</v>
      </c>
      <c r="J410" s="24" t="s">
        <v>476</v>
      </c>
      <c r="K410" s="11">
        <f t="shared" si="23"/>
        <v>13500000</v>
      </c>
      <c r="L410" s="64">
        <f t="shared" si="24"/>
        <v>-13500000</v>
      </c>
      <c r="M410" s="3"/>
    </row>
    <row r="411" spans="1:13" ht="30" customHeight="1" x14ac:dyDescent="0.2">
      <c r="A411" s="4">
        <v>318</v>
      </c>
      <c r="B411" s="3" t="s">
        <v>170</v>
      </c>
      <c r="C411" s="352"/>
      <c r="D411" s="29"/>
      <c r="E411" s="44"/>
      <c r="F411" s="29">
        <f t="shared" ref="F411:F416" si="25">D411*E411</f>
        <v>0</v>
      </c>
      <c r="G411" s="11">
        <v>4000000</v>
      </c>
      <c r="H411" s="11" t="s">
        <v>329</v>
      </c>
      <c r="I411" s="23" t="s">
        <v>374</v>
      </c>
      <c r="J411" s="21" t="s">
        <v>375</v>
      </c>
      <c r="K411" s="11">
        <f t="shared" ref="K411:K416" si="26">G411</f>
        <v>4000000</v>
      </c>
      <c r="L411" s="29">
        <f t="shared" ref="L411:L416" si="27">F411-K411</f>
        <v>-4000000</v>
      </c>
      <c r="M411" s="3"/>
    </row>
    <row r="412" spans="1:13" ht="30" customHeight="1" x14ac:dyDescent="0.2">
      <c r="A412" s="4">
        <v>319</v>
      </c>
      <c r="B412" s="2074" t="s">
        <v>171</v>
      </c>
      <c r="C412" s="2149" t="s">
        <v>1342</v>
      </c>
      <c r="D412" s="2040">
        <v>200000000</v>
      </c>
      <c r="E412" s="2037">
        <v>5.5E-2</v>
      </c>
      <c r="F412" s="2040">
        <f t="shared" si="25"/>
        <v>11000000</v>
      </c>
      <c r="G412" s="144">
        <v>11000000</v>
      </c>
      <c r="H412" s="144" t="s">
        <v>692</v>
      </c>
      <c r="I412" s="237" t="s">
        <v>693</v>
      </c>
      <c r="J412" s="24" t="s">
        <v>694</v>
      </c>
      <c r="K412" s="144">
        <f t="shared" si="26"/>
        <v>11000000</v>
      </c>
      <c r="L412" s="144">
        <f t="shared" si="27"/>
        <v>0</v>
      </c>
      <c r="M412" s="3"/>
    </row>
    <row r="413" spans="1:13" ht="30" customHeight="1" x14ac:dyDescent="0.2">
      <c r="A413" s="4"/>
      <c r="B413" s="2075"/>
      <c r="C413" s="2150"/>
      <c r="D413" s="2042"/>
      <c r="E413" s="2039"/>
      <c r="F413" s="2042"/>
      <c r="G413" s="460">
        <v>10000000</v>
      </c>
      <c r="H413" s="460" t="s">
        <v>933</v>
      </c>
      <c r="I413" s="473" t="s">
        <v>940</v>
      </c>
      <c r="J413" s="24" t="s">
        <v>694</v>
      </c>
      <c r="K413" s="460">
        <f>G413</f>
        <v>10000000</v>
      </c>
      <c r="L413" s="460"/>
      <c r="M413" s="82" t="s">
        <v>1612</v>
      </c>
    </row>
    <row r="414" spans="1:13" ht="30" customHeight="1" x14ac:dyDescent="0.2">
      <c r="A414" s="4">
        <v>320</v>
      </c>
      <c r="B414" s="3" t="s">
        <v>172</v>
      </c>
      <c r="C414" s="352"/>
      <c r="D414" s="11">
        <v>135000000</v>
      </c>
      <c r="E414" s="20">
        <v>4.8000000000000001E-2</v>
      </c>
      <c r="F414" s="75">
        <v>6500000</v>
      </c>
      <c r="G414" s="11">
        <v>6500000</v>
      </c>
      <c r="H414" s="11" t="s">
        <v>501</v>
      </c>
      <c r="I414" s="23" t="s">
        <v>555</v>
      </c>
      <c r="J414" s="24" t="s">
        <v>556</v>
      </c>
      <c r="K414" s="11">
        <f t="shared" si="26"/>
        <v>6500000</v>
      </c>
      <c r="L414" s="11">
        <f t="shared" si="27"/>
        <v>0</v>
      </c>
      <c r="M414" s="3"/>
    </row>
    <row r="415" spans="1:13" ht="30" customHeight="1" x14ac:dyDescent="0.2">
      <c r="A415" s="4">
        <v>321</v>
      </c>
      <c r="B415" s="3" t="s">
        <v>174</v>
      </c>
      <c r="C415" s="352"/>
      <c r="D415" s="232">
        <v>5000000</v>
      </c>
      <c r="E415" s="20">
        <v>0.04</v>
      </c>
      <c r="F415" s="232">
        <f t="shared" si="25"/>
        <v>200000</v>
      </c>
      <c r="G415" s="11">
        <v>200000</v>
      </c>
      <c r="H415" s="11" t="s">
        <v>1032</v>
      </c>
      <c r="I415" s="23" t="s">
        <v>1127</v>
      </c>
      <c r="J415" s="24" t="s">
        <v>1128</v>
      </c>
      <c r="K415" s="11">
        <f t="shared" si="26"/>
        <v>200000</v>
      </c>
      <c r="L415" s="11">
        <f t="shared" si="27"/>
        <v>0</v>
      </c>
      <c r="M415" s="3"/>
    </row>
    <row r="416" spans="1:13" ht="30" customHeight="1" x14ac:dyDescent="0.2">
      <c r="A416" s="4">
        <v>322</v>
      </c>
      <c r="B416" s="3" t="s">
        <v>1451</v>
      </c>
      <c r="C416" s="352"/>
      <c r="D416" s="11">
        <v>60000000</v>
      </c>
      <c r="E416" s="20">
        <v>7.0000000000000007E-2</v>
      </c>
      <c r="F416" s="11">
        <f t="shared" si="25"/>
        <v>4200000</v>
      </c>
      <c r="G416" s="11">
        <v>4200000</v>
      </c>
      <c r="H416" s="11" t="s">
        <v>728</v>
      </c>
      <c r="I416" s="23" t="s">
        <v>736</v>
      </c>
      <c r="J416" s="24" t="s">
        <v>737</v>
      </c>
      <c r="K416" s="11">
        <f t="shared" si="26"/>
        <v>4200000</v>
      </c>
      <c r="L416" s="11">
        <f t="shared" si="27"/>
        <v>0</v>
      </c>
      <c r="M416" s="3"/>
    </row>
    <row r="417" spans="1:13" ht="30" customHeight="1" x14ac:dyDescent="0.2">
      <c r="A417" s="4">
        <v>323</v>
      </c>
      <c r="B417" s="3" t="s">
        <v>175</v>
      </c>
      <c r="C417" s="352"/>
      <c r="D417" s="11">
        <v>60000000</v>
      </c>
      <c r="E417" s="20">
        <v>4.4999999999999998E-2</v>
      </c>
      <c r="F417" s="11">
        <f t="shared" ref="F417" si="28">D417*E417</f>
        <v>2700000</v>
      </c>
      <c r="G417" s="11">
        <v>2700000</v>
      </c>
      <c r="H417" s="11" t="s">
        <v>453</v>
      </c>
      <c r="I417" s="23" t="s">
        <v>496</v>
      </c>
      <c r="J417" s="21" t="s">
        <v>497</v>
      </c>
      <c r="K417" s="11">
        <f t="shared" ref="K417:K418" si="29">G417</f>
        <v>2700000</v>
      </c>
      <c r="L417" s="11">
        <f t="shared" ref="L417:L418" si="30">F417-K417</f>
        <v>0</v>
      </c>
      <c r="M417" s="3"/>
    </row>
    <row r="418" spans="1:13" ht="30" customHeight="1" x14ac:dyDescent="0.2">
      <c r="A418" s="4">
        <v>324</v>
      </c>
      <c r="B418" s="45" t="s">
        <v>176</v>
      </c>
      <c r="C418" s="352"/>
      <c r="D418" s="11">
        <v>20000000</v>
      </c>
      <c r="E418" s="20">
        <v>0.05</v>
      </c>
      <c r="F418" s="11">
        <f>D418*E418</f>
        <v>1000000</v>
      </c>
      <c r="G418" s="11">
        <v>3000000</v>
      </c>
      <c r="H418" s="11" t="s">
        <v>268</v>
      </c>
      <c r="I418" s="27">
        <v>121086452131</v>
      </c>
      <c r="J418" s="24" t="s">
        <v>267</v>
      </c>
      <c r="K418" s="11">
        <f t="shared" si="29"/>
        <v>3000000</v>
      </c>
      <c r="L418" s="11">
        <f t="shared" si="30"/>
        <v>-2000000</v>
      </c>
      <c r="M418" s="13" t="s">
        <v>272</v>
      </c>
    </row>
    <row r="419" spans="1:13" ht="30" customHeight="1" x14ac:dyDescent="0.2">
      <c r="A419" s="2031">
        <v>325</v>
      </c>
      <c r="B419" s="2029" t="s">
        <v>273</v>
      </c>
      <c r="C419" s="2149"/>
      <c r="D419" s="38">
        <v>300000000</v>
      </c>
      <c r="E419" s="47"/>
      <c r="F419" s="38">
        <v>30750000</v>
      </c>
      <c r="G419" s="11">
        <v>40000000</v>
      </c>
      <c r="H419" s="11" t="s">
        <v>268</v>
      </c>
      <c r="I419" s="23">
        <v>4597</v>
      </c>
      <c r="J419" s="24" t="s">
        <v>270</v>
      </c>
      <c r="K419" s="2040">
        <f>G419+G420</f>
        <v>40550000</v>
      </c>
      <c r="L419" s="2040">
        <f>(F419+F420)-K419</f>
        <v>0</v>
      </c>
      <c r="M419" s="2070"/>
    </row>
    <row r="420" spans="1:13" ht="30" customHeight="1" x14ac:dyDescent="0.2">
      <c r="A420" s="2032"/>
      <c r="B420" s="2030"/>
      <c r="C420" s="2150"/>
      <c r="D420" s="38">
        <v>140000000</v>
      </c>
      <c r="E420" s="48"/>
      <c r="F420" s="38">
        <v>9800000</v>
      </c>
      <c r="G420" s="11">
        <v>550000</v>
      </c>
      <c r="H420" s="11" t="s">
        <v>268</v>
      </c>
      <c r="I420" s="23">
        <v>151736</v>
      </c>
      <c r="J420" s="24" t="s">
        <v>275</v>
      </c>
      <c r="K420" s="2042"/>
      <c r="L420" s="2042"/>
      <c r="M420" s="2071"/>
    </row>
    <row r="421" spans="1:13" ht="30" customHeight="1" x14ac:dyDescent="0.2">
      <c r="A421" s="2031">
        <v>326</v>
      </c>
      <c r="B421" s="2088" t="s">
        <v>179</v>
      </c>
      <c r="C421" s="2149"/>
      <c r="D421" s="2080"/>
      <c r="E421" s="2082"/>
      <c r="F421" s="2080">
        <v>25000000</v>
      </c>
      <c r="G421" s="108">
        <v>20000000</v>
      </c>
      <c r="H421" s="108" t="s">
        <v>501</v>
      </c>
      <c r="I421" s="118" t="s">
        <v>506</v>
      </c>
      <c r="J421" s="61" t="s">
        <v>507</v>
      </c>
      <c r="K421" s="2080">
        <f>G421+G422</f>
        <v>25000000</v>
      </c>
      <c r="L421" s="2080">
        <f>F421-K421</f>
        <v>0</v>
      </c>
      <c r="M421" s="2076" t="s">
        <v>765</v>
      </c>
    </row>
    <row r="422" spans="1:13" ht="30" customHeight="1" x14ac:dyDescent="0.2">
      <c r="A422" s="2032"/>
      <c r="B422" s="2089"/>
      <c r="C422" s="2150"/>
      <c r="D422" s="2081"/>
      <c r="E422" s="2083"/>
      <c r="F422" s="2081"/>
      <c r="G422" s="108">
        <v>5000000</v>
      </c>
      <c r="H422" s="108" t="s">
        <v>755</v>
      </c>
      <c r="I422" s="60" t="s">
        <v>756</v>
      </c>
      <c r="J422" s="61" t="s">
        <v>757</v>
      </c>
      <c r="K422" s="2081"/>
      <c r="L422" s="2081"/>
      <c r="M422" s="2077"/>
    </row>
    <row r="423" spans="1:13" ht="30" customHeight="1" x14ac:dyDescent="0.2">
      <c r="A423" s="4">
        <v>327</v>
      </c>
      <c r="B423" s="3" t="s">
        <v>1280</v>
      </c>
      <c r="C423" s="352"/>
      <c r="D423" s="11">
        <v>60000000</v>
      </c>
      <c r="E423" s="20">
        <v>0.05</v>
      </c>
      <c r="F423" s="11">
        <f t="shared" ref="F423:F425" si="31">D423*E423</f>
        <v>3000000</v>
      </c>
      <c r="G423" s="269">
        <v>6067000</v>
      </c>
      <c r="H423" s="269" t="s">
        <v>1264</v>
      </c>
      <c r="I423" s="276" t="s">
        <v>1278</v>
      </c>
      <c r="J423" s="24" t="s">
        <v>1279</v>
      </c>
      <c r="K423" s="11">
        <f t="shared" ref="K423" si="32">G423</f>
        <v>6067000</v>
      </c>
      <c r="L423" s="269">
        <f t="shared" ref="L423:L425" si="33">F423-K423</f>
        <v>-3067000</v>
      </c>
      <c r="M423" s="82" t="s">
        <v>1281</v>
      </c>
    </row>
    <row r="424" spans="1:13" ht="30" customHeight="1" x14ac:dyDescent="0.2">
      <c r="A424" s="4">
        <v>328</v>
      </c>
      <c r="B424" s="3" t="s">
        <v>2817</v>
      </c>
      <c r="C424" s="352" t="s">
        <v>971</v>
      </c>
      <c r="D424" s="269">
        <v>670000000</v>
      </c>
      <c r="E424" s="20">
        <v>5.5E-2</v>
      </c>
      <c r="F424" s="269">
        <f>D424*E424</f>
        <v>36850000</v>
      </c>
      <c r="G424" s="269"/>
      <c r="H424" s="269"/>
      <c r="I424" s="276"/>
      <c r="J424" s="24"/>
      <c r="K424" s="269"/>
      <c r="L424" s="269"/>
      <c r="M424" s="82"/>
    </row>
    <row r="425" spans="1:13" ht="30" customHeight="1" x14ac:dyDescent="0.2">
      <c r="A425" s="2031">
        <v>329</v>
      </c>
      <c r="B425" s="2074" t="s">
        <v>184</v>
      </c>
      <c r="C425" s="2149"/>
      <c r="D425" s="2080"/>
      <c r="E425" s="2082"/>
      <c r="F425" s="2080">
        <f t="shared" si="31"/>
        <v>0</v>
      </c>
      <c r="G425" s="11">
        <v>20000000</v>
      </c>
      <c r="H425" s="11" t="s">
        <v>587</v>
      </c>
      <c r="I425" s="23" t="s">
        <v>609</v>
      </c>
      <c r="J425" s="24" t="s">
        <v>610</v>
      </c>
      <c r="K425" s="2040">
        <f>G425+G426</f>
        <v>32000000</v>
      </c>
      <c r="L425" s="2080">
        <f t="shared" si="33"/>
        <v>-32000000</v>
      </c>
      <c r="M425" s="2031"/>
    </row>
    <row r="426" spans="1:13" ht="30" customHeight="1" x14ac:dyDescent="0.2">
      <c r="A426" s="2032"/>
      <c r="B426" s="2075"/>
      <c r="C426" s="2150"/>
      <c r="D426" s="2081"/>
      <c r="E426" s="2083"/>
      <c r="F426" s="2081"/>
      <c r="G426" s="98">
        <v>12000000</v>
      </c>
      <c r="H426" s="98" t="s">
        <v>676</v>
      </c>
      <c r="I426" s="23" t="s">
        <v>683</v>
      </c>
      <c r="J426" s="24" t="s">
        <v>684</v>
      </c>
      <c r="K426" s="2042"/>
      <c r="L426" s="2081"/>
      <c r="M426" s="2032"/>
    </row>
    <row r="427" spans="1:13" ht="30" customHeight="1" x14ac:dyDescent="0.2">
      <c r="A427" s="4">
        <v>330</v>
      </c>
      <c r="B427" s="3" t="s">
        <v>1211</v>
      </c>
      <c r="C427" s="352" t="s">
        <v>1175</v>
      </c>
      <c r="D427" s="250">
        <v>35000000</v>
      </c>
      <c r="E427" s="20">
        <v>4.2999999999999997E-2</v>
      </c>
      <c r="F427" s="250">
        <v>1500000</v>
      </c>
      <c r="G427" s="250"/>
      <c r="H427" s="250"/>
      <c r="I427" s="254"/>
      <c r="J427" s="24"/>
      <c r="K427" s="250"/>
      <c r="L427" s="250"/>
      <c r="M427" s="3"/>
    </row>
    <row r="428" spans="1:13" ht="30" customHeight="1" x14ac:dyDescent="0.2">
      <c r="A428" s="4">
        <v>331</v>
      </c>
      <c r="B428" s="3" t="s">
        <v>345</v>
      </c>
      <c r="C428" s="352"/>
      <c r="D428" s="34">
        <v>150000000</v>
      </c>
      <c r="E428" s="20">
        <v>0.05</v>
      </c>
      <c r="F428" s="34">
        <v>7500000</v>
      </c>
      <c r="G428" s="34"/>
      <c r="H428" s="34"/>
      <c r="I428" s="23"/>
      <c r="J428" s="24"/>
      <c r="K428" s="34"/>
      <c r="L428" s="34"/>
      <c r="M428" s="3"/>
    </row>
    <row r="429" spans="1:13" ht="30" customHeight="1" x14ac:dyDescent="0.2">
      <c r="A429" s="4">
        <v>332</v>
      </c>
      <c r="B429" s="3" t="s">
        <v>378</v>
      </c>
      <c r="C429" s="352" t="s">
        <v>379</v>
      </c>
      <c r="D429" s="40">
        <v>30000000</v>
      </c>
      <c r="E429" s="20">
        <v>0.05</v>
      </c>
      <c r="F429" s="40">
        <f>D429*E429</f>
        <v>1500000</v>
      </c>
      <c r="G429" s="40"/>
      <c r="H429" s="40"/>
      <c r="I429" s="23"/>
      <c r="J429" s="24"/>
      <c r="K429" s="40"/>
      <c r="L429" s="40"/>
      <c r="M429" s="3"/>
    </row>
    <row r="430" spans="1:13" ht="30" customHeight="1" x14ac:dyDescent="0.2">
      <c r="A430" s="2031">
        <v>333</v>
      </c>
      <c r="B430" s="2074" t="s">
        <v>915</v>
      </c>
      <c r="C430" s="352" t="s">
        <v>916</v>
      </c>
      <c r="D430" s="135">
        <v>320000000</v>
      </c>
      <c r="E430" s="20">
        <v>0.05</v>
      </c>
      <c r="F430" s="277">
        <f>D430*E430</f>
        <v>16000000</v>
      </c>
      <c r="G430" s="135"/>
      <c r="H430" s="135"/>
      <c r="I430" s="142"/>
      <c r="J430" s="24"/>
      <c r="K430" s="135"/>
      <c r="L430" s="135"/>
      <c r="M430" s="3"/>
    </row>
    <row r="431" spans="1:13" ht="30" customHeight="1" x14ac:dyDescent="0.2">
      <c r="A431" s="2032"/>
      <c r="B431" s="2075"/>
      <c r="C431" s="352" t="s">
        <v>917</v>
      </c>
      <c r="D431" s="135">
        <v>100000000</v>
      </c>
      <c r="E431" s="20">
        <v>0.05</v>
      </c>
      <c r="F431" s="277">
        <f>D431*E431</f>
        <v>5000000</v>
      </c>
      <c r="G431" s="135"/>
      <c r="H431" s="135"/>
      <c r="I431" s="142"/>
      <c r="J431" s="24"/>
      <c r="K431" s="135"/>
      <c r="L431" s="135"/>
      <c r="M431" s="3"/>
    </row>
    <row r="432" spans="1:13" ht="30" customHeight="1" x14ac:dyDescent="0.2">
      <c r="A432" s="4">
        <v>334</v>
      </c>
      <c r="B432" s="296" t="s">
        <v>1312</v>
      </c>
      <c r="C432" s="352" t="s">
        <v>916</v>
      </c>
      <c r="D432" s="295">
        <v>100000000</v>
      </c>
      <c r="E432" s="20">
        <v>0.05</v>
      </c>
      <c r="F432" s="295">
        <f>D432*E432</f>
        <v>5000000</v>
      </c>
      <c r="G432" s="295"/>
      <c r="H432" s="295"/>
      <c r="I432" s="299"/>
      <c r="J432" s="24"/>
      <c r="K432" s="295"/>
      <c r="L432" s="295"/>
      <c r="M432" s="3"/>
    </row>
    <row r="433" spans="1:13" ht="30" customHeight="1" x14ac:dyDescent="0.2">
      <c r="A433" s="4">
        <v>335</v>
      </c>
      <c r="B433" s="326" t="s">
        <v>1328</v>
      </c>
      <c r="C433" s="352" t="s">
        <v>916</v>
      </c>
      <c r="D433" s="323">
        <v>10000000</v>
      </c>
      <c r="E433" s="20">
        <v>0.05</v>
      </c>
      <c r="F433" s="323">
        <f>D433*E433</f>
        <v>500000</v>
      </c>
      <c r="G433" s="323"/>
      <c r="H433" s="323"/>
      <c r="I433" s="332"/>
      <c r="J433" s="24"/>
      <c r="K433" s="323"/>
      <c r="L433" s="323"/>
      <c r="M433" s="3"/>
    </row>
    <row r="434" spans="1:13" ht="30" customHeight="1" x14ac:dyDescent="0.2">
      <c r="A434" s="4">
        <v>336</v>
      </c>
      <c r="B434" s="326" t="s">
        <v>1339</v>
      </c>
      <c r="C434" s="352"/>
      <c r="D434" s="323"/>
      <c r="E434" s="20"/>
      <c r="F434" s="323">
        <v>10500000</v>
      </c>
      <c r="G434" s="323"/>
      <c r="H434" s="323"/>
      <c r="I434" s="332"/>
      <c r="J434" s="24"/>
      <c r="K434" s="323"/>
      <c r="L434" s="323"/>
      <c r="M434" s="3"/>
    </row>
    <row r="435" spans="1:13" ht="30" customHeight="1" x14ac:dyDescent="0.2">
      <c r="A435" s="2031"/>
      <c r="B435" s="2074" t="s">
        <v>2172</v>
      </c>
      <c r="C435" s="2149"/>
      <c r="D435" s="2040">
        <v>20000000</v>
      </c>
      <c r="E435" s="2037">
        <v>0.05</v>
      </c>
      <c r="F435" s="2040">
        <f>D435*E435</f>
        <v>1000000</v>
      </c>
      <c r="G435" s="703">
        <v>10000000</v>
      </c>
      <c r="H435" s="703" t="s">
        <v>388</v>
      </c>
      <c r="I435" s="706" t="s">
        <v>2173</v>
      </c>
      <c r="J435" s="24" t="s">
        <v>2174</v>
      </c>
      <c r="K435" s="2040">
        <f>G435+G436</f>
        <v>20000000</v>
      </c>
      <c r="L435" s="2040">
        <f>D435-K435</f>
        <v>0</v>
      </c>
      <c r="M435" s="2161" t="s">
        <v>2175</v>
      </c>
    </row>
    <row r="436" spans="1:13" ht="30" customHeight="1" x14ac:dyDescent="0.2">
      <c r="A436" s="2032"/>
      <c r="B436" s="2075"/>
      <c r="C436" s="2150"/>
      <c r="D436" s="2042"/>
      <c r="E436" s="2039"/>
      <c r="F436" s="2042"/>
      <c r="G436" s="703">
        <v>10000000</v>
      </c>
      <c r="H436" s="703" t="s">
        <v>432</v>
      </c>
      <c r="I436" s="706" t="s">
        <v>432</v>
      </c>
      <c r="J436" s="24" t="s">
        <v>2174</v>
      </c>
      <c r="K436" s="2042"/>
      <c r="L436" s="2042"/>
      <c r="M436" s="2162"/>
    </row>
    <row r="437" spans="1:13" ht="30" customHeight="1" x14ac:dyDescent="0.2">
      <c r="A437" s="4"/>
      <c r="B437" s="583" t="s">
        <v>1906</v>
      </c>
      <c r="C437" s="579"/>
      <c r="D437" s="575">
        <v>300000000</v>
      </c>
      <c r="E437" s="586">
        <v>5.1999999999999998E-2</v>
      </c>
      <c r="F437" s="575">
        <v>15500000</v>
      </c>
      <c r="G437" s="575">
        <v>15500000</v>
      </c>
      <c r="H437" s="575" t="s">
        <v>432</v>
      </c>
      <c r="I437" s="585"/>
      <c r="J437" s="24"/>
      <c r="K437" s="575">
        <f>G437</f>
        <v>15500000</v>
      </c>
      <c r="L437" s="575">
        <f>F437-K437</f>
        <v>0</v>
      </c>
      <c r="M437" s="3"/>
    </row>
    <row r="438" spans="1:13" ht="30" customHeight="1" x14ac:dyDescent="0.2">
      <c r="A438" s="2031"/>
      <c r="B438" s="2074" t="s">
        <v>1865</v>
      </c>
      <c r="C438" s="587"/>
      <c r="D438" s="575">
        <v>40000000</v>
      </c>
      <c r="E438" s="586">
        <v>0.04</v>
      </c>
      <c r="F438" s="575">
        <f t="shared" ref="F438:F444" si="34">D438*E438</f>
        <v>1600000</v>
      </c>
      <c r="G438" s="575"/>
      <c r="H438" s="575"/>
      <c r="I438" s="585"/>
      <c r="J438" s="24"/>
      <c r="K438" s="575"/>
      <c r="L438" s="575"/>
      <c r="M438" s="3"/>
    </row>
    <row r="439" spans="1:13" ht="30" customHeight="1" x14ac:dyDescent="0.2">
      <c r="A439" s="2032"/>
      <c r="B439" s="2075"/>
      <c r="C439" s="587" t="s">
        <v>1603</v>
      </c>
      <c r="D439" s="575">
        <v>10000000</v>
      </c>
      <c r="E439" s="586">
        <v>0.04</v>
      </c>
      <c r="F439" s="575">
        <f t="shared" si="34"/>
        <v>400000</v>
      </c>
      <c r="G439" s="2185" t="s">
        <v>1908</v>
      </c>
      <c r="H439" s="2186"/>
      <c r="I439" s="2186"/>
      <c r="J439" s="2186"/>
      <c r="K439" s="2186"/>
      <c r="L439" s="2187"/>
      <c r="M439" s="3"/>
    </row>
    <row r="440" spans="1:13" ht="30" customHeight="1" x14ac:dyDescent="0.2">
      <c r="A440" s="4"/>
      <c r="B440" s="356" t="s">
        <v>1376</v>
      </c>
      <c r="C440" s="361" t="s">
        <v>916</v>
      </c>
      <c r="D440" s="357">
        <v>80000000</v>
      </c>
      <c r="E440" s="20">
        <v>7.0000000000000007E-2</v>
      </c>
      <c r="F440" s="357">
        <f t="shared" si="34"/>
        <v>5600000.0000000009</v>
      </c>
      <c r="G440" s="357"/>
      <c r="H440" s="357"/>
      <c r="I440" s="359"/>
      <c r="J440" s="24"/>
      <c r="K440" s="357"/>
      <c r="L440" s="357"/>
      <c r="M440" s="3"/>
    </row>
    <row r="441" spans="1:13" ht="30" customHeight="1" x14ac:dyDescent="0.2">
      <c r="A441" s="2031"/>
      <c r="B441" s="2057" t="s">
        <v>1377</v>
      </c>
      <c r="C441" s="2180" t="s">
        <v>916</v>
      </c>
      <c r="D441" s="471">
        <v>235500000</v>
      </c>
      <c r="E441" s="480">
        <v>0.05</v>
      </c>
      <c r="F441" s="471">
        <f t="shared" si="34"/>
        <v>11775000</v>
      </c>
      <c r="G441" s="471"/>
      <c r="H441" s="471"/>
      <c r="I441" s="481"/>
      <c r="J441" s="482"/>
      <c r="K441" s="471"/>
      <c r="L441" s="471"/>
      <c r="M441" s="3"/>
    </row>
    <row r="442" spans="1:13" ht="30" customHeight="1" x14ac:dyDescent="0.2">
      <c r="A442" s="2032"/>
      <c r="B442" s="2179"/>
      <c r="C442" s="2181"/>
      <c r="D442" s="471">
        <v>300000000</v>
      </c>
      <c r="E442" s="480">
        <v>7.0000000000000007E-2</v>
      </c>
      <c r="F442" s="471">
        <f t="shared" si="34"/>
        <v>21000000.000000004</v>
      </c>
      <c r="G442" s="2182" t="s">
        <v>1568</v>
      </c>
      <c r="H442" s="2183"/>
      <c r="I442" s="2183"/>
      <c r="J442" s="2183"/>
      <c r="K442" s="2183"/>
      <c r="L442" s="2184"/>
      <c r="M442" s="3"/>
    </row>
    <row r="443" spans="1:13" ht="30" customHeight="1" x14ac:dyDescent="0.2">
      <c r="A443" s="2031"/>
      <c r="B443" s="2074" t="s">
        <v>173</v>
      </c>
      <c r="C443" s="2149" t="s">
        <v>1378</v>
      </c>
      <c r="D443" s="357">
        <v>300000000</v>
      </c>
      <c r="E443" s="20">
        <v>7.0000000000000007E-2</v>
      </c>
      <c r="F443" s="357">
        <f t="shared" si="34"/>
        <v>21000000.000000004</v>
      </c>
      <c r="G443" s="2154" t="s">
        <v>1380</v>
      </c>
      <c r="H443" s="2155"/>
      <c r="I443" s="2155"/>
      <c r="J443" s="2155"/>
      <c r="K443" s="2155"/>
      <c r="L443" s="2156"/>
      <c r="M443" s="82" t="s">
        <v>1381</v>
      </c>
    </row>
    <row r="444" spans="1:13" ht="30" customHeight="1" x14ac:dyDescent="0.2">
      <c r="A444" s="2032"/>
      <c r="B444" s="2075"/>
      <c r="C444" s="2150"/>
      <c r="D444" s="357">
        <v>200000000</v>
      </c>
      <c r="E444" s="20">
        <v>7.0000000000000007E-2</v>
      </c>
      <c r="F444" s="357">
        <f t="shared" si="34"/>
        <v>14000000.000000002</v>
      </c>
      <c r="G444" s="2151" t="s">
        <v>1379</v>
      </c>
      <c r="H444" s="2152"/>
      <c r="I444" s="2152"/>
      <c r="J444" s="2152"/>
      <c r="K444" s="2152"/>
      <c r="L444" s="2153"/>
      <c r="M444" s="3"/>
    </row>
  </sheetData>
  <mergeCells count="518">
    <mergeCell ref="L398:L399"/>
    <mergeCell ref="M398:M399"/>
    <mergeCell ref="I399:J399"/>
    <mergeCell ref="B441:B442"/>
    <mergeCell ref="C441:C442"/>
    <mergeCell ref="G442:L442"/>
    <mergeCell ref="B430:B431"/>
    <mergeCell ref="A438:A439"/>
    <mergeCell ref="B438:B439"/>
    <mergeCell ref="G439:L439"/>
    <mergeCell ref="L419:L420"/>
    <mergeCell ref="M419:M420"/>
    <mergeCell ref="A435:A436"/>
    <mergeCell ref="M435:M436"/>
    <mergeCell ref="M85:M86"/>
    <mergeCell ref="K196:K197"/>
    <mergeCell ref="L196:L197"/>
    <mergeCell ref="K198:L198"/>
    <mergeCell ref="B412:B413"/>
    <mergeCell ref="C412:C413"/>
    <mergeCell ref="D412:D413"/>
    <mergeCell ref="E412:E413"/>
    <mergeCell ref="F412:F413"/>
    <mergeCell ref="B300:B301"/>
    <mergeCell ref="B215:B217"/>
    <mergeCell ref="C215:C217"/>
    <mergeCell ref="D400:D401"/>
    <mergeCell ref="E400:E401"/>
    <mergeCell ref="B390:B391"/>
    <mergeCell ref="D369:D370"/>
    <mergeCell ref="E369:F370"/>
    <mergeCell ref="K118:K119"/>
    <mergeCell ref="L118:L119"/>
    <mergeCell ref="I118:I119"/>
    <mergeCell ref="D380:D384"/>
    <mergeCell ref="M291:M293"/>
    <mergeCell ref="M329:M330"/>
    <mergeCell ref="M345:M346"/>
    <mergeCell ref="B11:B12"/>
    <mergeCell ref="E11:E12"/>
    <mergeCell ref="K11:K12"/>
    <mergeCell ref="D11:D12"/>
    <mergeCell ref="F11:F12"/>
    <mergeCell ref="C24:C25"/>
    <mergeCell ref="B32:B33"/>
    <mergeCell ref="C32:C33"/>
    <mergeCell ref="K419:K420"/>
    <mergeCell ref="K73:K77"/>
    <mergeCell ref="K330:K336"/>
    <mergeCell ref="B174:B175"/>
    <mergeCell ref="C174:C175"/>
    <mergeCell ref="D85:D86"/>
    <mergeCell ref="E85:E86"/>
    <mergeCell ref="K116:K117"/>
    <mergeCell ref="K113:K114"/>
    <mergeCell ref="K85:K86"/>
    <mergeCell ref="K69:K70"/>
    <mergeCell ref="G118:G119"/>
    <mergeCell ref="D51:D52"/>
    <mergeCell ref="D396:D397"/>
    <mergeCell ref="B380:B384"/>
    <mergeCell ref="C380:C384"/>
    <mergeCell ref="B71:B72"/>
    <mergeCell ref="C71:C72"/>
    <mergeCell ref="F71:F72"/>
    <mergeCell ref="E71:E72"/>
    <mergeCell ref="G71:G72"/>
    <mergeCell ref="B219:B221"/>
    <mergeCell ref="L291:L293"/>
    <mergeCell ref="K400:K401"/>
    <mergeCell ref="K343:K344"/>
    <mergeCell ref="J322:J323"/>
    <mergeCell ref="K322:K323"/>
    <mergeCell ref="L330:L336"/>
    <mergeCell ref="L322:L323"/>
    <mergeCell ref="K157:K158"/>
    <mergeCell ref="B343:B344"/>
    <mergeCell ref="G109:G111"/>
    <mergeCell ref="H109:H111"/>
    <mergeCell ref="I109:I111"/>
    <mergeCell ref="J109:J111"/>
    <mergeCell ref="L343:L344"/>
    <mergeCell ref="G81:J81"/>
    <mergeCell ref="L200:L201"/>
    <mergeCell ref="J200:J201"/>
    <mergeCell ref="H118:H119"/>
    <mergeCell ref="G57:L57"/>
    <mergeCell ref="L54:L56"/>
    <mergeCell ref="A51:A52"/>
    <mergeCell ref="B51:B52"/>
    <mergeCell ref="C51:C52"/>
    <mergeCell ref="A62:A63"/>
    <mergeCell ref="B53:B57"/>
    <mergeCell ref="C53:C57"/>
    <mergeCell ref="A53:A57"/>
    <mergeCell ref="D62:F62"/>
    <mergeCell ref="K62:L62"/>
    <mergeCell ref="E51:E52"/>
    <mergeCell ref="F51:F52"/>
    <mergeCell ref="C62:C63"/>
    <mergeCell ref="A24:A25"/>
    <mergeCell ref="B24:B25"/>
    <mergeCell ref="M380:M384"/>
    <mergeCell ref="A400:A401"/>
    <mergeCell ref="B400:B401"/>
    <mergeCell ref="C400:C401"/>
    <mergeCell ref="F400:F401"/>
    <mergeCell ref="A396:A397"/>
    <mergeCell ref="K396:K397"/>
    <mergeCell ref="L396:L397"/>
    <mergeCell ref="A386:A387"/>
    <mergeCell ref="D386:D387"/>
    <mergeCell ref="L400:L401"/>
    <mergeCell ref="A392:A393"/>
    <mergeCell ref="C392:C393"/>
    <mergeCell ref="L390:L391"/>
    <mergeCell ref="F390:F391"/>
    <mergeCell ref="E390:E391"/>
    <mergeCell ref="D390:D391"/>
    <mergeCell ref="L394:L395"/>
    <mergeCell ref="E396:F397"/>
    <mergeCell ref="B386:B387"/>
    <mergeCell ref="C386:C387"/>
    <mergeCell ref="K32:K33"/>
    <mergeCell ref="A13:A14"/>
    <mergeCell ref="B13:B14"/>
    <mergeCell ref="C13:C14"/>
    <mergeCell ref="D24:D25"/>
    <mergeCell ref="E24:E25"/>
    <mergeCell ref="F24:F25"/>
    <mergeCell ref="H25:I25"/>
    <mergeCell ref="B196:B198"/>
    <mergeCell ref="A37:A38"/>
    <mergeCell ref="B37:B38"/>
    <mergeCell ref="G37:G38"/>
    <mergeCell ref="H37:H38"/>
    <mergeCell ref="I37:I38"/>
    <mergeCell ref="A196:A198"/>
    <mergeCell ref="E30:E31"/>
    <mergeCell ref="F30:F31"/>
    <mergeCell ref="A32:A33"/>
    <mergeCell ref="D32:D33"/>
    <mergeCell ref="E32:E33"/>
    <mergeCell ref="F32:F33"/>
    <mergeCell ref="H71:H72"/>
    <mergeCell ref="I71:I72"/>
    <mergeCell ref="B30:B31"/>
    <mergeCell ref="A65:A68"/>
    <mergeCell ref="C30:C31"/>
    <mergeCell ref="B358:B359"/>
    <mergeCell ref="C358:C359"/>
    <mergeCell ref="D358:D359"/>
    <mergeCell ref="E358:E359"/>
    <mergeCell ref="F358:F359"/>
    <mergeCell ref="D373:D374"/>
    <mergeCell ref="B392:B393"/>
    <mergeCell ref="E373:F374"/>
    <mergeCell ref="B62:B63"/>
    <mergeCell ref="D65:D66"/>
    <mergeCell ref="E65:E66"/>
    <mergeCell ref="F65:F66"/>
    <mergeCell ref="B65:B68"/>
    <mergeCell ref="C65:C68"/>
    <mergeCell ref="D54:D56"/>
    <mergeCell ref="E54:E56"/>
    <mergeCell ref="F54:F56"/>
    <mergeCell ref="D53:F53"/>
    <mergeCell ref="F166:F167"/>
    <mergeCell ref="F291:F292"/>
    <mergeCell ref="E282:F282"/>
    <mergeCell ref="F196:F198"/>
    <mergeCell ref="F243:F244"/>
    <mergeCell ref="M13:M14"/>
    <mergeCell ref="J37:J38"/>
    <mergeCell ref="M118:M119"/>
    <mergeCell ref="K121:K122"/>
    <mergeCell ref="L121:L122"/>
    <mergeCell ref="M152:M154"/>
    <mergeCell ref="C219:C221"/>
    <mergeCell ref="L32:L33"/>
    <mergeCell ref="J71:J72"/>
    <mergeCell ref="K71:K72"/>
    <mergeCell ref="L71:L72"/>
    <mergeCell ref="D30:D31"/>
    <mergeCell ref="M24:M25"/>
    <mergeCell ref="K65:K66"/>
    <mergeCell ref="L65:L66"/>
    <mergeCell ref="M196:M198"/>
    <mergeCell ref="L116:L117"/>
    <mergeCell ref="K24:K25"/>
    <mergeCell ref="L24:L25"/>
    <mergeCell ref="L30:L31"/>
    <mergeCell ref="K51:K52"/>
    <mergeCell ref="L113:L114"/>
    <mergeCell ref="L85:L86"/>
    <mergeCell ref="M73:M76"/>
    <mergeCell ref="M300:M301"/>
    <mergeCell ref="L300:L301"/>
    <mergeCell ref="G283:K283"/>
    <mergeCell ref="K380:K384"/>
    <mergeCell ref="L380:L384"/>
    <mergeCell ref="M368:M370"/>
    <mergeCell ref="K358:K359"/>
    <mergeCell ref="K291:K293"/>
    <mergeCell ref="K386:K387"/>
    <mergeCell ref="L369:L370"/>
    <mergeCell ref="K300:K301"/>
    <mergeCell ref="L386:L387"/>
    <mergeCell ref="L373:L374"/>
    <mergeCell ref="L345:L346"/>
    <mergeCell ref="K345:K346"/>
    <mergeCell ref="K360:K361"/>
    <mergeCell ref="L360:L361"/>
    <mergeCell ref="G356:K356"/>
    <mergeCell ref="K373:K374"/>
    <mergeCell ref="G322:G323"/>
    <mergeCell ref="H322:H323"/>
    <mergeCell ref="G305:L305"/>
    <mergeCell ref="G373:J373"/>
    <mergeCell ref="M37:M38"/>
    <mergeCell ref="L109:L111"/>
    <mergeCell ref="K80:K81"/>
    <mergeCell ref="M80:M81"/>
    <mergeCell ref="M169:M171"/>
    <mergeCell ref="G318:K318"/>
    <mergeCell ref="M109:M111"/>
    <mergeCell ref="M277:M278"/>
    <mergeCell ref="L219:L221"/>
    <mergeCell ref="M65:M66"/>
    <mergeCell ref="L51:L52"/>
    <mergeCell ref="K37:K38"/>
    <mergeCell ref="L37:L38"/>
    <mergeCell ref="L277:L278"/>
    <mergeCell ref="L243:L244"/>
    <mergeCell ref="L273:L274"/>
    <mergeCell ref="G200:G201"/>
    <mergeCell ref="H200:H201"/>
    <mergeCell ref="I200:I201"/>
    <mergeCell ref="L166:L167"/>
    <mergeCell ref="K166:K167"/>
    <mergeCell ref="K243:K244"/>
    <mergeCell ref="G69:G70"/>
    <mergeCell ref="H69:H70"/>
    <mergeCell ref="K30:K31"/>
    <mergeCell ref="L73:L77"/>
    <mergeCell ref="I360:I361"/>
    <mergeCell ref="J360:J361"/>
    <mergeCell ref="J375:J376"/>
    <mergeCell ref="J369:J370"/>
    <mergeCell ref="J257:J258"/>
    <mergeCell ref="K257:K258"/>
    <mergeCell ref="L257:L258"/>
    <mergeCell ref="L275:L276"/>
    <mergeCell ref="L271:L272"/>
    <mergeCell ref="K275:K276"/>
    <mergeCell ref="K273:K274"/>
    <mergeCell ref="K375:K376"/>
    <mergeCell ref="K369:K370"/>
    <mergeCell ref="K153:K154"/>
    <mergeCell ref="L152:L154"/>
    <mergeCell ref="L100:L101"/>
    <mergeCell ref="L69:L70"/>
    <mergeCell ref="I100:I101"/>
    <mergeCell ref="J100:J101"/>
    <mergeCell ref="K100:K101"/>
    <mergeCell ref="K109:K111"/>
    <mergeCell ref="L169:L171"/>
    <mergeCell ref="A343:A344"/>
    <mergeCell ref="C257:C258"/>
    <mergeCell ref="A300:A301"/>
    <mergeCell ref="E425:E426"/>
    <mergeCell ref="C118:C119"/>
    <mergeCell ref="C113:C114"/>
    <mergeCell ref="L425:L426"/>
    <mergeCell ref="G375:G376"/>
    <mergeCell ref="F425:F426"/>
    <mergeCell ref="B121:B122"/>
    <mergeCell ref="C121:C122"/>
    <mergeCell ref="B116:B117"/>
    <mergeCell ref="C116:C117"/>
    <mergeCell ref="B157:B158"/>
    <mergeCell ref="D343:D344"/>
    <mergeCell ref="E343:E344"/>
    <mergeCell ref="F343:F344"/>
    <mergeCell ref="L142:L143"/>
    <mergeCell ref="L358:L359"/>
    <mergeCell ref="E196:E198"/>
    <mergeCell ref="I322:I323"/>
    <mergeCell ref="F273:F274"/>
    <mergeCell ref="K271:K272"/>
    <mergeCell ref="L375:L376"/>
    <mergeCell ref="B291:B293"/>
    <mergeCell ref="C291:C293"/>
    <mergeCell ref="C273:C274"/>
    <mergeCell ref="C271:C272"/>
    <mergeCell ref="A282:A283"/>
    <mergeCell ref="D243:D244"/>
    <mergeCell ref="E243:E244"/>
    <mergeCell ref="K142:K143"/>
    <mergeCell ref="K200:K201"/>
    <mergeCell ref="A237:A238"/>
    <mergeCell ref="B237:B238"/>
    <mergeCell ref="A174:A175"/>
    <mergeCell ref="C196:C198"/>
    <mergeCell ref="D196:D198"/>
    <mergeCell ref="K219:K221"/>
    <mergeCell ref="K277:K278"/>
    <mergeCell ref="L80:L81"/>
    <mergeCell ref="L157:L158"/>
    <mergeCell ref="J118:J119"/>
    <mergeCell ref="C142:C143"/>
    <mergeCell ref="D121:D122"/>
    <mergeCell ref="E121:E122"/>
    <mergeCell ref="F121:F122"/>
    <mergeCell ref="H100:H101"/>
    <mergeCell ref="F169:F171"/>
    <mergeCell ref="K169:K171"/>
    <mergeCell ref="D169:D171"/>
    <mergeCell ref="E169:E171"/>
    <mergeCell ref="I69:I70"/>
    <mergeCell ref="J69:J70"/>
    <mergeCell ref="A152:A154"/>
    <mergeCell ref="A118:A119"/>
    <mergeCell ref="C152:C154"/>
    <mergeCell ref="B166:B167"/>
    <mergeCell ref="D152:D154"/>
    <mergeCell ref="E152:E154"/>
    <mergeCell ref="D164:D165"/>
    <mergeCell ref="E164:E165"/>
    <mergeCell ref="F164:F165"/>
    <mergeCell ref="B152:B154"/>
    <mergeCell ref="B164:B165"/>
    <mergeCell ref="C164:C165"/>
    <mergeCell ref="B109:B111"/>
    <mergeCell ref="E73:E77"/>
    <mergeCell ref="F73:F77"/>
    <mergeCell ref="A71:A72"/>
    <mergeCell ref="B69:B70"/>
    <mergeCell ref="A80:A81"/>
    <mergeCell ref="B113:B114"/>
    <mergeCell ref="F152:F154"/>
    <mergeCell ref="A73:A77"/>
    <mergeCell ref="A69:A70"/>
    <mergeCell ref="C69:C70"/>
    <mergeCell ref="B73:B77"/>
    <mergeCell ref="C73:C77"/>
    <mergeCell ref="D73:D77"/>
    <mergeCell ref="B169:B171"/>
    <mergeCell ref="A169:A171"/>
    <mergeCell ref="C169:C171"/>
    <mergeCell ref="A164:A165"/>
    <mergeCell ref="A121:A122"/>
    <mergeCell ref="A116:A117"/>
    <mergeCell ref="A109:A111"/>
    <mergeCell ref="A157:A158"/>
    <mergeCell ref="B118:B119"/>
    <mergeCell ref="A123:A124"/>
    <mergeCell ref="A113:A114"/>
    <mergeCell ref="D166:D167"/>
    <mergeCell ref="B142:B143"/>
    <mergeCell ref="C109:C111"/>
    <mergeCell ref="B123:B124"/>
    <mergeCell ref="C123:C124"/>
    <mergeCell ref="B133:B134"/>
    <mergeCell ref="C133:C134"/>
    <mergeCell ref="B100:B101"/>
    <mergeCell ref="C100:C101"/>
    <mergeCell ref="M275:M276"/>
    <mergeCell ref="A200:A201"/>
    <mergeCell ref="B200:B201"/>
    <mergeCell ref="A257:A258"/>
    <mergeCell ref="B257:B258"/>
    <mergeCell ref="D219:D221"/>
    <mergeCell ref="A215:A217"/>
    <mergeCell ref="E219:E221"/>
    <mergeCell ref="F219:F221"/>
    <mergeCell ref="B239:B240"/>
    <mergeCell ref="A243:A244"/>
    <mergeCell ref="B243:B244"/>
    <mergeCell ref="C243:C244"/>
    <mergeCell ref="B271:B272"/>
    <mergeCell ref="M257:M258"/>
    <mergeCell ref="M273:M274"/>
    <mergeCell ref="E300:E301"/>
    <mergeCell ref="F300:F301"/>
    <mergeCell ref="C329:C336"/>
    <mergeCell ref="C275:C278"/>
    <mergeCell ref="E275:F276"/>
    <mergeCell ref="C355:C356"/>
    <mergeCell ref="D277:D278"/>
    <mergeCell ref="C282:C283"/>
    <mergeCell ref="D275:D276"/>
    <mergeCell ref="D291:D293"/>
    <mergeCell ref="E291:E293"/>
    <mergeCell ref="C343:C344"/>
    <mergeCell ref="C300:C301"/>
    <mergeCell ref="D300:D301"/>
    <mergeCell ref="C345:C346"/>
    <mergeCell ref="L13:L14"/>
    <mergeCell ref="L11:L12"/>
    <mergeCell ref="C11:C12"/>
    <mergeCell ref="C419:C420"/>
    <mergeCell ref="K54:K56"/>
    <mergeCell ref="A405:A406"/>
    <mergeCell ref="B405:B406"/>
    <mergeCell ref="C405:C406"/>
    <mergeCell ref="D406:F406"/>
    <mergeCell ref="A11:A12"/>
    <mergeCell ref="A30:A31"/>
    <mergeCell ref="A100:A101"/>
    <mergeCell ref="A133:A134"/>
    <mergeCell ref="A142:A143"/>
    <mergeCell ref="A166:A167"/>
    <mergeCell ref="A219:A221"/>
    <mergeCell ref="A239:A240"/>
    <mergeCell ref="H375:H376"/>
    <mergeCell ref="I375:I376"/>
    <mergeCell ref="E277:E278"/>
    <mergeCell ref="F277:F278"/>
    <mergeCell ref="B80:B81"/>
    <mergeCell ref="C80:C81"/>
    <mergeCell ref="A368:A370"/>
    <mergeCell ref="C443:C444"/>
    <mergeCell ref="A443:A444"/>
    <mergeCell ref="A317:A318"/>
    <mergeCell ref="B317:B318"/>
    <mergeCell ref="C317:C318"/>
    <mergeCell ref="A390:A391"/>
    <mergeCell ref="B275:B278"/>
    <mergeCell ref="C390:C391"/>
    <mergeCell ref="C435:C436"/>
    <mergeCell ref="B373:B375"/>
    <mergeCell ref="A373:A375"/>
    <mergeCell ref="C373:C375"/>
    <mergeCell ref="A329:A336"/>
    <mergeCell ref="B329:B336"/>
    <mergeCell ref="B303:B305"/>
    <mergeCell ref="C303:C305"/>
    <mergeCell ref="A360:A361"/>
    <mergeCell ref="A430:A431"/>
    <mergeCell ref="A275:A278"/>
    <mergeCell ref="B282:B283"/>
    <mergeCell ref="C368:C370"/>
    <mergeCell ref="C360:C361"/>
    <mergeCell ref="B360:B361"/>
    <mergeCell ref="A291:A293"/>
    <mergeCell ref="B85:B86"/>
    <mergeCell ref="A85:A86"/>
    <mergeCell ref="C85:C86"/>
    <mergeCell ref="D271:D272"/>
    <mergeCell ref="E386:E387"/>
    <mergeCell ref="D435:D436"/>
    <mergeCell ref="E435:E436"/>
    <mergeCell ref="D330:D336"/>
    <mergeCell ref="D304:F304"/>
    <mergeCell ref="E330:F336"/>
    <mergeCell ref="A271:A272"/>
    <mergeCell ref="E273:E274"/>
    <mergeCell ref="E271:E272"/>
    <mergeCell ref="F271:F272"/>
    <mergeCell ref="B273:B274"/>
    <mergeCell ref="D273:D274"/>
    <mergeCell ref="A273:A274"/>
    <mergeCell ref="A303:A305"/>
    <mergeCell ref="F85:F86"/>
    <mergeCell ref="E166:E167"/>
    <mergeCell ref="A355:A356"/>
    <mergeCell ref="F386:F387"/>
    <mergeCell ref="E380:F384"/>
    <mergeCell ref="A345:A346"/>
    <mergeCell ref="G444:L444"/>
    <mergeCell ref="G443:L443"/>
    <mergeCell ref="A394:A395"/>
    <mergeCell ref="B394:B395"/>
    <mergeCell ref="C394:C395"/>
    <mergeCell ref="D394:D395"/>
    <mergeCell ref="E394:E395"/>
    <mergeCell ref="K394:K395"/>
    <mergeCell ref="F394:F395"/>
    <mergeCell ref="A425:A426"/>
    <mergeCell ref="K425:K426"/>
    <mergeCell ref="A421:A422"/>
    <mergeCell ref="B421:B422"/>
    <mergeCell ref="C421:C422"/>
    <mergeCell ref="D421:D422"/>
    <mergeCell ref="E421:E422"/>
    <mergeCell ref="F421:F422"/>
    <mergeCell ref="A419:A420"/>
    <mergeCell ref="F435:F436"/>
    <mergeCell ref="K435:K436"/>
    <mergeCell ref="L435:L436"/>
    <mergeCell ref="A441:A442"/>
    <mergeCell ref="B435:B436"/>
    <mergeCell ref="B443:B444"/>
    <mergeCell ref="A358:A359"/>
    <mergeCell ref="B368:B370"/>
    <mergeCell ref="M425:M426"/>
    <mergeCell ref="H360:H361"/>
    <mergeCell ref="M394:M395"/>
    <mergeCell ref="B355:B356"/>
    <mergeCell ref="B345:B346"/>
    <mergeCell ref="B419:B420"/>
    <mergeCell ref="B396:B397"/>
    <mergeCell ref="C396:C397"/>
    <mergeCell ref="M358:M359"/>
    <mergeCell ref="M360:M361"/>
    <mergeCell ref="G360:G361"/>
    <mergeCell ref="B425:B426"/>
    <mergeCell ref="C425:C426"/>
    <mergeCell ref="D425:D426"/>
    <mergeCell ref="K421:K422"/>
    <mergeCell ref="L421:L422"/>
    <mergeCell ref="M421:M422"/>
    <mergeCell ref="A380:A384"/>
    <mergeCell ref="B398:B399"/>
    <mergeCell ref="A398:A399"/>
    <mergeCell ref="C398:C399"/>
    <mergeCell ref="K398:K39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0"/>
  <sheetViews>
    <sheetView rightToLeft="1" zoomScale="60" zoomScaleNormal="60" workbookViewId="0">
      <pane ySplit="1" topLeftCell="A171" activePane="bottomLeft" state="frozen"/>
      <selection pane="bottomLeft" activeCell="B171" sqref="B171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customWidth="1"/>
    <col min="6" max="6" width="20.7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4">
        <v>1</v>
      </c>
      <c r="B2" s="22" t="s">
        <v>1589</v>
      </c>
      <c r="C2" s="380" t="s">
        <v>380</v>
      </c>
      <c r="D2" s="368">
        <v>600000000</v>
      </c>
      <c r="E2" s="20">
        <v>0.06</v>
      </c>
      <c r="F2" s="368">
        <f>D2*E2</f>
        <v>36000000</v>
      </c>
      <c r="G2" s="368">
        <v>36000000</v>
      </c>
      <c r="H2" s="368" t="s">
        <v>1852</v>
      </c>
      <c r="I2" s="374" t="s">
        <v>1919</v>
      </c>
      <c r="J2" s="24" t="s">
        <v>1920</v>
      </c>
      <c r="K2" s="368">
        <f t="shared" ref="K2:K13" si="0">G2</f>
        <v>36000000</v>
      </c>
      <c r="L2" s="368">
        <f t="shared" ref="L2:L13" si="1">F2-K2</f>
        <v>0</v>
      </c>
      <c r="M2" s="26"/>
    </row>
    <row r="3" spans="1:13" ht="30" customHeight="1" x14ac:dyDescent="0.2">
      <c r="A3" s="4">
        <v>2</v>
      </c>
      <c r="B3" s="22" t="s">
        <v>287</v>
      </c>
      <c r="C3" s="380"/>
      <c r="D3" s="368">
        <v>300000000</v>
      </c>
      <c r="E3" s="20">
        <v>0.05</v>
      </c>
      <c r="F3" s="368">
        <f>D3*E3</f>
        <v>15000000</v>
      </c>
      <c r="G3" s="368">
        <v>15000000</v>
      </c>
      <c r="H3" s="368" t="s">
        <v>1852</v>
      </c>
      <c r="I3" s="374" t="s">
        <v>1890</v>
      </c>
      <c r="J3" s="24" t="s">
        <v>1891</v>
      </c>
      <c r="K3" s="368">
        <f t="shared" si="0"/>
        <v>15000000</v>
      </c>
      <c r="L3" s="368">
        <f t="shared" si="1"/>
        <v>0</v>
      </c>
      <c r="M3" s="26"/>
    </row>
    <row r="4" spans="1:13" ht="30" customHeight="1" x14ac:dyDescent="0.2">
      <c r="A4" s="4">
        <v>3</v>
      </c>
      <c r="B4" s="22" t="s">
        <v>290</v>
      </c>
      <c r="C4" s="380" t="s">
        <v>367</v>
      </c>
      <c r="D4" s="368">
        <v>36000000</v>
      </c>
      <c r="E4" s="20">
        <v>7.0000000000000007E-2</v>
      </c>
      <c r="F4" s="368">
        <v>2500000</v>
      </c>
      <c r="G4" s="368">
        <v>2500000</v>
      </c>
      <c r="H4" s="368" t="s">
        <v>1852</v>
      </c>
      <c r="I4" s="374" t="s">
        <v>1892</v>
      </c>
      <c r="J4" s="28" t="s">
        <v>1893</v>
      </c>
      <c r="K4" s="368">
        <f t="shared" si="0"/>
        <v>2500000</v>
      </c>
      <c r="L4" s="368">
        <f t="shared" si="1"/>
        <v>0</v>
      </c>
      <c r="M4" s="26"/>
    </row>
    <row r="5" spans="1:13" ht="30" customHeight="1" x14ac:dyDescent="0.2">
      <c r="A5" s="4">
        <v>4</v>
      </c>
      <c r="B5" s="22" t="s">
        <v>315</v>
      </c>
      <c r="C5" s="380" t="s">
        <v>2786</v>
      </c>
      <c r="D5" s="368">
        <v>535000000</v>
      </c>
      <c r="E5" s="20">
        <v>5.7000000000000002E-2</v>
      </c>
      <c r="F5" s="368">
        <v>30000000</v>
      </c>
      <c r="G5" s="368">
        <v>30000000</v>
      </c>
      <c r="H5" s="368" t="s">
        <v>1566</v>
      </c>
      <c r="I5" s="374" t="s">
        <v>1638</v>
      </c>
      <c r="J5" s="28" t="s">
        <v>1639</v>
      </c>
      <c r="K5" s="368">
        <f t="shared" si="0"/>
        <v>30000000</v>
      </c>
      <c r="L5" s="368">
        <f t="shared" si="1"/>
        <v>0</v>
      </c>
      <c r="M5" s="26"/>
    </row>
    <row r="6" spans="1:13" ht="30" customHeight="1" x14ac:dyDescent="0.2">
      <c r="A6" s="4">
        <v>5</v>
      </c>
      <c r="B6" s="22" t="s">
        <v>323</v>
      </c>
      <c r="C6" s="380" t="s">
        <v>380</v>
      </c>
      <c r="D6" s="368">
        <v>20000000</v>
      </c>
      <c r="E6" s="20">
        <v>7.0000000000000007E-2</v>
      </c>
      <c r="F6" s="368">
        <v>1400000</v>
      </c>
      <c r="G6" s="368">
        <v>1400000</v>
      </c>
      <c r="H6" s="368" t="s">
        <v>1898</v>
      </c>
      <c r="I6" s="374" t="s">
        <v>1955</v>
      </c>
      <c r="J6" s="28" t="s">
        <v>1956</v>
      </c>
      <c r="K6" s="368">
        <f t="shared" si="0"/>
        <v>1400000</v>
      </c>
      <c r="L6" s="368">
        <f t="shared" si="1"/>
        <v>0</v>
      </c>
      <c r="M6" s="33" t="s">
        <v>326</v>
      </c>
    </row>
    <row r="7" spans="1:13" ht="30" customHeight="1" x14ac:dyDescent="0.2">
      <c r="A7" s="2031">
        <v>6</v>
      </c>
      <c r="B7" s="2029" t="s">
        <v>416</v>
      </c>
      <c r="C7" s="2149"/>
      <c r="D7" s="368">
        <v>115000000</v>
      </c>
      <c r="E7" s="20">
        <v>0.05</v>
      </c>
      <c r="F7" s="368">
        <f>D7*E7</f>
        <v>5750000</v>
      </c>
      <c r="G7" s="368">
        <v>5000000</v>
      </c>
      <c r="H7" s="368" t="s">
        <v>1852</v>
      </c>
      <c r="I7" s="374" t="s">
        <v>1917</v>
      </c>
      <c r="J7" s="28" t="s">
        <v>1918</v>
      </c>
      <c r="K7" s="368">
        <f t="shared" si="0"/>
        <v>5000000</v>
      </c>
      <c r="L7" s="368">
        <f t="shared" si="1"/>
        <v>750000</v>
      </c>
      <c r="M7" s="686"/>
    </row>
    <row r="8" spans="1:13" ht="30" customHeight="1" x14ac:dyDescent="0.2">
      <c r="A8" s="2034"/>
      <c r="B8" s="2033"/>
      <c r="C8" s="2158"/>
      <c r="D8" s="2097" t="s">
        <v>1284</v>
      </c>
      <c r="E8" s="2195"/>
      <c r="F8" s="2098"/>
      <c r="G8" s="773">
        <v>50000000</v>
      </c>
      <c r="H8" s="773" t="s">
        <v>2202</v>
      </c>
      <c r="I8" s="779" t="s">
        <v>2217</v>
      </c>
      <c r="J8" s="57" t="s">
        <v>1823</v>
      </c>
      <c r="K8" s="2040">
        <f>G8+G9</f>
        <v>100000000</v>
      </c>
      <c r="L8" s="2040"/>
      <c r="M8" s="192" t="s">
        <v>2218</v>
      </c>
    </row>
    <row r="9" spans="1:13" ht="30" customHeight="1" x14ac:dyDescent="0.2">
      <c r="A9" s="2032"/>
      <c r="B9" s="2030"/>
      <c r="C9" s="2150"/>
      <c r="D9" s="2099"/>
      <c r="E9" s="2196"/>
      <c r="F9" s="2100"/>
      <c r="G9" s="816">
        <v>50000000</v>
      </c>
      <c r="H9" s="816" t="s">
        <v>2295</v>
      </c>
      <c r="I9" s="820" t="s">
        <v>2415</v>
      </c>
      <c r="J9" s="57" t="s">
        <v>1823</v>
      </c>
      <c r="K9" s="2042"/>
      <c r="L9" s="2042"/>
      <c r="M9" s="192"/>
    </row>
    <row r="10" spans="1:13" ht="28.5" customHeight="1" x14ac:dyDescent="0.2">
      <c r="A10" s="770">
        <v>7</v>
      </c>
      <c r="B10" s="188" t="s">
        <v>104</v>
      </c>
      <c r="C10" s="774" t="s">
        <v>916</v>
      </c>
      <c r="D10" s="368">
        <v>45000000</v>
      </c>
      <c r="E10" s="20">
        <v>0.05</v>
      </c>
      <c r="F10" s="368">
        <f>D10*E10</f>
        <v>2250000</v>
      </c>
      <c r="G10" s="368">
        <v>2250000</v>
      </c>
      <c r="H10" s="368" t="s">
        <v>2005</v>
      </c>
      <c r="I10" s="374" t="s">
        <v>2014</v>
      </c>
      <c r="J10" s="30" t="s">
        <v>418</v>
      </c>
      <c r="K10" s="368">
        <f t="shared" si="0"/>
        <v>2250000</v>
      </c>
      <c r="L10" s="368">
        <f t="shared" si="1"/>
        <v>0</v>
      </c>
      <c r="M10" s="794"/>
    </row>
    <row r="11" spans="1:13" ht="30" customHeight="1" x14ac:dyDescent="0.2">
      <c r="A11" s="2031">
        <v>8</v>
      </c>
      <c r="B11" s="2029" t="s">
        <v>356</v>
      </c>
      <c r="C11" s="2149" t="s">
        <v>1346</v>
      </c>
      <c r="D11" s="2040">
        <v>400000000</v>
      </c>
      <c r="E11" s="2037">
        <v>4.4999999999999998E-2</v>
      </c>
      <c r="F11" s="2040">
        <f>D11*E11</f>
        <v>18000000</v>
      </c>
      <c r="G11" s="368">
        <v>15000000</v>
      </c>
      <c r="H11" s="368" t="s">
        <v>2135</v>
      </c>
      <c r="I11" s="36" t="s">
        <v>2164</v>
      </c>
      <c r="J11" s="28" t="s">
        <v>2165</v>
      </c>
      <c r="K11" s="2040">
        <f>G11+G12</f>
        <v>18000000</v>
      </c>
      <c r="L11" s="2040">
        <f t="shared" si="1"/>
        <v>0</v>
      </c>
      <c r="M11" s="2043"/>
    </row>
    <row r="12" spans="1:13" ht="30" customHeight="1" x14ac:dyDescent="0.2">
      <c r="A12" s="2032"/>
      <c r="B12" s="2030"/>
      <c r="C12" s="2150"/>
      <c r="D12" s="2042"/>
      <c r="E12" s="2039"/>
      <c r="F12" s="2042"/>
      <c r="G12" s="703">
        <v>3000000</v>
      </c>
      <c r="H12" s="703" t="s">
        <v>2135</v>
      </c>
      <c r="I12" s="707" t="s">
        <v>2176</v>
      </c>
      <c r="J12" s="28" t="s">
        <v>2177</v>
      </c>
      <c r="K12" s="2042"/>
      <c r="L12" s="2042"/>
      <c r="M12" s="2045"/>
    </row>
    <row r="13" spans="1:13" ht="30" customHeight="1" x14ac:dyDescent="0.2">
      <c r="A13" s="4">
        <v>9</v>
      </c>
      <c r="B13" s="22" t="s">
        <v>387</v>
      </c>
      <c r="C13" s="380" t="s">
        <v>379</v>
      </c>
      <c r="D13" s="368">
        <v>10000000</v>
      </c>
      <c r="E13" s="20">
        <v>0.05</v>
      </c>
      <c r="F13" s="368">
        <f>D13*E13</f>
        <v>500000</v>
      </c>
      <c r="G13" s="368">
        <v>500000</v>
      </c>
      <c r="H13" s="597" t="s">
        <v>1898</v>
      </c>
      <c r="I13" s="374" t="s">
        <v>1980</v>
      </c>
      <c r="J13" s="28" t="s">
        <v>1981</v>
      </c>
      <c r="K13" s="368">
        <f t="shared" si="0"/>
        <v>500000</v>
      </c>
      <c r="L13" s="368">
        <f t="shared" si="1"/>
        <v>0</v>
      </c>
      <c r="M13" s="33" t="s">
        <v>1984</v>
      </c>
    </row>
    <row r="14" spans="1:13" ht="30" customHeight="1" x14ac:dyDescent="0.2">
      <c r="A14" s="4">
        <v>10</v>
      </c>
      <c r="B14" s="188" t="s">
        <v>1029</v>
      </c>
      <c r="C14" s="587" t="s">
        <v>1913</v>
      </c>
      <c r="D14" s="368">
        <v>180000000</v>
      </c>
      <c r="E14" s="20">
        <v>5.5E-2</v>
      </c>
      <c r="F14" s="368">
        <v>10000000</v>
      </c>
      <c r="G14" s="368">
        <v>10000000</v>
      </c>
      <c r="H14" s="368" t="s">
        <v>2503</v>
      </c>
      <c r="I14" s="374" t="s">
        <v>2506</v>
      </c>
      <c r="J14" s="28" t="s">
        <v>2507</v>
      </c>
      <c r="K14" s="368">
        <f>G14</f>
        <v>10000000</v>
      </c>
      <c r="L14" s="368">
        <f>F14-K14</f>
        <v>0</v>
      </c>
      <c r="M14" s="192"/>
    </row>
    <row r="15" spans="1:13" ht="30" customHeight="1" x14ac:dyDescent="0.2">
      <c r="A15" s="2031">
        <v>11</v>
      </c>
      <c r="B15" s="2029" t="s">
        <v>402</v>
      </c>
      <c r="C15" s="459" t="s">
        <v>367</v>
      </c>
      <c r="D15" s="377">
        <v>15000000</v>
      </c>
      <c r="E15" s="20">
        <v>7.0000000000000007E-2</v>
      </c>
      <c r="F15" s="377">
        <f>D15*E15</f>
        <v>1050000</v>
      </c>
      <c r="G15" s="390">
        <v>1050000</v>
      </c>
      <c r="H15" s="390" t="s">
        <v>1898</v>
      </c>
      <c r="I15" s="401" t="s">
        <v>1937</v>
      </c>
      <c r="J15" s="30" t="s">
        <v>403</v>
      </c>
      <c r="K15" s="2040">
        <f>G15+G16</f>
        <v>1300000</v>
      </c>
      <c r="L15" s="2040">
        <f>(F15+F16)-K15</f>
        <v>0</v>
      </c>
      <c r="M15" s="2043"/>
    </row>
    <row r="16" spans="1:13" ht="30" customHeight="1" x14ac:dyDescent="0.2">
      <c r="A16" s="2034"/>
      <c r="B16" s="2033"/>
      <c r="C16" s="400" t="s">
        <v>1110</v>
      </c>
      <c r="D16" s="377">
        <v>5000000</v>
      </c>
      <c r="E16" s="20">
        <v>0.05</v>
      </c>
      <c r="F16" s="377">
        <f>D16*E16</f>
        <v>250000</v>
      </c>
      <c r="G16" s="390">
        <v>250000</v>
      </c>
      <c r="H16" s="390" t="s">
        <v>926</v>
      </c>
      <c r="I16" s="401" t="s">
        <v>1383</v>
      </c>
      <c r="J16" s="57" t="s">
        <v>403</v>
      </c>
      <c r="K16" s="2042"/>
      <c r="L16" s="2042"/>
      <c r="M16" s="2045"/>
    </row>
    <row r="17" spans="1:13" ht="30" customHeight="1" x14ac:dyDescent="0.2">
      <c r="A17" s="2032"/>
      <c r="B17" s="2030"/>
      <c r="C17" s="992" t="s">
        <v>1110</v>
      </c>
      <c r="D17" s="986">
        <v>5000000</v>
      </c>
      <c r="E17" s="989">
        <v>0.05</v>
      </c>
      <c r="F17" s="986">
        <f>D17*E17</f>
        <v>250000</v>
      </c>
      <c r="G17" s="986">
        <v>250000</v>
      </c>
      <c r="H17" s="986" t="s">
        <v>2626</v>
      </c>
      <c r="I17" s="995" t="s">
        <v>2648</v>
      </c>
      <c r="J17" s="57" t="s">
        <v>403</v>
      </c>
      <c r="K17" s="986">
        <f>G17</f>
        <v>250000</v>
      </c>
      <c r="L17" s="986">
        <f>F17-G17</f>
        <v>0</v>
      </c>
      <c r="M17" s="988" t="s">
        <v>1772</v>
      </c>
    </row>
    <row r="18" spans="1:13" ht="30" customHeight="1" x14ac:dyDescent="0.2">
      <c r="A18" s="362">
        <v>12</v>
      </c>
      <c r="B18" s="364" t="s">
        <v>408</v>
      </c>
      <c r="C18" s="380" t="s">
        <v>411</v>
      </c>
      <c r="D18" s="368">
        <v>75000000</v>
      </c>
      <c r="E18" s="367"/>
      <c r="F18" s="368">
        <v>3750000</v>
      </c>
      <c r="G18" s="368">
        <v>3750000</v>
      </c>
      <c r="H18" s="368" t="s">
        <v>1713</v>
      </c>
      <c r="I18" s="374" t="s">
        <v>1732</v>
      </c>
      <c r="J18" s="57" t="s">
        <v>1733</v>
      </c>
      <c r="K18" s="368">
        <f>G18</f>
        <v>3750000</v>
      </c>
      <c r="L18" s="368">
        <f>F18-K18</f>
        <v>0</v>
      </c>
      <c r="M18" s="369"/>
    </row>
    <row r="19" spans="1:13" ht="30" customHeight="1" x14ac:dyDescent="0.2">
      <c r="A19" s="362">
        <v>13</v>
      </c>
      <c r="B19" s="364" t="s">
        <v>429</v>
      </c>
      <c r="C19" s="380" t="s">
        <v>367</v>
      </c>
      <c r="D19" s="368">
        <v>80000000</v>
      </c>
      <c r="E19" s="375"/>
      <c r="F19" s="368">
        <v>4800000</v>
      </c>
      <c r="G19" s="368">
        <v>4800000</v>
      </c>
      <c r="H19" s="368" t="s">
        <v>2068</v>
      </c>
      <c r="I19" s="36" t="s">
        <v>2069</v>
      </c>
      <c r="J19" s="374" t="s">
        <v>2070</v>
      </c>
      <c r="K19" s="368">
        <f>G19</f>
        <v>4800000</v>
      </c>
      <c r="L19" s="368">
        <f>F19-K19</f>
        <v>0</v>
      </c>
      <c r="M19" s="369"/>
    </row>
    <row r="20" spans="1:13" ht="30" customHeight="1" x14ac:dyDescent="0.2">
      <c r="A20" s="387">
        <v>14</v>
      </c>
      <c r="B20" s="364" t="s">
        <v>437</v>
      </c>
      <c r="C20" s="380" t="s">
        <v>1355</v>
      </c>
      <c r="D20" s="368">
        <v>150000000</v>
      </c>
      <c r="E20" s="367">
        <v>0.04</v>
      </c>
      <c r="F20" s="368">
        <f>D20*E20</f>
        <v>6000000</v>
      </c>
      <c r="G20" s="368">
        <v>6000000</v>
      </c>
      <c r="H20" s="368" t="s">
        <v>2135</v>
      </c>
      <c r="I20" s="374" t="s">
        <v>2153</v>
      </c>
      <c r="J20" s="69" t="s">
        <v>439</v>
      </c>
      <c r="K20" s="368">
        <f>G20</f>
        <v>6000000</v>
      </c>
      <c r="L20" s="368">
        <f>F20-K20</f>
        <v>0</v>
      </c>
      <c r="M20" s="369"/>
    </row>
    <row r="21" spans="1:13" ht="30" customHeight="1" x14ac:dyDescent="0.2">
      <c r="A21" s="387">
        <v>15</v>
      </c>
      <c r="B21" s="364" t="s">
        <v>445</v>
      </c>
      <c r="C21" s="380"/>
      <c r="D21" s="368">
        <v>13000000</v>
      </c>
      <c r="E21" s="367">
        <v>0.05</v>
      </c>
      <c r="F21" s="368">
        <f>D21*E21</f>
        <v>650000</v>
      </c>
      <c r="G21" s="368">
        <v>650000</v>
      </c>
      <c r="H21" s="368" t="s">
        <v>2202</v>
      </c>
      <c r="I21" s="374" t="s">
        <v>2221</v>
      </c>
      <c r="J21" s="69" t="s">
        <v>2222</v>
      </c>
      <c r="K21" s="368">
        <f>G21</f>
        <v>650000</v>
      </c>
      <c r="L21" s="368">
        <f t="shared" ref="L21:L24" si="2">F21-K21</f>
        <v>0</v>
      </c>
      <c r="M21" s="369"/>
    </row>
    <row r="22" spans="1:13" ht="30" customHeight="1" x14ac:dyDescent="0.2">
      <c r="A22" s="387">
        <v>16</v>
      </c>
      <c r="B22" s="364" t="s">
        <v>498</v>
      </c>
      <c r="C22" s="380"/>
      <c r="D22" s="368">
        <v>80000000</v>
      </c>
      <c r="E22" s="367">
        <v>0.04</v>
      </c>
      <c r="F22" s="368">
        <f>D22*E22</f>
        <v>3200000</v>
      </c>
      <c r="G22" s="368"/>
      <c r="H22" s="368"/>
      <c r="I22" s="374"/>
      <c r="J22" s="69"/>
      <c r="K22" s="368"/>
      <c r="L22" s="368">
        <f t="shared" si="2"/>
        <v>3200000</v>
      </c>
      <c r="M22" s="369"/>
    </row>
    <row r="23" spans="1:13" ht="30" customHeight="1" x14ac:dyDescent="0.2">
      <c r="A23" s="387">
        <v>17</v>
      </c>
      <c r="B23" s="364" t="s">
        <v>768</v>
      </c>
      <c r="C23" s="380" t="s">
        <v>1344</v>
      </c>
      <c r="D23" s="368">
        <v>100000000</v>
      </c>
      <c r="E23" s="367">
        <v>0.06</v>
      </c>
      <c r="F23" s="368">
        <f t="shared" ref="F23:F24" si="3">D23*E23</f>
        <v>6000000</v>
      </c>
      <c r="G23" s="368">
        <v>6000000</v>
      </c>
      <c r="H23" s="368" t="s">
        <v>2344</v>
      </c>
      <c r="I23" s="374" t="s">
        <v>2354</v>
      </c>
      <c r="J23" s="69" t="s">
        <v>2355</v>
      </c>
      <c r="K23" s="368">
        <f>G23</f>
        <v>6000000</v>
      </c>
      <c r="L23" s="368">
        <f t="shared" si="2"/>
        <v>0</v>
      </c>
      <c r="M23" s="369"/>
    </row>
    <row r="24" spans="1:13" ht="30" customHeight="1" x14ac:dyDescent="0.2">
      <c r="A24" s="387">
        <v>18</v>
      </c>
      <c r="B24" s="364" t="s">
        <v>567</v>
      </c>
      <c r="C24" s="380" t="s">
        <v>1355</v>
      </c>
      <c r="D24" s="368">
        <v>50000000</v>
      </c>
      <c r="E24" s="367">
        <v>0.05</v>
      </c>
      <c r="F24" s="368">
        <f t="shared" si="3"/>
        <v>2500000</v>
      </c>
      <c r="G24" s="368">
        <v>2500000</v>
      </c>
      <c r="H24" s="368" t="s">
        <v>2396</v>
      </c>
      <c r="I24" s="374" t="s">
        <v>2397</v>
      </c>
      <c r="J24" s="69" t="s">
        <v>2398</v>
      </c>
      <c r="K24" s="368">
        <f>G24</f>
        <v>2500000</v>
      </c>
      <c r="L24" s="368">
        <f t="shared" si="2"/>
        <v>0</v>
      </c>
      <c r="M24" s="369"/>
    </row>
    <row r="25" spans="1:13" ht="30" customHeight="1" x14ac:dyDescent="0.2">
      <c r="A25" s="2031">
        <v>19</v>
      </c>
      <c r="B25" s="2101" t="s">
        <v>574</v>
      </c>
      <c r="C25" s="2149"/>
      <c r="D25" s="368">
        <v>5000000</v>
      </c>
      <c r="E25" s="375"/>
      <c r="F25" s="368">
        <v>200000</v>
      </c>
      <c r="G25" s="2040"/>
      <c r="H25" s="2040"/>
      <c r="I25" s="2159"/>
      <c r="J25" s="2164"/>
      <c r="K25" s="2040"/>
      <c r="L25" s="2040">
        <f>(F25+F26)-K25</f>
        <v>300000</v>
      </c>
      <c r="M25" s="2043" t="s">
        <v>1255</v>
      </c>
    </row>
    <row r="26" spans="1:13" ht="30" customHeight="1" x14ac:dyDescent="0.2">
      <c r="A26" s="2034"/>
      <c r="B26" s="2222"/>
      <c r="C26" s="2158"/>
      <c r="D26" s="575">
        <v>2500000</v>
      </c>
      <c r="E26" s="581"/>
      <c r="F26" s="575">
        <v>100000</v>
      </c>
      <c r="G26" s="2042"/>
      <c r="H26" s="2042"/>
      <c r="I26" s="2160"/>
      <c r="J26" s="2165"/>
      <c r="K26" s="2042"/>
      <c r="L26" s="2042"/>
      <c r="M26" s="2045"/>
    </row>
    <row r="27" spans="1:13" ht="30" customHeight="1" x14ac:dyDescent="0.2">
      <c r="A27" s="2032"/>
      <c r="B27" s="2102"/>
      <c r="C27" s="2150"/>
      <c r="D27" s="677">
        <v>50000000</v>
      </c>
      <c r="E27" s="680"/>
      <c r="F27" s="677"/>
      <c r="G27" s="2254" t="s">
        <v>2125</v>
      </c>
      <c r="H27" s="2255"/>
      <c r="I27" s="2255"/>
      <c r="J27" s="2255"/>
      <c r="K27" s="2256"/>
      <c r="L27" s="676"/>
      <c r="M27" s="679"/>
    </row>
    <row r="28" spans="1:13" ht="30" customHeight="1" x14ac:dyDescent="0.2">
      <c r="A28" s="387">
        <v>20</v>
      </c>
      <c r="B28" s="364" t="s">
        <v>621</v>
      </c>
      <c r="C28" s="380"/>
      <c r="D28" s="368">
        <v>32000000</v>
      </c>
      <c r="E28" s="462">
        <v>0.05</v>
      </c>
      <c r="F28" s="368">
        <v>1600000</v>
      </c>
      <c r="G28" s="2040">
        <v>44500000</v>
      </c>
      <c r="H28" s="2040" t="s">
        <v>1566</v>
      </c>
      <c r="I28" s="2159" t="s">
        <v>1636</v>
      </c>
      <c r="J28" s="2164" t="s">
        <v>1637</v>
      </c>
      <c r="K28" s="2040">
        <f>(D28+D29)+(F28+F29)</f>
        <v>44050000</v>
      </c>
      <c r="L28" s="2040">
        <f>G28-K28</f>
        <v>450000</v>
      </c>
      <c r="M28" s="2188" t="s">
        <v>1643</v>
      </c>
    </row>
    <row r="29" spans="1:13" ht="30" customHeight="1" x14ac:dyDescent="0.2">
      <c r="A29" s="457">
        <v>21</v>
      </c>
      <c r="B29" s="458" t="s">
        <v>1642</v>
      </c>
      <c r="C29" s="459"/>
      <c r="D29" s="460">
        <v>10000000</v>
      </c>
      <c r="E29" s="462">
        <v>4.4999999999999998E-2</v>
      </c>
      <c r="F29" s="460">
        <f>D29*E29</f>
        <v>450000</v>
      </c>
      <c r="G29" s="2042"/>
      <c r="H29" s="2042"/>
      <c r="I29" s="2160"/>
      <c r="J29" s="2165"/>
      <c r="K29" s="2042"/>
      <c r="L29" s="2042"/>
      <c r="M29" s="2190"/>
    </row>
    <row r="30" spans="1:13" ht="30" customHeight="1" x14ac:dyDescent="0.2">
      <c r="A30" s="690">
        <v>22</v>
      </c>
      <c r="B30" s="22" t="s">
        <v>674</v>
      </c>
      <c r="C30" s="421"/>
      <c r="D30" s="368">
        <v>300000000</v>
      </c>
      <c r="E30" s="367">
        <v>0.05</v>
      </c>
      <c r="F30" s="368">
        <f>D30*E30</f>
        <v>15000000</v>
      </c>
      <c r="G30" s="368">
        <v>15000000</v>
      </c>
      <c r="H30" s="368" t="s">
        <v>2277</v>
      </c>
      <c r="I30" s="374" t="s">
        <v>2297</v>
      </c>
      <c r="J30" s="69" t="s">
        <v>2298</v>
      </c>
      <c r="K30" s="747">
        <f>G30</f>
        <v>15000000</v>
      </c>
      <c r="L30" s="399">
        <f>F30-K30</f>
        <v>0</v>
      </c>
      <c r="M30" s="53"/>
    </row>
    <row r="31" spans="1:13" ht="30" customHeight="1" x14ac:dyDescent="0.2">
      <c r="A31" s="690">
        <v>23</v>
      </c>
      <c r="B31" s="45" t="s">
        <v>2251</v>
      </c>
      <c r="C31" s="422"/>
      <c r="D31" s="368">
        <v>140000000</v>
      </c>
      <c r="E31" s="367">
        <v>7.0000000000000007E-2</v>
      </c>
      <c r="F31" s="368">
        <f>D31*E31</f>
        <v>9800000.0000000019</v>
      </c>
      <c r="G31" s="368"/>
      <c r="H31" s="379"/>
      <c r="I31" s="371"/>
      <c r="J31" s="69"/>
      <c r="K31" s="399"/>
      <c r="L31" s="399">
        <f>F31-G31</f>
        <v>9800000.0000000019</v>
      </c>
      <c r="M31" s="744" t="s">
        <v>2250</v>
      </c>
    </row>
    <row r="32" spans="1:13" ht="30" customHeight="1" x14ac:dyDescent="0.2">
      <c r="A32" s="690">
        <v>24</v>
      </c>
      <c r="B32" s="364" t="s">
        <v>722</v>
      </c>
      <c r="C32" s="380"/>
      <c r="D32" s="368">
        <v>40000000</v>
      </c>
      <c r="E32" s="367">
        <v>0.05</v>
      </c>
      <c r="F32" s="368">
        <f>D32*E32</f>
        <v>2000000</v>
      </c>
      <c r="G32" s="368">
        <v>2000000</v>
      </c>
      <c r="H32" s="379" t="s">
        <v>2295</v>
      </c>
      <c r="I32" s="371">
        <v>122445770297</v>
      </c>
      <c r="J32" s="69" t="s">
        <v>2309</v>
      </c>
      <c r="K32" s="368">
        <f>G32</f>
        <v>2000000</v>
      </c>
      <c r="L32" s="368">
        <f>F32-K32</f>
        <v>0</v>
      </c>
      <c r="M32" s="372" t="s">
        <v>2597</v>
      </c>
    </row>
    <row r="33" spans="1:13" ht="30" customHeight="1" x14ac:dyDescent="0.2">
      <c r="A33" s="690">
        <v>25</v>
      </c>
      <c r="B33" s="364" t="s">
        <v>738</v>
      </c>
      <c r="C33" s="380" t="s">
        <v>1351</v>
      </c>
      <c r="D33" s="368">
        <v>35000000</v>
      </c>
      <c r="E33" s="367">
        <v>5.8000000000000003E-2</v>
      </c>
      <c r="F33" s="368">
        <v>2000000</v>
      </c>
      <c r="G33" s="368">
        <v>2000000</v>
      </c>
      <c r="H33" s="379" t="s">
        <v>2295</v>
      </c>
      <c r="I33" s="371">
        <v>469626</v>
      </c>
      <c r="J33" s="69" t="s">
        <v>2318</v>
      </c>
      <c r="K33" s="368">
        <f>G33</f>
        <v>2000000</v>
      </c>
      <c r="L33" s="368">
        <f>F33-G33</f>
        <v>0</v>
      </c>
      <c r="M33" s="372"/>
    </row>
    <row r="34" spans="1:13" ht="30" customHeight="1" x14ac:dyDescent="0.2">
      <c r="A34" s="2268">
        <v>26</v>
      </c>
      <c r="B34" s="2029" t="s">
        <v>828</v>
      </c>
      <c r="C34" s="2149" t="s">
        <v>1821</v>
      </c>
      <c r="D34" s="368">
        <v>500000000</v>
      </c>
      <c r="E34" s="367">
        <v>4.4999999999999998E-2</v>
      </c>
      <c r="F34" s="368">
        <f>D34*E34</f>
        <v>22500000</v>
      </c>
      <c r="G34" s="247">
        <v>22500000</v>
      </c>
      <c r="H34" s="664" t="s">
        <v>2068</v>
      </c>
      <c r="I34" s="687">
        <v>1.4010414054201999E+19</v>
      </c>
      <c r="J34" s="688" t="s">
        <v>2081</v>
      </c>
      <c r="K34" s="665">
        <f>G34</f>
        <v>22500000</v>
      </c>
      <c r="L34" s="664">
        <f>F34-K34</f>
        <v>0</v>
      </c>
      <c r="M34" s="686" t="s">
        <v>2108</v>
      </c>
    </row>
    <row r="35" spans="1:13" ht="30" customHeight="1" x14ac:dyDescent="0.2">
      <c r="A35" s="2268"/>
      <c r="B35" s="2033"/>
      <c r="C35" s="2158"/>
      <c r="D35" s="2157" t="s">
        <v>2107</v>
      </c>
      <c r="E35" s="2157"/>
      <c r="F35" s="2157"/>
      <c r="G35" s="247">
        <v>50000000</v>
      </c>
      <c r="H35" s="664" t="s">
        <v>2068</v>
      </c>
      <c r="I35" s="687">
        <v>1.4010414054201999E+19</v>
      </c>
      <c r="J35" s="688" t="s">
        <v>2081</v>
      </c>
      <c r="K35" s="665">
        <f>G35</f>
        <v>50000000</v>
      </c>
      <c r="L35" s="664">
        <f>500000000-K35</f>
        <v>450000000</v>
      </c>
      <c r="M35" s="33" t="s">
        <v>2109</v>
      </c>
    </row>
    <row r="36" spans="1:13" ht="30" customHeight="1" x14ac:dyDescent="0.2">
      <c r="A36" s="2031">
        <v>27</v>
      </c>
      <c r="B36" s="2029" t="s">
        <v>832</v>
      </c>
      <c r="C36" s="2149" t="s">
        <v>1354</v>
      </c>
      <c r="D36" s="2040">
        <v>500000000</v>
      </c>
      <c r="E36" s="2037">
        <v>7.0000000000000007E-2</v>
      </c>
      <c r="F36" s="2040">
        <f>D36*E36</f>
        <v>35000000</v>
      </c>
      <c r="G36" s="390">
        <v>24000000</v>
      </c>
      <c r="H36" s="395" t="s">
        <v>2396</v>
      </c>
      <c r="I36" s="404">
        <v>1.4010422018250899E+17</v>
      </c>
      <c r="J36" s="69" t="s">
        <v>2425</v>
      </c>
      <c r="K36" s="2040">
        <f>G36+G37</f>
        <v>35000000</v>
      </c>
      <c r="L36" s="2040">
        <f>(G36+G37)-K36</f>
        <v>0</v>
      </c>
      <c r="M36" s="2043"/>
    </row>
    <row r="37" spans="1:13" ht="30" customHeight="1" x14ac:dyDescent="0.2">
      <c r="A37" s="2032"/>
      <c r="B37" s="2030"/>
      <c r="C37" s="2150"/>
      <c r="D37" s="2042"/>
      <c r="E37" s="2039"/>
      <c r="F37" s="2042"/>
      <c r="G37" s="832">
        <v>11000000</v>
      </c>
      <c r="H37" s="836" t="s">
        <v>2503</v>
      </c>
      <c r="I37" s="840">
        <v>78512</v>
      </c>
      <c r="J37" s="69" t="s">
        <v>2425</v>
      </c>
      <c r="K37" s="2042"/>
      <c r="L37" s="2042"/>
      <c r="M37" s="2045"/>
    </row>
    <row r="38" spans="1:13" ht="30" customHeight="1" x14ac:dyDescent="0.2">
      <c r="A38" s="387">
        <v>28</v>
      </c>
      <c r="B38" s="22" t="s">
        <v>845</v>
      </c>
      <c r="C38" s="891" t="s">
        <v>1354</v>
      </c>
      <c r="D38" s="887">
        <v>590000000</v>
      </c>
      <c r="E38" s="20"/>
      <c r="F38" s="399">
        <v>30000000</v>
      </c>
      <c r="G38" s="368">
        <v>30000000</v>
      </c>
      <c r="H38" s="379" t="s">
        <v>2202</v>
      </c>
      <c r="I38" s="371">
        <v>804377</v>
      </c>
      <c r="J38" s="69" t="s">
        <v>846</v>
      </c>
      <c r="K38" s="399">
        <f>G38</f>
        <v>30000000</v>
      </c>
      <c r="L38" s="399">
        <f>F38-K38</f>
        <v>0</v>
      </c>
      <c r="M38" s="910" t="s">
        <v>2537</v>
      </c>
    </row>
    <row r="39" spans="1:13" ht="30" customHeight="1" x14ac:dyDescent="0.2">
      <c r="A39" s="690">
        <v>29</v>
      </c>
      <c r="B39" s="45" t="s">
        <v>865</v>
      </c>
      <c r="C39" s="422" t="s">
        <v>1378</v>
      </c>
      <c r="D39" s="368">
        <v>42000000</v>
      </c>
      <c r="E39" s="367">
        <v>7.0000000000000007E-2</v>
      </c>
      <c r="F39" s="368">
        <f>D39*E39</f>
        <v>2940000.0000000005</v>
      </c>
      <c r="G39" s="368">
        <v>2940000</v>
      </c>
      <c r="H39" s="379" t="s">
        <v>2454</v>
      </c>
      <c r="I39" s="371">
        <v>122606079002</v>
      </c>
      <c r="J39" s="69" t="s">
        <v>2469</v>
      </c>
      <c r="K39" s="368">
        <f>G39</f>
        <v>2940000</v>
      </c>
      <c r="L39" s="368">
        <f>F39-K39</f>
        <v>0</v>
      </c>
      <c r="M39" s="372"/>
    </row>
    <row r="40" spans="1:13" ht="30" customHeight="1" x14ac:dyDescent="0.2">
      <c r="A40" s="690">
        <v>30</v>
      </c>
      <c r="B40" s="364" t="s">
        <v>870</v>
      </c>
      <c r="C40" s="380"/>
      <c r="D40" s="368">
        <v>20000000</v>
      </c>
      <c r="E40" s="367">
        <v>0.04</v>
      </c>
      <c r="F40" s="368">
        <f>D40*E40</f>
        <v>800000</v>
      </c>
      <c r="G40" s="368">
        <v>800000</v>
      </c>
      <c r="H40" s="379" t="s">
        <v>2431</v>
      </c>
      <c r="I40" s="371">
        <v>657250959870</v>
      </c>
      <c r="J40" s="69" t="s">
        <v>871</v>
      </c>
      <c r="K40" s="368">
        <f>G40</f>
        <v>800000</v>
      </c>
      <c r="L40" s="368">
        <f>F40-K40</f>
        <v>0</v>
      </c>
      <c r="M40" s="372"/>
    </row>
    <row r="41" spans="1:13" ht="30" customHeight="1" x14ac:dyDescent="0.2">
      <c r="A41" s="2031">
        <v>31</v>
      </c>
      <c r="B41" s="2101" t="s">
        <v>944</v>
      </c>
      <c r="C41" s="2149"/>
      <c r="D41" s="2040">
        <v>100000000</v>
      </c>
      <c r="E41" s="2037">
        <v>7.0000000000000007E-2</v>
      </c>
      <c r="F41" s="2040">
        <f>D41*E41</f>
        <v>7000000.0000000009</v>
      </c>
      <c r="G41" s="368">
        <v>5000000</v>
      </c>
      <c r="H41" s="379" t="s">
        <v>2480</v>
      </c>
      <c r="I41" s="371">
        <v>298635</v>
      </c>
      <c r="J41" s="69" t="s">
        <v>2500</v>
      </c>
      <c r="K41" s="2040">
        <f>G41+G42</f>
        <v>7000000</v>
      </c>
      <c r="L41" s="2040">
        <f>F41-K41</f>
        <v>0</v>
      </c>
      <c r="M41" s="2043"/>
    </row>
    <row r="42" spans="1:13" ht="30" customHeight="1" x14ac:dyDescent="0.2">
      <c r="A42" s="2032"/>
      <c r="B42" s="2102"/>
      <c r="C42" s="2150"/>
      <c r="D42" s="2042"/>
      <c r="E42" s="2039"/>
      <c r="F42" s="2042"/>
      <c r="G42" s="869">
        <v>2000000</v>
      </c>
      <c r="H42" s="877" t="s">
        <v>2480</v>
      </c>
      <c r="I42" s="893">
        <v>122656557046</v>
      </c>
      <c r="J42" s="69" t="s">
        <v>2500</v>
      </c>
      <c r="K42" s="2042"/>
      <c r="L42" s="2042"/>
      <c r="M42" s="2045"/>
    </row>
    <row r="43" spans="1:13" ht="30" customHeight="1" x14ac:dyDescent="0.2">
      <c r="A43" s="2031">
        <v>32</v>
      </c>
      <c r="B43" s="2101" t="s">
        <v>1011</v>
      </c>
      <c r="C43" s="2149" t="s">
        <v>1378</v>
      </c>
      <c r="D43" s="658">
        <v>100000000</v>
      </c>
      <c r="E43" s="656">
        <v>0.05</v>
      </c>
      <c r="F43" s="658">
        <f t="shared" ref="F43:F44" si="4">D43*E43</f>
        <v>5000000</v>
      </c>
      <c r="G43" s="2040">
        <v>7450000</v>
      </c>
      <c r="H43" s="2040" t="s">
        <v>2503</v>
      </c>
      <c r="I43" s="2166">
        <v>93815</v>
      </c>
      <c r="J43" s="2164" t="s">
        <v>2512</v>
      </c>
      <c r="K43" s="2040">
        <f>G43</f>
        <v>7450000</v>
      </c>
      <c r="L43" s="2040">
        <f>(F43+F44)-K43</f>
        <v>0</v>
      </c>
      <c r="M43" s="2051"/>
    </row>
    <row r="44" spans="1:13" ht="30" customHeight="1" x14ac:dyDescent="0.2">
      <c r="A44" s="2034"/>
      <c r="B44" s="2222"/>
      <c r="C44" s="2150"/>
      <c r="D44" s="658">
        <v>35000000</v>
      </c>
      <c r="E44" s="656">
        <v>7.0000000000000007E-2</v>
      </c>
      <c r="F44" s="658">
        <f t="shared" si="4"/>
        <v>2450000.0000000005</v>
      </c>
      <c r="G44" s="2042"/>
      <c r="H44" s="2042"/>
      <c r="I44" s="2167"/>
      <c r="J44" s="2165"/>
      <c r="K44" s="2042"/>
      <c r="L44" s="2042"/>
      <c r="M44" s="2052"/>
    </row>
    <row r="45" spans="1:13" ht="30" customHeight="1" x14ac:dyDescent="0.2">
      <c r="A45" s="362">
        <v>33</v>
      </c>
      <c r="B45" s="756" t="s">
        <v>1022</v>
      </c>
      <c r="C45" s="380" t="s">
        <v>1342</v>
      </c>
      <c r="D45" s="368">
        <v>63580000</v>
      </c>
      <c r="E45" s="367">
        <v>7.0000000000000007E-2</v>
      </c>
      <c r="F45" s="368">
        <v>4450000</v>
      </c>
      <c r="G45" s="368">
        <v>4450000</v>
      </c>
      <c r="H45" s="368" t="s">
        <v>2277</v>
      </c>
      <c r="I45" s="374" t="s">
        <v>2289</v>
      </c>
      <c r="J45" s="69" t="s">
        <v>2290</v>
      </c>
      <c r="K45" s="368">
        <f>G45</f>
        <v>4450000</v>
      </c>
      <c r="L45" s="368">
        <f>F45-K45</f>
        <v>0</v>
      </c>
      <c r="M45" s="372"/>
    </row>
    <row r="46" spans="1:13" ht="30" customHeight="1" x14ac:dyDescent="0.2">
      <c r="A46" s="362">
        <v>34</v>
      </c>
      <c r="B46" s="365" t="s">
        <v>1141</v>
      </c>
      <c r="C46" s="380"/>
      <c r="D46" s="368">
        <v>20000000</v>
      </c>
      <c r="E46" s="367">
        <v>0.04</v>
      </c>
      <c r="F46" s="368">
        <f>D46*E46</f>
        <v>800000</v>
      </c>
      <c r="G46" s="368">
        <v>800000</v>
      </c>
      <c r="H46" s="368" t="s">
        <v>2431</v>
      </c>
      <c r="I46" s="374" t="s">
        <v>2436</v>
      </c>
      <c r="J46" s="69" t="s">
        <v>2437</v>
      </c>
      <c r="K46" s="368">
        <f>G46</f>
        <v>800000</v>
      </c>
      <c r="L46" s="368">
        <f>F46-K46</f>
        <v>0</v>
      </c>
      <c r="M46" s="372"/>
    </row>
    <row r="47" spans="1:13" ht="30" customHeight="1" x14ac:dyDescent="0.2">
      <c r="A47" s="690">
        <v>35</v>
      </c>
      <c r="B47" s="45" t="s">
        <v>1188</v>
      </c>
      <c r="C47" s="380" t="s">
        <v>1175</v>
      </c>
      <c r="D47" s="368">
        <v>150000000</v>
      </c>
      <c r="E47" s="367">
        <v>0.06</v>
      </c>
      <c r="F47" s="368">
        <f>D47*E47</f>
        <v>9000000</v>
      </c>
      <c r="G47" s="368"/>
      <c r="H47" s="368"/>
      <c r="I47" s="374"/>
      <c r="J47" s="69"/>
      <c r="K47" s="368"/>
      <c r="L47" s="368">
        <f>F47-K47</f>
        <v>9000000</v>
      </c>
      <c r="M47" s="372"/>
    </row>
    <row r="48" spans="1:13" ht="30" customHeight="1" x14ac:dyDescent="0.2">
      <c r="A48" s="690">
        <v>36</v>
      </c>
      <c r="B48" s="363" t="s">
        <v>1194</v>
      </c>
      <c r="C48" s="380" t="s">
        <v>1112</v>
      </c>
      <c r="D48" s="368">
        <v>50000000</v>
      </c>
      <c r="E48" s="367">
        <v>7.0000000000000007E-2</v>
      </c>
      <c r="F48" s="368">
        <f>D48*E48</f>
        <v>3500000.0000000005</v>
      </c>
      <c r="G48" s="368"/>
      <c r="H48" s="368"/>
      <c r="I48" s="374"/>
      <c r="J48" s="69"/>
      <c r="K48" s="368"/>
      <c r="L48" s="368">
        <f>F48-K48</f>
        <v>3500000.0000000005</v>
      </c>
      <c r="M48" s="372"/>
    </row>
    <row r="49" spans="1:13" ht="30" customHeight="1" x14ac:dyDescent="0.2">
      <c r="A49" s="690">
        <v>37</v>
      </c>
      <c r="B49" s="363" t="s">
        <v>1269</v>
      </c>
      <c r="C49" s="380"/>
      <c r="D49" s="368">
        <v>140000000</v>
      </c>
      <c r="E49" s="367">
        <v>0.05</v>
      </c>
      <c r="F49" s="368">
        <f>D49*E49</f>
        <v>7000000</v>
      </c>
      <c r="G49" s="368"/>
      <c r="H49" s="368"/>
      <c r="I49" s="374"/>
      <c r="J49" s="69"/>
      <c r="K49" s="368"/>
      <c r="L49" s="368"/>
      <c r="M49" s="372" t="s">
        <v>2411</v>
      </c>
    </row>
    <row r="50" spans="1:13" ht="30" customHeight="1" x14ac:dyDescent="0.2">
      <c r="A50" s="690">
        <v>38</v>
      </c>
      <c r="B50" s="363" t="s">
        <v>1302</v>
      </c>
      <c r="C50" s="380"/>
      <c r="D50" s="315"/>
      <c r="E50" s="316"/>
      <c r="F50" s="315"/>
      <c r="G50" s="368"/>
      <c r="H50" s="368"/>
      <c r="I50" s="374"/>
      <c r="J50" s="69"/>
      <c r="K50" s="368"/>
      <c r="L50" s="366">
        <f>F50-K50</f>
        <v>0</v>
      </c>
      <c r="M50" s="372"/>
    </row>
    <row r="51" spans="1:13" ht="30" customHeight="1" x14ac:dyDescent="0.2">
      <c r="A51" s="690">
        <v>39</v>
      </c>
      <c r="B51" s="363" t="s">
        <v>1261</v>
      </c>
      <c r="C51" s="380"/>
      <c r="D51" s="315"/>
      <c r="E51" s="316"/>
      <c r="F51" s="315"/>
      <c r="G51" s="368"/>
      <c r="H51" s="368"/>
      <c r="I51" s="374"/>
      <c r="J51" s="69"/>
      <c r="K51" s="368"/>
      <c r="L51" s="366">
        <f>F51-K51</f>
        <v>0</v>
      </c>
      <c r="M51" s="372"/>
    </row>
    <row r="52" spans="1:13" ht="30" customHeight="1" x14ac:dyDescent="0.2">
      <c r="A52" s="690">
        <v>40</v>
      </c>
      <c r="B52" s="363" t="s">
        <v>1314</v>
      </c>
      <c r="C52" s="380" t="s">
        <v>1344</v>
      </c>
      <c r="D52" s="242">
        <v>16000000</v>
      </c>
      <c r="E52" s="317">
        <v>0.05</v>
      </c>
      <c r="F52" s="242">
        <f>D52*E52</f>
        <v>800000</v>
      </c>
      <c r="G52" s="368">
        <v>800000</v>
      </c>
      <c r="H52" s="368" t="s">
        <v>2277</v>
      </c>
      <c r="I52" s="374" t="s">
        <v>2286</v>
      </c>
      <c r="J52" s="69" t="s">
        <v>1317</v>
      </c>
      <c r="K52" s="368">
        <f>G52</f>
        <v>800000</v>
      </c>
      <c r="L52" s="368">
        <f>F52-K52</f>
        <v>0</v>
      </c>
      <c r="M52" s="372"/>
    </row>
    <row r="53" spans="1:13" ht="30" customHeight="1" x14ac:dyDescent="0.2">
      <c r="A53" s="690">
        <v>41</v>
      </c>
      <c r="B53" s="363" t="s">
        <v>1337</v>
      </c>
      <c r="C53" s="380"/>
      <c r="D53" s="315"/>
      <c r="E53" s="316"/>
      <c r="F53" s="315"/>
      <c r="G53" s="368"/>
      <c r="H53" s="368"/>
      <c r="I53" s="36"/>
      <c r="J53" s="69"/>
      <c r="K53" s="368"/>
      <c r="L53" s="366">
        <f>F53-K53</f>
        <v>0</v>
      </c>
      <c r="M53" s="372"/>
    </row>
    <row r="54" spans="1:13" ht="30" customHeight="1" x14ac:dyDescent="0.2">
      <c r="A54" s="690">
        <v>42</v>
      </c>
      <c r="B54" s="188" t="s">
        <v>186</v>
      </c>
      <c r="C54" s="380" t="s">
        <v>401</v>
      </c>
      <c r="D54" s="368">
        <v>60000000</v>
      </c>
      <c r="E54" s="20">
        <v>0.05</v>
      </c>
      <c r="F54" s="368">
        <f t="shared" ref="F54:F164" si="5">D54*E54</f>
        <v>3000000</v>
      </c>
      <c r="G54" s="2040">
        <v>3500000</v>
      </c>
      <c r="H54" s="2040" t="s">
        <v>1431</v>
      </c>
      <c r="I54" s="2159" t="s">
        <v>1474</v>
      </c>
      <c r="J54" s="2171" t="s">
        <v>1475</v>
      </c>
      <c r="K54" s="2040">
        <f>G54</f>
        <v>3500000</v>
      </c>
      <c r="L54" s="2040">
        <f>(F54+F55)-K54</f>
        <v>0</v>
      </c>
      <c r="M54" s="2101"/>
    </row>
    <row r="55" spans="1:13" ht="30" customHeight="1" x14ac:dyDescent="0.2">
      <c r="A55" s="690">
        <v>43</v>
      </c>
      <c r="B55" s="45" t="s">
        <v>1109</v>
      </c>
      <c r="C55" s="380" t="s">
        <v>916</v>
      </c>
      <c r="D55" s="368">
        <v>10000000</v>
      </c>
      <c r="E55" s="20">
        <v>0.05</v>
      </c>
      <c r="F55" s="368">
        <f>D55*E55</f>
        <v>500000</v>
      </c>
      <c r="G55" s="2042"/>
      <c r="H55" s="2042"/>
      <c r="I55" s="2160"/>
      <c r="J55" s="2173"/>
      <c r="K55" s="2042"/>
      <c r="L55" s="2042"/>
      <c r="M55" s="2102"/>
    </row>
    <row r="56" spans="1:13" ht="30" customHeight="1" x14ac:dyDescent="0.2">
      <c r="A56" s="690">
        <v>44</v>
      </c>
      <c r="B56" s="45" t="s">
        <v>187</v>
      </c>
      <c r="C56" s="380" t="s">
        <v>916</v>
      </c>
      <c r="D56" s="368">
        <v>150000000</v>
      </c>
      <c r="E56" s="20">
        <v>0.05</v>
      </c>
      <c r="F56" s="368">
        <f t="shared" si="5"/>
        <v>7500000</v>
      </c>
      <c r="G56" s="368">
        <v>7500000</v>
      </c>
      <c r="H56" s="368" t="s">
        <v>1052</v>
      </c>
      <c r="I56" s="36" t="s">
        <v>1410</v>
      </c>
      <c r="J56" s="377" t="s">
        <v>1411</v>
      </c>
      <c r="K56" s="368">
        <f>G56</f>
        <v>7500000</v>
      </c>
      <c r="L56" s="368">
        <f t="shared" ref="L56:L165" si="6">F56-K56</f>
        <v>0</v>
      </c>
      <c r="M56" s="45"/>
    </row>
    <row r="57" spans="1:13" ht="30" customHeight="1" x14ac:dyDescent="0.2">
      <c r="A57" s="2031">
        <v>45</v>
      </c>
      <c r="B57" s="2029" t="s">
        <v>188</v>
      </c>
      <c r="C57" s="2149" t="s">
        <v>1350</v>
      </c>
      <c r="D57" s="2040">
        <v>1190000000</v>
      </c>
      <c r="E57" s="2037">
        <v>7.0000000000000007E-2</v>
      </c>
      <c r="F57" s="2040">
        <f t="shared" si="5"/>
        <v>83300000.000000015</v>
      </c>
      <c r="G57" s="368">
        <v>50000000</v>
      </c>
      <c r="H57" s="368" t="s">
        <v>1431</v>
      </c>
      <c r="I57" s="435" t="s">
        <v>1432</v>
      </c>
      <c r="J57" s="24" t="s">
        <v>949</v>
      </c>
      <c r="K57" s="2040">
        <f>G57+G58+G59</f>
        <v>83300000</v>
      </c>
      <c r="L57" s="2040">
        <f>F57-K57</f>
        <v>0</v>
      </c>
      <c r="M57" s="2101"/>
    </row>
    <row r="58" spans="1:13" ht="30" customHeight="1" x14ac:dyDescent="0.2">
      <c r="A58" s="2034"/>
      <c r="B58" s="2033"/>
      <c r="C58" s="2158"/>
      <c r="D58" s="2041"/>
      <c r="E58" s="2038"/>
      <c r="F58" s="2041"/>
      <c r="G58" s="460">
        <v>20000000</v>
      </c>
      <c r="H58" s="460" t="s">
        <v>1566</v>
      </c>
      <c r="I58" s="472" t="s">
        <v>1656</v>
      </c>
      <c r="J58" s="24" t="s">
        <v>949</v>
      </c>
      <c r="K58" s="2041"/>
      <c r="L58" s="2041"/>
      <c r="M58" s="2222"/>
    </row>
    <row r="59" spans="1:13" ht="30" customHeight="1" x14ac:dyDescent="0.2">
      <c r="A59" s="2032"/>
      <c r="B59" s="2030"/>
      <c r="C59" s="2150"/>
      <c r="D59" s="2042"/>
      <c r="E59" s="2039"/>
      <c r="F59" s="2042"/>
      <c r="G59" s="460">
        <v>13300000</v>
      </c>
      <c r="H59" s="460" t="s">
        <v>1713</v>
      </c>
      <c r="I59" s="505" t="s">
        <v>1723</v>
      </c>
      <c r="J59" s="24" t="s">
        <v>949</v>
      </c>
      <c r="K59" s="2042"/>
      <c r="L59" s="2042"/>
      <c r="M59" s="2102"/>
    </row>
    <row r="60" spans="1:13" ht="30" customHeight="1" x14ac:dyDescent="0.2">
      <c r="A60" s="2031">
        <v>46</v>
      </c>
      <c r="B60" s="2029" t="s">
        <v>189</v>
      </c>
      <c r="C60" s="2149" t="s">
        <v>1112</v>
      </c>
      <c r="D60" s="389"/>
      <c r="E60" s="392"/>
      <c r="F60" s="460"/>
      <c r="G60" s="390">
        <v>9000000</v>
      </c>
      <c r="H60" s="390" t="s">
        <v>926</v>
      </c>
      <c r="I60" s="526" t="s">
        <v>1384</v>
      </c>
      <c r="J60" s="24" t="s">
        <v>1106</v>
      </c>
      <c r="K60" s="399"/>
      <c r="L60" s="399"/>
      <c r="M60" s="431" t="s">
        <v>1385</v>
      </c>
    </row>
    <row r="61" spans="1:13" ht="30" customHeight="1" x14ac:dyDescent="0.2">
      <c r="A61" s="2034"/>
      <c r="B61" s="2033"/>
      <c r="C61" s="2158"/>
      <c r="D61" s="2157">
        <v>1200000000</v>
      </c>
      <c r="E61" s="2262">
        <v>0.08</v>
      </c>
      <c r="F61" s="2157">
        <f>D61*E61</f>
        <v>96000000</v>
      </c>
      <c r="G61" s="510">
        <v>90000000</v>
      </c>
      <c r="H61" s="510" t="s">
        <v>1756</v>
      </c>
      <c r="I61" s="517" t="s">
        <v>1794</v>
      </c>
      <c r="J61" s="24" t="s">
        <v>1106</v>
      </c>
      <c r="K61" s="2040">
        <f>G61+G62</f>
        <v>96000000</v>
      </c>
      <c r="L61" s="2040">
        <f>F61-K61</f>
        <v>0</v>
      </c>
      <c r="M61" s="2243" t="s">
        <v>1815</v>
      </c>
    </row>
    <row r="62" spans="1:13" ht="30" customHeight="1" x14ac:dyDescent="0.2">
      <c r="A62" s="2034"/>
      <c r="B62" s="2033"/>
      <c r="C62" s="2158"/>
      <c r="D62" s="2157"/>
      <c r="E62" s="2262"/>
      <c r="F62" s="2157"/>
      <c r="G62" s="520">
        <v>6000000</v>
      </c>
      <c r="H62" s="2040" t="s">
        <v>1804</v>
      </c>
      <c r="I62" s="2175" t="s">
        <v>1816</v>
      </c>
      <c r="J62" s="2128" t="s">
        <v>1817</v>
      </c>
      <c r="K62" s="2041"/>
      <c r="L62" s="2042"/>
      <c r="M62" s="2243"/>
    </row>
    <row r="63" spans="1:13" ht="30" customHeight="1" x14ac:dyDescent="0.2">
      <c r="A63" s="2034"/>
      <c r="B63" s="2033"/>
      <c r="C63" s="2158"/>
      <c r="D63" s="2040"/>
      <c r="E63" s="2037"/>
      <c r="F63" s="2040"/>
      <c r="G63" s="520">
        <v>24000000</v>
      </c>
      <c r="H63" s="2042"/>
      <c r="I63" s="2176"/>
      <c r="J63" s="2129"/>
      <c r="K63" s="2040">
        <f>G61+G62+G63+G64</f>
        <v>136500000</v>
      </c>
      <c r="L63" s="2040">
        <f>136500000-K63</f>
        <v>0</v>
      </c>
      <c r="M63" s="2188" t="s">
        <v>1819</v>
      </c>
    </row>
    <row r="64" spans="1:13" ht="30" customHeight="1" x14ac:dyDescent="0.2">
      <c r="A64" s="2032"/>
      <c r="B64" s="2030"/>
      <c r="C64" s="2150"/>
      <c r="D64" s="2042"/>
      <c r="E64" s="2039"/>
      <c r="F64" s="2042"/>
      <c r="G64" s="520">
        <v>16500000</v>
      </c>
      <c r="H64" s="520" t="s">
        <v>1804</v>
      </c>
      <c r="I64" s="526" t="s">
        <v>1818</v>
      </c>
      <c r="J64" s="524" t="s">
        <v>1106</v>
      </c>
      <c r="K64" s="2042"/>
      <c r="L64" s="2042"/>
      <c r="M64" s="2190"/>
    </row>
    <row r="65" spans="1:13" ht="30" customHeight="1" x14ac:dyDescent="0.2">
      <c r="A65" s="2031">
        <v>47</v>
      </c>
      <c r="B65" s="2101" t="s">
        <v>190</v>
      </c>
      <c r="C65" s="2149" t="s">
        <v>1110</v>
      </c>
      <c r="D65" s="368">
        <v>20000000</v>
      </c>
      <c r="E65" s="20">
        <v>0.05</v>
      </c>
      <c r="F65" s="368">
        <f t="shared" si="5"/>
        <v>1000000</v>
      </c>
      <c r="G65" s="368">
        <v>1000000</v>
      </c>
      <c r="H65" s="368" t="s">
        <v>1566</v>
      </c>
      <c r="I65" s="374" t="s">
        <v>1631</v>
      </c>
      <c r="J65" s="472" t="s">
        <v>1630</v>
      </c>
      <c r="K65" s="368">
        <f>G65</f>
        <v>1000000</v>
      </c>
      <c r="L65" s="368">
        <f t="shared" si="6"/>
        <v>0</v>
      </c>
      <c r="M65" s="2101"/>
    </row>
    <row r="66" spans="1:13" ht="30" customHeight="1" x14ac:dyDescent="0.2">
      <c r="A66" s="2032"/>
      <c r="B66" s="2102"/>
      <c r="C66" s="2150"/>
      <c r="D66" s="986">
        <v>20000000</v>
      </c>
      <c r="E66" s="998">
        <v>0.05</v>
      </c>
      <c r="F66" s="986">
        <f t="shared" ref="F66" si="7">D66*E66</f>
        <v>1000000</v>
      </c>
      <c r="G66" s="986">
        <v>1000000</v>
      </c>
      <c r="H66" s="986" t="s">
        <v>2626</v>
      </c>
      <c r="I66" s="995" t="s">
        <v>2641</v>
      </c>
      <c r="J66" s="1002" t="s">
        <v>1630</v>
      </c>
      <c r="K66" s="986">
        <f>G66</f>
        <v>1000000</v>
      </c>
      <c r="L66" s="986">
        <f t="shared" si="6"/>
        <v>0</v>
      </c>
      <c r="M66" s="2102"/>
    </row>
    <row r="67" spans="1:13" ht="30" customHeight="1" x14ac:dyDescent="0.2">
      <c r="A67" s="387">
        <v>48</v>
      </c>
      <c r="B67" s="45" t="s">
        <v>1712</v>
      </c>
      <c r="C67" s="380" t="s">
        <v>1112</v>
      </c>
      <c r="D67" s="368">
        <v>100000000</v>
      </c>
      <c r="E67" s="20">
        <v>0.05</v>
      </c>
      <c r="F67" s="368">
        <f t="shared" si="5"/>
        <v>5000000</v>
      </c>
      <c r="G67" s="368">
        <v>5000000</v>
      </c>
      <c r="H67" s="368" t="s">
        <v>1477</v>
      </c>
      <c r="I67" s="374" t="s">
        <v>1484</v>
      </c>
      <c r="J67" s="24" t="s">
        <v>1080</v>
      </c>
      <c r="K67" s="368">
        <f>G67</f>
        <v>5000000</v>
      </c>
      <c r="L67" s="368">
        <f t="shared" si="6"/>
        <v>0</v>
      </c>
      <c r="M67" s="45"/>
    </row>
    <row r="68" spans="1:13" ht="30" customHeight="1" x14ac:dyDescent="0.2">
      <c r="A68" s="690">
        <v>49</v>
      </c>
      <c r="B68" s="45" t="s">
        <v>192</v>
      </c>
      <c r="C68" s="380" t="s">
        <v>1350</v>
      </c>
      <c r="D68" s="368">
        <v>230000000</v>
      </c>
      <c r="E68" s="20">
        <v>0.05</v>
      </c>
      <c r="F68" s="368">
        <f t="shared" si="5"/>
        <v>11500000</v>
      </c>
      <c r="G68" s="368">
        <v>11500000</v>
      </c>
      <c r="H68" s="368" t="s">
        <v>926</v>
      </c>
      <c r="I68" s="36" t="s">
        <v>1401</v>
      </c>
      <c r="J68" s="24" t="s">
        <v>1082</v>
      </c>
      <c r="K68" s="368">
        <f>G68</f>
        <v>11500000</v>
      </c>
      <c r="L68" s="368">
        <f t="shared" si="6"/>
        <v>0</v>
      </c>
      <c r="M68" s="45"/>
    </row>
    <row r="69" spans="1:13" ht="30" customHeight="1" x14ac:dyDescent="0.2">
      <c r="A69" s="2031">
        <v>50</v>
      </c>
      <c r="B69" s="2101" t="s">
        <v>193</v>
      </c>
      <c r="C69" s="2149"/>
      <c r="D69" s="390">
        <v>350000000</v>
      </c>
      <c r="E69" s="20">
        <v>0.05</v>
      </c>
      <c r="F69" s="390">
        <f t="shared" si="5"/>
        <v>17500000</v>
      </c>
      <c r="G69" s="390">
        <v>17500000</v>
      </c>
      <c r="H69" s="390" t="s">
        <v>926</v>
      </c>
      <c r="I69" s="403" t="s">
        <v>1386</v>
      </c>
      <c r="J69" s="24" t="s">
        <v>1387</v>
      </c>
      <c r="K69" s="390">
        <f>G69</f>
        <v>17500000</v>
      </c>
      <c r="L69" s="390">
        <f t="shared" si="6"/>
        <v>0</v>
      </c>
      <c r="M69" s="103" t="s">
        <v>2633</v>
      </c>
    </row>
    <row r="70" spans="1:13" ht="30" customHeight="1" x14ac:dyDescent="0.2">
      <c r="A70" s="2034"/>
      <c r="B70" s="2222"/>
      <c r="C70" s="2158"/>
      <c r="D70" s="2040">
        <v>350000000</v>
      </c>
      <c r="E70" s="2037">
        <v>0.05</v>
      </c>
      <c r="F70" s="2040">
        <f>D70*E70</f>
        <v>17500000</v>
      </c>
      <c r="G70" s="994">
        <v>6000000</v>
      </c>
      <c r="H70" s="994" t="s">
        <v>2626</v>
      </c>
      <c r="I70" s="423" t="s">
        <v>2630</v>
      </c>
      <c r="J70" s="24" t="s">
        <v>1387</v>
      </c>
      <c r="K70" s="2040">
        <f>G70+G71</f>
        <v>17500000</v>
      </c>
      <c r="L70" s="2040">
        <f t="shared" si="6"/>
        <v>0</v>
      </c>
      <c r="M70" s="2051" t="s">
        <v>2632</v>
      </c>
    </row>
    <row r="71" spans="1:13" ht="30" customHeight="1" x14ac:dyDescent="0.2">
      <c r="A71" s="2032"/>
      <c r="B71" s="2102"/>
      <c r="C71" s="2150"/>
      <c r="D71" s="2042"/>
      <c r="E71" s="2039"/>
      <c r="F71" s="2042"/>
      <c r="G71" s="994">
        <v>11500000</v>
      </c>
      <c r="H71" s="994" t="s">
        <v>2626</v>
      </c>
      <c r="I71" s="423" t="s">
        <v>2631</v>
      </c>
      <c r="J71" s="24" t="s">
        <v>1387</v>
      </c>
      <c r="K71" s="2042"/>
      <c r="L71" s="2042"/>
      <c r="M71" s="2052"/>
    </row>
    <row r="72" spans="1:13" ht="30" customHeight="1" x14ac:dyDescent="0.2">
      <c r="A72" s="2031">
        <v>51</v>
      </c>
      <c r="B72" s="2029" t="s">
        <v>194</v>
      </c>
      <c r="C72" s="2149" t="s">
        <v>916</v>
      </c>
      <c r="D72" s="377">
        <v>111000000</v>
      </c>
      <c r="E72" s="20">
        <v>4.4999999999999998E-2</v>
      </c>
      <c r="F72" s="377">
        <v>5000000</v>
      </c>
      <c r="G72" s="2154" t="s">
        <v>2576</v>
      </c>
      <c r="H72" s="2155"/>
      <c r="I72" s="2155"/>
      <c r="J72" s="2155"/>
      <c r="K72" s="2156"/>
      <c r="L72" s="377">
        <f>F72-K72</f>
        <v>5000000</v>
      </c>
      <c r="M72" s="45" t="s">
        <v>2605</v>
      </c>
    </row>
    <row r="73" spans="1:13" ht="30" customHeight="1" x14ac:dyDescent="0.2">
      <c r="A73" s="2032"/>
      <c r="B73" s="2030"/>
      <c r="C73" s="2150"/>
      <c r="D73" s="923">
        <v>260000000</v>
      </c>
      <c r="E73" s="924">
        <f>F73/D73</f>
        <v>5.5769230769230772E-2</v>
      </c>
      <c r="F73" s="923">
        <v>14500000</v>
      </c>
      <c r="G73" s="2192" t="s">
        <v>2567</v>
      </c>
      <c r="H73" s="2193"/>
      <c r="I73" s="2193"/>
      <c r="J73" s="2193"/>
      <c r="K73" s="2194"/>
      <c r="L73" s="923">
        <f>F73-K73</f>
        <v>14500000</v>
      </c>
      <c r="M73" s="925" t="s">
        <v>2568</v>
      </c>
    </row>
    <row r="74" spans="1:13" ht="30" customHeight="1" x14ac:dyDescent="0.2">
      <c r="A74" s="2031">
        <v>52</v>
      </c>
      <c r="B74" s="2088" t="s">
        <v>195</v>
      </c>
      <c r="C74" s="713" t="s">
        <v>1352</v>
      </c>
      <c r="D74" s="696">
        <v>60000000</v>
      </c>
      <c r="E74" s="44">
        <f>F74/D74</f>
        <v>7.0000000000000007E-2</v>
      </c>
      <c r="F74" s="696">
        <v>4200000</v>
      </c>
      <c r="G74" s="2240" t="s">
        <v>2150</v>
      </c>
      <c r="H74" s="2241"/>
      <c r="I74" s="2241"/>
      <c r="J74" s="2241"/>
      <c r="K74" s="2242"/>
      <c r="L74" s="696">
        <f t="shared" si="6"/>
        <v>4200000</v>
      </c>
      <c r="M74" s="45" t="s">
        <v>1588</v>
      </c>
    </row>
    <row r="75" spans="1:13" ht="30" customHeight="1" x14ac:dyDescent="0.2">
      <c r="A75" s="2032"/>
      <c r="B75" s="2089"/>
      <c r="C75" s="714"/>
      <c r="D75" s="696">
        <v>20000000</v>
      </c>
      <c r="E75" s="44"/>
      <c r="F75" s="696"/>
      <c r="G75" s="2248" t="s">
        <v>2151</v>
      </c>
      <c r="H75" s="2249"/>
      <c r="I75" s="2249"/>
      <c r="J75" s="2249"/>
      <c r="K75" s="2249"/>
      <c r="L75" s="2250"/>
      <c r="M75" s="45"/>
    </row>
    <row r="76" spans="1:13" ht="30" customHeight="1" x14ac:dyDescent="0.2">
      <c r="A76" s="2031">
        <v>53</v>
      </c>
      <c r="B76" s="2029" t="s">
        <v>196</v>
      </c>
      <c r="C76" s="2149" t="s">
        <v>1349</v>
      </c>
      <c r="D76" s="807">
        <v>350000000</v>
      </c>
      <c r="E76" s="809">
        <v>7.0000000000000007E-2</v>
      </c>
      <c r="F76" s="807">
        <f t="shared" si="5"/>
        <v>24500000.000000004</v>
      </c>
      <c r="G76" s="805">
        <v>24500000</v>
      </c>
      <c r="H76" s="2040" t="s">
        <v>2184</v>
      </c>
      <c r="I76" s="2159" t="s">
        <v>2193</v>
      </c>
      <c r="J76" s="2128" t="s">
        <v>1927</v>
      </c>
      <c r="K76" s="804">
        <f>G76</f>
        <v>24500000</v>
      </c>
      <c r="L76" s="807">
        <f>F76-K76</f>
        <v>0</v>
      </c>
      <c r="M76" s="2128" t="s">
        <v>2097</v>
      </c>
    </row>
    <row r="77" spans="1:13" ht="30" customHeight="1" x14ac:dyDescent="0.2">
      <c r="A77" s="2034"/>
      <c r="B77" s="2033"/>
      <c r="C77" s="2158"/>
      <c r="D77" s="2040">
        <v>3200000</v>
      </c>
      <c r="E77" s="2115" t="s">
        <v>2401</v>
      </c>
      <c r="F77" s="2116"/>
      <c r="G77" s="807">
        <v>500000</v>
      </c>
      <c r="H77" s="2042"/>
      <c r="I77" s="2160"/>
      <c r="J77" s="2129"/>
      <c r="K77" s="2157">
        <f>G77+G78</f>
        <v>3200000</v>
      </c>
      <c r="L77" s="2157">
        <f>(G78+G77)-K77</f>
        <v>0</v>
      </c>
      <c r="M77" s="2237"/>
    </row>
    <row r="78" spans="1:13" ht="30" customHeight="1" x14ac:dyDescent="0.2">
      <c r="A78" s="2034"/>
      <c r="B78" s="2033"/>
      <c r="C78" s="2158"/>
      <c r="D78" s="2042"/>
      <c r="E78" s="2117"/>
      <c r="F78" s="2118"/>
      <c r="G78" s="807">
        <v>2700000</v>
      </c>
      <c r="H78" s="2040" t="s">
        <v>2396</v>
      </c>
      <c r="I78" s="2159" t="s">
        <v>2403</v>
      </c>
      <c r="J78" s="2128" t="s">
        <v>1927</v>
      </c>
      <c r="K78" s="2157"/>
      <c r="L78" s="2157"/>
      <c r="M78" s="2237"/>
    </row>
    <row r="79" spans="1:13" ht="30" customHeight="1" x14ac:dyDescent="0.2">
      <c r="A79" s="2034"/>
      <c r="B79" s="2033"/>
      <c r="C79" s="2158"/>
      <c r="D79" s="2040">
        <v>30000000</v>
      </c>
      <c r="E79" s="2115" t="s">
        <v>2402</v>
      </c>
      <c r="F79" s="2116"/>
      <c r="G79" s="807">
        <v>20000000</v>
      </c>
      <c r="H79" s="2042"/>
      <c r="I79" s="2160"/>
      <c r="J79" s="2129"/>
      <c r="K79" s="2040">
        <f>G79+G80</f>
        <v>20000000</v>
      </c>
      <c r="L79" s="2040">
        <f>D79-K79</f>
        <v>10000000</v>
      </c>
      <c r="M79" s="2237"/>
    </row>
    <row r="80" spans="1:13" ht="30" customHeight="1" x14ac:dyDescent="0.2">
      <c r="A80" s="2032"/>
      <c r="B80" s="2030"/>
      <c r="C80" s="2150"/>
      <c r="D80" s="2042"/>
      <c r="E80" s="2117"/>
      <c r="F80" s="2118"/>
      <c r="G80" s="807"/>
      <c r="H80" s="807"/>
      <c r="I80" s="424"/>
      <c r="J80" s="810"/>
      <c r="K80" s="2042"/>
      <c r="L80" s="2042"/>
      <c r="M80" s="2129"/>
    </row>
    <row r="81" spans="1:13" ht="30" customHeight="1" x14ac:dyDescent="0.2">
      <c r="A81" s="2031">
        <v>54</v>
      </c>
      <c r="B81" s="2029" t="s">
        <v>1090</v>
      </c>
      <c r="C81" s="2149"/>
      <c r="D81" s="368">
        <v>35000000</v>
      </c>
      <c r="E81" s="393">
        <v>7.1999999999999995E-2</v>
      </c>
      <c r="F81" s="368">
        <v>2500000</v>
      </c>
      <c r="G81" s="2040">
        <v>3500000</v>
      </c>
      <c r="H81" s="2040" t="s">
        <v>1566</v>
      </c>
      <c r="I81" s="2159" t="s">
        <v>1671</v>
      </c>
      <c r="J81" s="2128" t="s">
        <v>1672</v>
      </c>
      <c r="K81" s="2040">
        <f>G81</f>
        <v>3500000</v>
      </c>
      <c r="L81" s="2040">
        <f>(F81+F82)-K81</f>
        <v>0</v>
      </c>
      <c r="M81" s="2101"/>
    </row>
    <row r="82" spans="1:13" ht="30" customHeight="1" x14ac:dyDescent="0.2">
      <c r="A82" s="2034"/>
      <c r="B82" s="2033"/>
      <c r="C82" s="2158"/>
      <c r="D82" s="368">
        <v>13000000</v>
      </c>
      <c r="E82" s="20">
        <v>7.6999999999999999E-2</v>
      </c>
      <c r="F82" s="368">
        <v>1000000</v>
      </c>
      <c r="G82" s="2042"/>
      <c r="H82" s="2042"/>
      <c r="I82" s="2160"/>
      <c r="J82" s="2129"/>
      <c r="K82" s="2042"/>
      <c r="L82" s="2042"/>
      <c r="M82" s="2102"/>
    </row>
    <row r="83" spans="1:13" ht="30" customHeight="1" x14ac:dyDescent="0.2">
      <c r="A83" s="2034"/>
      <c r="B83" s="2033"/>
      <c r="C83" s="2158"/>
      <c r="D83" s="986">
        <v>35000000</v>
      </c>
      <c r="E83" s="989">
        <v>7.1999999999999995E-2</v>
      </c>
      <c r="F83" s="986">
        <v>2500000</v>
      </c>
      <c r="G83" s="2040">
        <v>3500000</v>
      </c>
      <c r="H83" s="2040" t="s">
        <v>2626</v>
      </c>
      <c r="I83" s="2159" t="s">
        <v>2642</v>
      </c>
      <c r="J83" s="2128" t="s">
        <v>2643</v>
      </c>
      <c r="K83" s="2040">
        <f>G83</f>
        <v>3500000</v>
      </c>
      <c r="L83" s="2040">
        <f>G83-K83</f>
        <v>0</v>
      </c>
      <c r="M83" s="997"/>
    </row>
    <row r="84" spans="1:13" ht="30" customHeight="1" x14ac:dyDescent="0.2">
      <c r="A84" s="2032"/>
      <c r="B84" s="2030"/>
      <c r="C84" s="2150"/>
      <c r="D84" s="986">
        <v>13000000</v>
      </c>
      <c r="E84" s="998">
        <v>7.6999999999999999E-2</v>
      </c>
      <c r="F84" s="986">
        <v>1000000</v>
      </c>
      <c r="G84" s="2042"/>
      <c r="H84" s="2042"/>
      <c r="I84" s="2160"/>
      <c r="J84" s="2129"/>
      <c r="K84" s="2042"/>
      <c r="L84" s="2042"/>
      <c r="M84" s="997"/>
    </row>
    <row r="85" spans="1:13" ht="30" customHeight="1" x14ac:dyDescent="0.2">
      <c r="A85" s="2031">
        <v>55</v>
      </c>
      <c r="B85" s="2029" t="s">
        <v>2668</v>
      </c>
      <c r="C85" s="2149" t="s">
        <v>1350</v>
      </c>
      <c r="D85" s="664">
        <v>175000000</v>
      </c>
      <c r="E85" s="670">
        <v>0.52</v>
      </c>
      <c r="F85" s="664">
        <v>9000000</v>
      </c>
      <c r="G85" s="2157">
        <v>16500000</v>
      </c>
      <c r="H85" s="2157" t="s">
        <v>926</v>
      </c>
      <c r="I85" s="2257" t="s">
        <v>1390</v>
      </c>
      <c r="J85" s="2258" t="s">
        <v>1391</v>
      </c>
      <c r="K85" s="2157">
        <f>G85</f>
        <v>16500000</v>
      </c>
      <c r="L85" s="2157">
        <f>(F85+F86)-K85</f>
        <v>0</v>
      </c>
      <c r="M85" s="686" t="s">
        <v>1113</v>
      </c>
    </row>
    <row r="86" spans="1:13" ht="30" customHeight="1" x14ac:dyDescent="0.2">
      <c r="A86" s="2034"/>
      <c r="B86" s="2033"/>
      <c r="C86" s="2158"/>
      <c r="D86" s="657">
        <f>85000000+20000000</f>
        <v>105000000</v>
      </c>
      <c r="E86" s="655">
        <v>7.0000000000000007E-2</v>
      </c>
      <c r="F86" s="657">
        <v>7500000</v>
      </c>
      <c r="G86" s="2157"/>
      <c r="H86" s="2157"/>
      <c r="I86" s="2257"/>
      <c r="J86" s="2258"/>
      <c r="K86" s="2157"/>
      <c r="L86" s="2157"/>
      <c r="M86" s="192" t="s">
        <v>2055</v>
      </c>
    </row>
    <row r="87" spans="1:13" ht="30" customHeight="1" x14ac:dyDescent="0.2">
      <c r="A87" s="2032"/>
      <c r="B87" s="2030"/>
      <c r="C87" s="2150"/>
      <c r="D87" s="664">
        <v>35000000</v>
      </c>
      <c r="E87" s="670">
        <v>0.05</v>
      </c>
      <c r="F87" s="664">
        <f>D87*E87</f>
        <v>1750000</v>
      </c>
      <c r="G87" s="2200" t="s">
        <v>2089</v>
      </c>
      <c r="H87" s="2201"/>
      <c r="I87" s="2201"/>
      <c r="J87" s="2201"/>
      <c r="K87" s="2201"/>
      <c r="L87" s="2202"/>
      <c r="M87" s="33" t="s">
        <v>2056</v>
      </c>
    </row>
    <row r="88" spans="1:13" ht="30" customHeight="1" x14ac:dyDescent="0.2">
      <c r="A88" s="2031">
        <v>56</v>
      </c>
      <c r="B88" s="2029" t="s">
        <v>36</v>
      </c>
      <c r="C88" s="2149" t="s">
        <v>1350</v>
      </c>
      <c r="D88" s="2040">
        <v>3284000000</v>
      </c>
      <c r="E88" s="2037">
        <v>7.0000000000000007E-2</v>
      </c>
      <c r="F88" s="2040">
        <v>229880000</v>
      </c>
      <c r="G88" s="399">
        <v>27070000</v>
      </c>
      <c r="H88" s="2040" t="s">
        <v>1052</v>
      </c>
      <c r="I88" s="2251" t="s">
        <v>1413</v>
      </c>
      <c r="J88" s="2128" t="s">
        <v>707</v>
      </c>
      <c r="K88" s="2040">
        <f>G88+G89</f>
        <v>50000000</v>
      </c>
      <c r="L88" s="2040">
        <f>F88-(G89+G90+G91+G92+G93+G94)</f>
        <v>2140000</v>
      </c>
      <c r="M88" s="103" t="s">
        <v>1412</v>
      </c>
    </row>
    <row r="89" spans="1:13" ht="30" customHeight="1" x14ac:dyDescent="0.2">
      <c r="A89" s="2034"/>
      <c r="B89" s="2033"/>
      <c r="C89" s="2158"/>
      <c r="D89" s="2041"/>
      <c r="E89" s="2038"/>
      <c r="F89" s="2041"/>
      <c r="G89" s="390">
        <v>22930000</v>
      </c>
      <c r="H89" s="2042"/>
      <c r="I89" s="2252"/>
      <c r="J89" s="2129"/>
      <c r="K89" s="2042"/>
      <c r="L89" s="2041"/>
      <c r="M89" s="2244"/>
    </row>
    <row r="90" spans="1:13" ht="30" customHeight="1" x14ac:dyDescent="0.2">
      <c r="A90" s="2034"/>
      <c r="B90" s="2033"/>
      <c r="C90" s="2158"/>
      <c r="D90" s="2041"/>
      <c r="E90" s="2038"/>
      <c r="F90" s="2041"/>
      <c r="G90" s="411">
        <v>50000000</v>
      </c>
      <c r="H90" s="411" t="s">
        <v>1477</v>
      </c>
      <c r="I90" s="419" t="s">
        <v>1509</v>
      </c>
      <c r="J90" s="24" t="s">
        <v>707</v>
      </c>
      <c r="K90" s="2040">
        <f>G89+G90+G91+G92+G93+G94</f>
        <v>227740000</v>
      </c>
      <c r="L90" s="2041"/>
      <c r="M90" s="2245"/>
    </row>
    <row r="91" spans="1:13" ht="30" customHeight="1" x14ac:dyDescent="0.2">
      <c r="A91" s="2034"/>
      <c r="B91" s="2033"/>
      <c r="C91" s="2158"/>
      <c r="D91" s="2041"/>
      <c r="E91" s="2038"/>
      <c r="F91" s="2041"/>
      <c r="G91" s="500">
        <v>50000000</v>
      </c>
      <c r="H91" s="500" t="s">
        <v>1691</v>
      </c>
      <c r="I91" s="505" t="s">
        <v>1771</v>
      </c>
      <c r="J91" s="24" t="s">
        <v>707</v>
      </c>
      <c r="K91" s="2041"/>
      <c r="L91" s="2041"/>
      <c r="M91" s="2245"/>
    </row>
    <row r="92" spans="1:13" ht="30" customHeight="1" x14ac:dyDescent="0.2">
      <c r="A92" s="2034"/>
      <c r="B92" s="2033"/>
      <c r="C92" s="2158"/>
      <c r="D92" s="2041"/>
      <c r="E92" s="2038"/>
      <c r="F92" s="2041"/>
      <c r="G92" s="538">
        <v>50000000</v>
      </c>
      <c r="H92" s="538" t="s">
        <v>1835</v>
      </c>
      <c r="I92" s="541" t="s">
        <v>1840</v>
      </c>
      <c r="J92" s="24" t="s">
        <v>707</v>
      </c>
      <c r="K92" s="2041"/>
      <c r="L92" s="2041"/>
      <c r="M92" s="2245"/>
    </row>
    <row r="93" spans="1:13" ht="30" customHeight="1" x14ac:dyDescent="0.2">
      <c r="A93" s="2034"/>
      <c r="B93" s="2033"/>
      <c r="C93" s="2158"/>
      <c r="D93" s="2041"/>
      <c r="E93" s="2038"/>
      <c r="F93" s="2041"/>
      <c r="G93" s="546">
        <v>50000000</v>
      </c>
      <c r="H93" s="546" t="s">
        <v>1852</v>
      </c>
      <c r="I93" s="553" t="s">
        <v>2088</v>
      </c>
      <c r="J93" s="24" t="s">
        <v>707</v>
      </c>
      <c r="K93" s="2041"/>
      <c r="L93" s="2041"/>
      <c r="M93" s="2245"/>
    </row>
    <row r="94" spans="1:13" ht="30" customHeight="1" x14ac:dyDescent="0.2">
      <c r="A94" s="2034"/>
      <c r="B94" s="2033"/>
      <c r="C94" s="2158"/>
      <c r="D94" s="2041"/>
      <c r="E94" s="2038"/>
      <c r="F94" s="2041"/>
      <c r="G94" s="500">
        <v>4810000</v>
      </c>
      <c r="H94" s="896" t="s">
        <v>2549</v>
      </c>
      <c r="I94" s="903" t="s">
        <v>2554</v>
      </c>
      <c r="J94" s="24" t="s">
        <v>707</v>
      </c>
      <c r="K94" s="2042"/>
      <c r="L94" s="2042"/>
      <c r="M94" s="2246"/>
    </row>
    <row r="95" spans="1:13" ht="30" customHeight="1" x14ac:dyDescent="0.2">
      <c r="A95" s="2032"/>
      <c r="B95" s="2030"/>
      <c r="C95" s="2150"/>
      <c r="D95" s="2042"/>
      <c r="E95" s="2039"/>
      <c r="F95" s="2042"/>
      <c r="G95" s="896"/>
      <c r="H95" s="896"/>
      <c r="I95" s="903"/>
      <c r="J95" s="24"/>
      <c r="K95" s="896"/>
      <c r="L95" s="896"/>
      <c r="M95" s="904"/>
    </row>
    <row r="96" spans="1:13" ht="30" customHeight="1" x14ac:dyDescent="0.2">
      <c r="A96" s="386">
        <v>57</v>
      </c>
      <c r="B96" s="364" t="s">
        <v>1107</v>
      </c>
      <c r="C96" s="380" t="s">
        <v>1353</v>
      </c>
      <c r="D96" s="368">
        <v>317000000</v>
      </c>
      <c r="E96" s="367">
        <v>7.0000000000000007E-2</v>
      </c>
      <c r="F96" s="368">
        <f>D96*E96</f>
        <v>22190000.000000004</v>
      </c>
      <c r="G96" s="390">
        <v>22190000</v>
      </c>
      <c r="H96" s="390" t="s">
        <v>2549</v>
      </c>
      <c r="I96" s="36" t="s">
        <v>2554</v>
      </c>
      <c r="J96" s="24" t="s">
        <v>707</v>
      </c>
      <c r="K96" s="390">
        <f>G96</f>
        <v>22190000</v>
      </c>
      <c r="L96" s="390">
        <f>F96-K96</f>
        <v>0</v>
      </c>
      <c r="M96" s="370"/>
    </row>
    <row r="97" spans="1:13" ht="30" customHeight="1" x14ac:dyDescent="0.2">
      <c r="A97" s="386">
        <v>58</v>
      </c>
      <c r="B97" s="45" t="s">
        <v>1094</v>
      </c>
      <c r="C97" s="380"/>
      <c r="D97" s="368">
        <v>11000000</v>
      </c>
      <c r="E97" s="20">
        <v>5.5E-2</v>
      </c>
      <c r="F97" s="368">
        <v>600000</v>
      </c>
      <c r="G97" s="368">
        <v>600000</v>
      </c>
      <c r="H97" s="368" t="s">
        <v>1835</v>
      </c>
      <c r="I97" s="374" t="s">
        <v>1841</v>
      </c>
      <c r="J97" s="88" t="s">
        <v>1842</v>
      </c>
      <c r="K97" s="368">
        <f>G97</f>
        <v>600000</v>
      </c>
      <c r="L97" s="368">
        <f t="shared" si="6"/>
        <v>0</v>
      </c>
      <c r="M97" s="45"/>
    </row>
    <row r="98" spans="1:13" ht="30" customHeight="1" x14ac:dyDescent="0.2">
      <c r="A98" s="2031">
        <v>59</v>
      </c>
      <c r="B98" s="2029" t="s">
        <v>197</v>
      </c>
      <c r="C98" s="2149" t="s">
        <v>1350</v>
      </c>
      <c r="D98" s="368">
        <v>90000000</v>
      </c>
      <c r="E98" s="20">
        <v>0.05</v>
      </c>
      <c r="F98" s="368">
        <f t="shared" si="5"/>
        <v>4500000</v>
      </c>
      <c r="G98" s="1103"/>
      <c r="H98" s="1103"/>
      <c r="I98" s="845"/>
      <c r="J98" s="1110"/>
      <c r="K98" s="2080"/>
      <c r="L98" s="2040">
        <f t="shared" si="6"/>
        <v>4500000</v>
      </c>
      <c r="M98" s="2051" t="s">
        <v>2705</v>
      </c>
    </row>
    <row r="99" spans="1:13" ht="30" customHeight="1" x14ac:dyDescent="0.2">
      <c r="A99" s="2032"/>
      <c r="B99" s="2030"/>
      <c r="C99" s="2150"/>
      <c r="D99" s="368">
        <v>10000000</v>
      </c>
      <c r="E99" s="20">
        <v>7.0000000000000007E-2</v>
      </c>
      <c r="F99" s="368">
        <f t="shared" si="5"/>
        <v>700000.00000000012</v>
      </c>
      <c r="G99" s="2248" t="s">
        <v>1373</v>
      </c>
      <c r="H99" s="2249"/>
      <c r="I99" s="2249"/>
      <c r="J99" s="2250"/>
      <c r="K99" s="2081"/>
      <c r="L99" s="2042"/>
      <c r="M99" s="2052"/>
    </row>
    <row r="100" spans="1:13" ht="30" customHeight="1" x14ac:dyDescent="0.2">
      <c r="A100" s="1021">
        <v>60</v>
      </c>
      <c r="B100" s="1022" t="s">
        <v>1591</v>
      </c>
      <c r="C100" s="1015"/>
      <c r="D100" s="366"/>
      <c r="E100" s="44"/>
      <c r="F100" s="366">
        <f t="shared" si="5"/>
        <v>0</v>
      </c>
      <c r="G100" s="368">
        <v>10000000</v>
      </c>
      <c r="H100" s="368" t="s">
        <v>926</v>
      </c>
      <c r="I100" s="374" t="s">
        <v>1397</v>
      </c>
      <c r="J100" s="24" t="s">
        <v>1101</v>
      </c>
      <c r="K100" s="368">
        <f>G100</f>
        <v>10000000</v>
      </c>
      <c r="L100" s="391">
        <f t="shared" si="6"/>
        <v>-10000000</v>
      </c>
      <c r="M100" s="45" t="s">
        <v>2658</v>
      </c>
    </row>
    <row r="101" spans="1:13" ht="30" customHeight="1" x14ac:dyDescent="0.2">
      <c r="A101" s="362">
        <v>61</v>
      </c>
      <c r="B101" s="45" t="s">
        <v>199</v>
      </c>
      <c r="C101" s="380"/>
      <c r="D101" s="368">
        <v>100000000</v>
      </c>
      <c r="E101" s="20">
        <v>7.0000000000000007E-2</v>
      </c>
      <c r="F101" s="368">
        <f t="shared" si="5"/>
        <v>7000000.0000000009</v>
      </c>
      <c r="G101" s="538">
        <v>7000000</v>
      </c>
      <c r="H101" s="538" t="s">
        <v>1691</v>
      </c>
      <c r="I101" s="543" t="s">
        <v>1706</v>
      </c>
      <c r="J101" s="24" t="s">
        <v>1707</v>
      </c>
      <c r="K101" s="538">
        <f>G101</f>
        <v>7000000</v>
      </c>
      <c r="L101" s="368">
        <f t="shared" si="6"/>
        <v>0</v>
      </c>
      <c r="M101" s="45" t="s">
        <v>1851</v>
      </c>
    </row>
    <row r="102" spans="1:13" ht="30" customHeight="1" x14ac:dyDescent="0.2">
      <c r="A102" s="4">
        <v>62</v>
      </c>
      <c r="B102" s="45" t="s">
        <v>200</v>
      </c>
      <c r="C102" s="380"/>
      <c r="D102" s="366"/>
      <c r="E102" s="44"/>
      <c r="F102" s="366">
        <f t="shared" si="5"/>
        <v>0</v>
      </c>
      <c r="G102" s="368">
        <v>3250000</v>
      </c>
      <c r="H102" s="368" t="s">
        <v>2577</v>
      </c>
      <c r="I102" s="374" t="s">
        <v>2586</v>
      </c>
      <c r="J102" s="310" t="s">
        <v>2587</v>
      </c>
      <c r="K102" s="368">
        <f>G102</f>
        <v>3250000</v>
      </c>
      <c r="L102" s="366">
        <f t="shared" si="6"/>
        <v>-3250000</v>
      </c>
      <c r="M102" s="45"/>
    </row>
    <row r="103" spans="1:13" ht="30" customHeight="1" x14ac:dyDescent="0.2">
      <c r="A103" s="2031">
        <v>63</v>
      </c>
      <c r="B103" s="2029" t="s">
        <v>201</v>
      </c>
      <c r="C103" s="2149"/>
      <c r="D103" s="399">
        <v>1250000000</v>
      </c>
      <c r="E103" s="20">
        <f>F103/D103</f>
        <v>6.5000000000000002E-2</v>
      </c>
      <c r="F103" s="399">
        <v>81250000</v>
      </c>
      <c r="G103" s="399">
        <v>50000000</v>
      </c>
      <c r="H103" s="399" t="s">
        <v>1431</v>
      </c>
      <c r="I103" s="423" t="s">
        <v>1436</v>
      </c>
      <c r="J103" s="37" t="s">
        <v>950</v>
      </c>
      <c r="K103" s="416">
        <f>G103</f>
        <v>50000000</v>
      </c>
      <c r="L103" s="515">
        <f t="shared" si="6"/>
        <v>31250000</v>
      </c>
      <c r="M103" s="686" t="s">
        <v>1772</v>
      </c>
    </row>
    <row r="104" spans="1:13" ht="30" customHeight="1" x14ac:dyDescent="0.2">
      <c r="A104" s="2034"/>
      <c r="B104" s="2033"/>
      <c r="C104" s="2150"/>
      <c r="D104" s="510">
        <v>1300000000</v>
      </c>
      <c r="E104" s="509"/>
      <c r="F104" s="1012"/>
      <c r="G104" s="2154" t="s">
        <v>1773</v>
      </c>
      <c r="H104" s="2155"/>
      <c r="I104" s="2155"/>
      <c r="J104" s="2155"/>
      <c r="K104" s="2155"/>
      <c r="L104" s="2156"/>
      <c r="M104" s="192"/>
    </row>
    <row r="105" spans="1:13" ht="30" customHeight="1" x14ac:dyDescent="0.2">
      <c r="A105" s="2032"/>
      <c r="B105" s="2030"/>
      <c r="C105" s="1011"/>
      <c r="D105" s="1010">
        <v>1600000000</v>
      </c>
      <c r="E105" s="1009">
        <v>6.5000000000000002E-2</v>
      </c>
      <c r="F105" s="1010">
        <f>D105*E105</f>
        <v>104000000</v>
      </c>
      <c r="G105" s="1947" t="s">
        <v>2655</v>
      </c>
      <c r="H105" s="1948"/>
      <c r="I105" s="1948"/>
      <c r="J105" s="1948"/>
      <c r="K105" s="1948"/>
      <c r="L105" s="1949"/>
      <c r="M105" s="33"/>
    </row>
    <row r="106" spans="1:13" ht="30" customHeight="1" x14ac:dyDescent="0.2">
      <c r="A106" s="4">
        <v>64</v>
      </c>
      <c r="B106" s="388" t="s">
        <v>1408</v>
      </c>
      <c r="C106" s="380" t="s">
        <v>916</v>
      </c>
      <c r="D106" s="368">
        <v>200000000</v>
      </c>
      <c r="E106" s="393">
        <v>5.0999999999999997E-2</v>
      </c>
      <c r="F106" s="368">
        <f t="shared" si="5"/>
        <v>10200000</v>
      </c>
      <c r="G106" s="368">
        <v>10200000</v>
      </c>
      <c r="H106" s="368" t="s">
        <v>1052</v>
      </c>
      <c r="I106" s="36" t="s">
        <v>1406</v>
      </c>
      <c r="J106" s="24" t="s">
        <v>1407</v>
      </c>
      <c r="K106" s="368">
        <f>G106</f>
        <v>10200000</v>
      </c>
      <c r="L106" s="368">
        <f t="shared" si="6"/>
        <v>0</v>
      </c>
      <c r="M106" s="103" t="s">
        <v>1409</v>
      </c>
    </row>
    <row r="107" spans="1:13" ht="30" customHeight="1" x14ac:dyDescent="0.2">
      <c r="A107" s="387">
        <v>65</v>
      </c>
      <c r="B107" s="45" t="s">
        <v>203</v>
      </c>
      <c r="C107" s="380"/>
      <c r="D107" s="368">
        <v>300000000</v>
      </c>
      <c r="E107" s="20">
        <v>0.04</v>
      </c>
      <c r="F107" s="368">
        <f t="shared" si="5"/>
        <v>12000000</v>
      </c>
      <c r="G107" s="368"/>
      <c r="H107" s="368"/>
      <c r="I107" s="374"/>
      <c r="J107" s="24"/>
      <c r="K107" s="368"/>
      <c r="L107" s="368">
        <f t="shared" si="6"/>
        <v>12000000</v>
      </c>
      <c r="M107" s="45" t="s">
        <v>1615</v>
      </c>
    </row>
    <row r="108" spans="1:13" ht="30" customHeight="1" x14ac:dyDescent="0.2">
      <c r="A108" s="2031">
        <v>66</v>
      </c>
      <c r="B108" s="2029" t="s">
        <v>204</v>
      </c>
      <c r="C108" s="2149"/>
      <c r="D108" s="2080"/>
      <c r="E108" s="2082"/>
      <c r="F108" s="2080">
        <f t="shared" si="5"/>
        <v>0</v>
      </c>
      <c r="G108" s="368">
        <v>12860000</v>
      </c>
      <c r="H108" s="368" t="s">
        <v>1431</v>
      </c>
      <c r="I108" s="420" t="s">
        <v>1470</v>
      </c>
      <c r="J108" s="24" t="s">
        <v>957</v>
      </c>
      <c r="K108" s="2040">
        <f>G108+G109</f>
        <v>26000000</v>
      </c>
      <c r="L108" s="2080">
        <f t="shared" si="6"/>
        <v>-26000000</v>
      </c>
      <c r="M108" s="45"/>
    </row>
    <row r="109" spans="1:13" ht="30" customHeight="1" x14ac:dyDescent="0.2">
      <c r="A109" s="2032"/>
      <c r="B109" s="2030"/>
      <c r="C109" s="2150"/>
      <c r="D109" s="2081"/>
      <c r="E109" s="2083"/>
      <c r="F109" s="2081"/>
      <c r="G109" s="986">
        <v>13140000</v>
      </c>
      <c r="H109" s="990" t="s">
        <v>2626</v>
      </c>
      <c r="I109" s="999" t="s">
        <v>2628</v>
      </c>
      <c r="J109" s="427" t="s">
        <v>957</v>
      </c>
      <c r="K109" s="2042"/>
      <c r="L109" s="2081"/>
      <c r="M109" s="987" t="s">
        <v>2629</v>
      </c>
    </row>
    <row r="110" spans="1:13" ht="30" customHeight="1" x14ac:dyDescent="0.2">
      <c r="A110" s="2031">
        <v>67</v>
      </c>
      <c r="B110" s="2029" t="s">
        <v>183</v>
      </c>
      <c r="C110" s="2149"/>
      <c r="D110" s="658">
        <v>35000000</v>
      </c>
      <c r="E110" s="670">
        <v>0.08</v>
      </c>
      <c r="F110" s="658">
        <v>2750000</v>
      </c>
      <c r="G110" s="658">
        <v>2750000</v>
      </c>
      <c r="H110" s="2040" t="s">
        <v>1898</v>
      </c>
      <c r="I110" s="2159" t="s">
        <v>2110</v>
      </c>
      <c r="J110" s="2040" t="s">
        <v>2111</v>
      </c>
      <c r="K110" s="658">
        <f>G110</f>
        <v>2750000</v>
      </c>
      <c r="L110" s="658">
        <f t="shared" si="6"/>
        <v>0</v>
      </c>
      <c r="M110" s="2212" t="s">
        <v>2541</v>
      </c>
    </row>
    <row r="111" spans="1:13" ht="30" customHeight="1" x14ac:dyDescent="0.2">
      <c r="A111" s="2032"/>
      <c r="B111" s="2030"/>
      <c r="C111" s="2150"/>
      <c r="D111" s="1947" t="s">
        <v>2112</v>
      </c>
      <c r="E111" s="1948"/>
      <c r="F111" s="1949"/>
      <c r="G111" s="658">
        <v>35000000</v>
      </c>
      <c r="H111" s="2042"/>
      <c r="I111" s="2160"/>
      <c r="J111" s="2042"/>
      <c r="K111" s="658">
        <f>G111</f>
        <v>35000000</v>
      </c>
      <c r="L111" s="658">
        <f>G111-K111</f>
        <v>0</v>
      </c>
      <c r="M111" s="2213"/>
    </row>
    <row r="112" spans="1:13" ht="30" customHeight="1" x14ac:dyDescent="0.2">
      <c r="A112" s="4">
        <v>68</v>
      </c>
      <c r="B112" s="45" t="s">
        <v>205</v>
      </c>
      <c r="C112" s="380" t="s">
        <v>1350</v>
      </c>
      <c r="D112" s="368">
        <v>150000000</v>
      </c>
      <c r="E112" s="20">
        <v>0.05</v>
      </c>
      <c r="F112" s="368">
        <f t="shared" si="5"/>
        <v>7500000</v>
      </c>
      <c r="G112" s="368">
        <v>7500000</v>
      </c>
      <c r="H112" s="368" t="s">
        <v>1052</v>
      </c>
      <c r="I112" s="374" t="s">
        <v>1404</v>
      </c>
      <c r="J112" s="24" t="s">
        <v>961</v>
      </c>
      <c r="K112" s="368">
        <f>G112</f>
        <v>7500000</v>
      </c>
      <c r="L112" s="368">
        <f>F112-K112</f>
        <v>0</v>
      </c>
      <c r="M112" s="45"/>
    </row>
    <row r="113" spans="1:13" ht="30" customHeight="1" x14ac:dyDescent="0.2">
      <c r="A113" s="2031">
        <v>69</v>
      </c>
      <c r="B113" s="2029" t="s">
        <v>206</v>
      </c>
      <c r="C113" s="2266" t="s">
        <v>916</v>
      </c>
      <c r="D113" s="2157">
        <v>280000000</v>
      </c>
      <c r="E113" s="2262">
        <f>F113/D113</f>
        <v>7.0000000000000007E-2</v>
      </c>
      <c r="F113" s="2157">
        <v>19600000</v>
      </c>
      <c r="G113" s="368">
        <v>9500000</v>
      </c>
      <c r="H113" s="368" t="s">
        <v>1566</v>
      </c>
      <c r="I113" s="36" t="s">
        <v>1683</v>
      </c>
      <c r="J113" s="24" t="s">
        <v>1685</v>
      </c>
      <c r="K113" s="2040">
        <f>G113+G114</f>
        <v>19500000</v>
      </c>
      <c r="L113" s="2040">
        <f t="shared" si="6"/>
        <v>100000</v>
      </c>
      <c r="M113" s="2212" t="s">
        <v>1686</v>
      </c>
    </row>
    <row r="114" spans="1:13" ht="30" customHeight="1" x14ac:dyDescent="0.2">
      <c r="A114" s="2032"/>
      <c r="B114" s="2030"/>
      <c r="C114" s="2266"/>
      <c r="D114" s="2157"/>
      <c r="E114" s="2262"/>
      <c r="F114" s="2157"/>
      <c r="G114" s="500">
        <v>10000000</v>
      </c>
      <c r="H114" s="500" t="s">
        <v>1566</v>
      </c>
      <c r="I114" s="506" t="s">
        <v>1684</v>
      </c>
      <c r="J114" s="24" t="s">
        <v>1685</v>
      </c>
      <c r="K114" s="2042"/>
      <c r="L114" s="2042"/>
      <c r="M114" s="2213"/>
    </row>
    <row r="115" spans="1:13" ht="30" customHeight="1" x14ac:dyDescent="0.2">
      <c r="A115" s="4">
        <v>70</v>
      </c>
      <c r="B115" s="45" t="s">
        <v>207</v>
      </c>
      <c r="C115" s="380" t="s">
        <v>916</v>
      </c>
      <c r="D115" s="368">
        <v>100000000</v>
      </c>
      <c r="E115" s="20">
        <v>0.04</v>
      </c>
      <c r="F115" s="368">
        <f t="shared" si="5"/>
        <v>4000000</v>
      </c>
      <c r="G115" s="368">
        <v>4000000</v>
      </c>
      <c r="H115" s="368" t="s">
        <v>1431</v>
      </c>
      <c r="I115" s="374" t="s">
        <v>1456</v>
      </c>
      <c r="J115" s="88" t="s">
        <v>1457</v>
      </c>
      <c r="K115" s="368">
        <f>G115</f>
        <v>4000000</v>
      </c>
      <c r="L115" s="411">
        <f t="shared" si="6"/>
        <v>0</v>
      </c>
      <c r="M115" s="45"/>
    </row>
    <row r="116" spans="1:13" ht="30" customHeight="1" x14ac:dyDescent="0.2">
      <c r="A116" s="2031">
        <v>71</v>
      </c>
      <c r="B116" s="2029" t="s">
        <v>208</v>
      </c>
      <c r="C116" s="2149" t="s">
        <v>971</v>
      </c>
      <c r="D116" s="2040">
        <v>20000000</v>
      </c>
      <c r="E116" s="2037">
        <v>0.05</v>
      </c>
      <c r="F116" s="2040">
        <f t="shared" si="5"/>
        <v>1000000</v>
      </c>
      <c r="G116" s="368">
        <v>1000000</v>
      </c>
      <c r="H116" s="368" t="s">
        <v>1477</v>
      </c>
      <c r="I116" s="374" t="s">
        <v>1478</v>
      </c>
      <c r="J116" s="24" t="s">
        <v>1479</v>
      </c>
      <c r="K116" s="368">
        <f>G116</f>
        <v>1000000</v>
      </c>
      <c r="L116" s="368">
        <f t="shared" si="6"/>
        <v>0</v>
      </c>
      <c r="M116" s="937" t="s">
        <v>2392</v>
      </c>
    </row>
    <row r="117" spans="1:13" ht="30" customHeight="1" x14ac:dyDescent="0.2">
      <c r="A117" s="2032"/>
      <c r="B117" s="2030"/>
      <c r="C117" s="2150"/>
      <c r="D117" s="2042"/>
      <c r="E117" s="2039"/>
      <c r="F117" s="2042"/>
      <c r="G117" s="935">
        <v>1000000</v>
      </c>
      <c r="H117" s="935" t="s">
        <v>2577</v>
      </c>
      <c r="I117" s="942" t="s">
        <v>2578</v>
      </c>
      <c r="J117" s="24" t="s">
        <v>1479</v>
      </c>
      <c r="K117" s="935">
        <f>G117</f>
        <v>1000000</v>
      </c>
      <c r="L117" s="935">
        <f>G117-K117</f>
        <v>0</v>
      </c>
      <c r="M117" s="938" t="s">
        <v>2579</v>
      </c>
    </row>
    <row r="118" spans="1:13" ht="30" customHeight="1" x14ac:dyDescent="0.2">
      <c r="A118" s="4">
        <v>72</v>
      </c>
      <c r="B118" s="45" t="s">
        <v>1053</v>
      </c>
      <c r="C118" s="380"/>
      <c r="D118" s="366">
        <v>1000000000</v>
      </c>
      <c r="E118" s="44">
        <v>5.5E-2</v>
      </c>
      <c r="F118" s="366">
        <f t="shared" si="5"/>
        <v>55000000</v>
      </c>
      <c r="G118" s="368"/>
      <c r="H118" s="368"/>
      <c r="I118" s="376"/>
      <c r="J118" s="24"/>
      <c r="K118" s="368"/>
      <c r="L118" s="366">
        <f t="shared" si="6"/>
        <v>55000000</v>
      </c>
      <c r="M118" s="45"/>
    </row>
    <row r="119" spans="1:13" ht="30" customHeight="1" x14ac:dyDescent="0.2">
      <c r="A119" s="690">
        <v>73</v>
      </c>
      <c r="B119" s="45" t="s">
        <v>209</v>
      </c>
      <c r="C119" s="380" t="s">
        <v>1348</v>
      </c>
      <c r="D119" s="368">
        <v>20000000</v>
      </c>
      <c r="E119" s="20">
        <v>0.05</v>
      </c>
      <c r="F119" s="368">
        <f t="shared" si="5"/>
        <v>1000000</v>
      </c>
      <c r="G119" s="368">
        <v>1000000</v>
      </c>
      <c r="H119" s="368" t="s">
        <v>1431</v>
      </c>
      <c r="I119" s="374" t="s">
        <v>1439</v>
      </c>
      <c r="J119" s="24" t="s">
        <v>1440</v>
      </c>
      <c r="K119" s="368">
        <f>G119</f>
        <v>1000000</v>
      </c>
      <c r="L119" s="368">
        <f t="shared" si="6"/>
        <v>0</v>
      </c>
      <c r="M119" s="45"/>
    </row>
    <row r="120" spans="1:13" ht="30" customHeight="1" x14ac:dyDescent="0.2">
      <c r="A120" s="4">
        <v>74</v>
      </c>
      <c r="B120" s="45" t="s">
        <v>210</v>
      </c>
      <c r="C120" s="380" t="s">
        <v>916</v>
      </c>
      <c r="D120" s="368">
        <v>125000000</v>
      </c>
      <c r="E120" s="20">
        <v>0.04</v>
      </c>
      <c r="F120" s="368">
        <f t="shared" si="5"/>
        <v>5000000</v>
      </c>
      <c r="G120" s="368">
        <v>5000000</v>
      </c>
      <c r="H120" s="368" t="s">
        <v>1052</v>
      </c>
      <c r="I120" s="374" t="s">
        <v>1415</v>
      </c>
      <c r="J120" s="24" t="s">
        <v>975</v>
      </c>
      <c r="K120" s="368">
        <f>G120</f>
        <v>5000000</v>
      </c>
      <c r="L120" s="368">
        <f t="shared" si="6"/>
        <v>0</v>
      </c>
      <c r="M120" s="45"/>
    </row>
    <row r="121" spans="1:13" ht="30" customHeight="1" x14ac:dyDescent="0.2">
      <c r="A121" s="690">
        <v>75</v>
      </c>
      <c r="B121" s="45" t="s">
        <v>211</v>
      </c>
      <c r="C121" s="380"/>
      <c r="D121" s="368">
        <v>50000000</v>
      </c>
      <c r="E121" s="20">
        <v>0.05</v>
      </c>
      <c r="F121" s="368">
        <f t="shared" si="5"/>
        <v>2500000</v>
      </c>
      <c r="G121" s="368">
        <v>2500000</v>
      </c>
      <c r="H121" s="368" t="s">
        <v>1431</v>
      </c>
      <c r="I121" s="374" t="s">
        <v>1471</v>
      </c>
      <c r="J121" s="24" t="s">
        <v>977</v>
      </c>
      <c r="K121" s="368">
        <f>G121</f>
        <v>2500000</v>
      </c>
      <c r="L121" s="368">
        <f t="shared" si="6"/>
        <v>0</v>
      </c>
      <c r="M121" s="45"/>
    </row>
    <row r="122" spans="1:13" ht="30" customHeight="1" x14ac:dyDescent="0.2">
      <c r="A122" s="4">
        <v>76</v>
      </c>
      <c r="B122" s="45" t="s">
        <v>212</v>
      </c>
      <c r="C122" s="380" t="s">
        <v>1348</v>
      </c>
      <c r="D122" s="368">
        <v>100000000</v>
      </c>
      <c r="E122" s="20">
        <v>0.05</v>
      </c>
      <c r="F122" s="368">
        <f t="shared" si="5"/>
        <v>5000000</v>
      </c>
      <c r="G122" s="368">
        <v>5000000</v>
      </c>
      <c r="H122" s="368" t="s">
        <v>1566</v>
      </c>
      <c r="I122" s="374" t="s">
        <v>1633</v>
      </c>
      <c r="J122" s="24" t="s">
        <v>1634</v>
      </c>
      <c r="K122" s="368">
        <f>G122</f>
        <v>5000000</v>
      </c>
      <c r="L122" s="368">
        <f t="shared" si="6"/>
        <v>0</v>
      </c>
      <c r="M122" s="45"/>
    </row>
    <row r="123" spans="1:13" ht="30" customHeight="1" x14ac:dyDescent="0.2">
      <c r="A123" s="2031">
        <v>77</v>
      </c>
      <c r="B123" s="2029" t="s">
        <v>213</v>
      </c>
      <c r="C123" s="2149" t="s">
        <v>1820</v>
      </c>
      <c r="D123" s="368">
        <v>30000000</v>
      </c>
      <c r="E123" s="20">
        <v>7.0000000000000007E-2</v>
      </c>
      <c r="F123" s="477">
        <f t="shared" si="5"/>
        <v>2100000</v>
      </c>
      <c r="G123" s="2040">
        <v>3675000</v>
      </c>
      <c r="H123" s="2040" t="s">
        <v>1566</v>
      </c>
      <c r="I123" s="2159" t="s">
        <v>1665</v>
      </c>
      <c r="J123" s="2119" t="s">
        <v>1666</v>
      </c>
      <c r="K123" s="2040">
        <f>G123</f>
        <v>3675000</v>
      </c>
      <c r="L123" s="2040">
        <f>(F123+F124)-K123</f>
        <v>0</v>
      </c>
      <c r="M123" s="2051" t="s">
        <v>982</v>
      </c>
    </row>
    <row r="124" spans="1:13" ht="30" customHeight="1" x14ac:dyDescent="0.2">
      <c r="A124" s="2032"/>
      <c r="B124" s="2030"/>
      <c r="C124" s="2150"/>
      <c r="D124" s="368">
        <v>35000000</v>
      </c>
      <c r="E124" s="20">
        <v>4.4999999999999998E-2</v>
      </c>
      <c r="F124" s="368">
        <f t="shared" si="5"/>
        <v>1575000</v>
      </c>
      <c r="G124" s="2042"/>
      <c r="H124" s="2042"/>
      <c r="I124" s="2160"/>
      <c r="J124" s="2120"/>
      <c r="K124" s="2042"/>
      <c r="L124" s="2042"/>
      <c r="M124" s="2052"/>
    </row>
    <row r="125" spans="1:13" ht="30" customHeight="1" x14ac:dyDescent="0.2">
      <c r="A125" s="4">
        <v>78</v>
      </c>
      <c r="B125" s="45" t="s">
        <v>214</v>
      </c>
      <c r="C125" s="380"/>
      <c r="D125" s="366"/>
      <c r="E125" s="44"/>
      <c r="F125" s="366">
        <f t="shared" si="5"/>
        <v>0</v>
      </c>
      <c r="G125" s="368">
        <v>1900000</v>
      </c>
      <c r="H125" s="368" t="s">
        <v>1431</v>
      </c>
      <c r="I125" s="374" t="s">
        <v>1459</v>
      </c>
      <c r="J125" s="88" t="s">
        <v>984</v>
      </c>
      <c r="K125" s="368">
        <f t="shared" ref="K125:K131" si="8">G125</f>
        <v>1900000</v>
      </c>
      <c r="L125" s="366">
        <f t="shared" si="6"/>
        <v>-1900000</v>
      </c>
      <c r="M125" s="45"/>
    </row>
    <row r="126" spans="1:13" ht="30" customHeight="1" x14ac:dyDescent="0.2">
      <c r="A126" s="4">
        <v>79</v>
      </c>
      <c r="B126" s="45" t="s">
        <v>215</v>
      </c>
      <c r="C126" s="380" t="s">
        <v>916</v>
      </c>
      <c r="D126" s="368">
        <v>15000000</v>
      </c>
      <c r="E126" s="20">
        <v>4.4999999999999998E-2</v>
      </c>
      <c r="F126" s="368">
        <f t="shared" si="5"/>
        <v>675000</v>
      </c>
      <c r="G126" s="368">
        <v>675000</v>
      </c>
      <c r="H126" s="368" t="s">
        <v>1852</v>
      </c>
      <c r="I126" s="374" t="s">
        <v>1878</v>
      </c>
      <c r="J126" s="24" t="s">
        <v>1879</v>
      </c>
      <c r="K126" s="368">
        <f t="shared" si="8"/>
        <v>675000</v>
      </c>
      <c r="L126" s="368">
        <f t="shared" si="6"/>
        <v>0</v>
      </c>
      <c r="M126" s="45"/>
    </row>
    <row r="127" spans="1:13" ht="30" customHeight="1" x14ac:dyDescent="0.2">
      <c r="A127" s="4">
        <v>80</v>
      </c>
      <c r="B127" s="45" t="s">
        <v>185</v>
      </c>
      <c r="C127" s="380" t="s">
        <v>1348</v>
      </c>
      <c r="D127" s="390">
        <v>145000000</v>
      </c>
      <c r="E127" s="20">
        <v>4.4999999999999998E-2</v>
      </c>
      <c r="F127" s="390">
        <v>6775000</v>
      </c>
      <c r="G127" s="368">
        <v>6775000</v>
      </c>
      <c r="H127" s="368" t="s">
        <v>1052</v>
      </c>
      <c r="I127" s="374" t="s">
        <v>1403</v>
      </c>
      <c r="J127" s="377" t="s">
        <v>989</v>
      </c>
      <c r="K127" s="368">
        <f t="shared" si="8"/>
        <v>6775000</v>
      </c>
      <c r="L127" s="390">
        <f t="shared" si="6"/>
        <v>0</v>
      </c>
      <c r="M127" s="45"/>
    </row>
    <row r="128" spans="1:13" ht="30" customHeight="1" x14ac:dyDescent="0.2">
      <c r="A128" s="4">
        <v>81</v>
      </c>
      <c r="B128" s="45" t="s">
        <v>216</v>
      </c>
      <c r="C128" s="380"/>
      <c r="D128" s="366"/>
      <c r="E128" s="44"/>
      <c r="F128" s="366">
        <f t="shared" si="5"/>
        <v>0</v>
      </c>
      <c r="G128" s="368">
        <v>200000</v>
      </c>
      <c r="H128" s="368" t="s">
        <v>1431</v>
      </c>
      <c r="I128" s="374" t="s">
        <v>1434</v>
      </c>
      <c r="J128" s="24" t="s">
        <v>1435</v>
      </c>
      <c r="K128" s="368">
        <f t="shared" si="8"/>
        <v>200000</v>
      </c>
      <c r="L128" s="366">
        <f t="shared" si="6"/>
        <v>-200000</v>
      </c>
      <c r="M128" s="45"/>
    </row>
    <row r="129" spans="1:13" ht="30" customHeight="1" x14ac:dyDescent="0.2">
      <c r="A129" s="4">
        <v>82</v>
      </c>
      <c r="B129" s="45" t="s">
        <v>217</v>
      </c>
      <c r="C129" s="380"/>
      <c r="D129" s="368">
        <v>16000000</v>
      </c>
      <c r="E129" s="20">
        <v>0.05</v>
      </c>
      <c r="F129" s="368">
        <f t="shared" si="5"/>
        <v>800000</v>
      </c>
      <c r="G129" s="368">
        <v>800000</v>
      </c>
      <c r="H129" s="368" t="s">
        <v>1431</v>
      </c>
      <c r="I129" s="374" t="s">
        <v>1454</v>
      </c>
      <c r="J129" s="88" t="s">
        <v>1455</v>
      </c>
      <c r="K129" s="368">
        <f t="shared" si="8"/>
        <v>800000</v>
      </c>
      <c r="L129" s="368">
        <f t="shared" si="6"/>
        <v>0</v>
      </c>
      <c r="M129" s="45"/>
    </row>
    <row r="130" spans="1:13" ht="30" customHeight="1" x14ac:dyDescent="0.2">
      <c r="A130" s="4">
        <v>83</v>
      </c>
      <c r="B130" s="45" t="s">
        <v>218</v>
      </c>
      <c r="C130" s="380" t="s">
        <v>1110</v>
      </c>
      <c r="D130" s="368">
        <v>160000000</v>
      </c>
      <c r="E130" s="20">
        <v>0.05</v>
      </c>
      <c r="F130" s="368">
        <f>D130*E130</f>
        <v>8000000</v>
      </c>
      <c r="G130" s="368">
        <v>8000000</v>
      </c>
      <c r="H130" s="368" t="s">
        <v>1756</v>
      </c>
      <c r="I130" s="374" t="s">
        <v>1791</v>
      </c>
      <c r="J130" s="377" t="s">
        <v>1792</v>
      </c>
      <c r="K130" s="368">
        <f t="shared" si="8"/>
        <v>8000000</v>
      </c>
      <c r="L130" s="368">
        <f t="shared" si="6"/>
        <v>0</v>
      </c>
      <c r="M130" s="45"/>
    </row>
    <row r="131" spans="1:13" ht="30" customHeight="1" x14ac:dyDescent="0.2">
      <c r="A131" s="4">
        <v>84</v>
      </c>
      <c r="B131" s="45" t="s">
        <v>219</v>
      </c>
      <c r="C131" s="380"/>
      <c r="D131" s="460">
        <v>400000000</v>
      </c>
      <c r="E131" s="20">
        <v>0.06</v>
      </c>
      <c r="F131" s="460">
        <f t="shared" si="5"/>
        <v>24000000</v>
      </c>
      <c r="G131" s="368">
        <v>24000000</v>
      </c>
      <c r="H131" s="368" t="s">
        <v>1566</v>
      </c>
      <c r="I131" s="374" t="s">
        <v>1648</v>
      </c>
      <c r="J131" s="88" t="s">
        <v>1649</v>
      </c>
      <c r="K131" s="368">
        <f t="shared" si="8"/>
        <v>24000000</v>
      </c>
      <c r="L131" s="460">
        <f t="shared" si="6"/>
        <v>0</v>
      </c>
      <c r="M131" s="45"/>
    </row>
    <row r="132" spans="1:13" ht="30" customHeight="1" x14ac:dyDescent="0.2">
      <c r="A132" s="2031">
        <v>85</v>
      </c>
      <c r="B132" s="2101" t="s">
        <v>1004</v>
      </c>
      <c r="C132" s="2149" t="s">
        <v>916</v>
      </c>
      <c r="D132" s="368">
        <v>200000000</v>
      </c>
      <c r="E132" s="20">
        <v>0.06</v>
      </c>
      <c r="F132" s="368">
        <f t="shared" si="5"/>
        <v>12000000</v>
      </c>
      <c r="G132" s="399">
        <v>11000000</v>
      </c>
      <c r="H132" s="399" t="s">
        <v>1052</v>
      </c>
      <c r="I132" s="281" t="s">
        <v>1422</v>
      </c>
      <c r="J132" s="88" t="s">
        <v>1423</v>
      </c>
      <c r="K132" s="2040">
        <f>G133+G132</f>
        <v>35600000</v>
      </c>
      <c r="L132" s="2040">
        <f>(F132+F133+F134)-K132</f>
        <v>0</v>
      </c>
      <c r="M132" s="2212"/>
    </row>
    <row r="133" spans="1:13" ht="30" customHeight="1" x14ac:dyDescent="0.2">
      <c r="A133" s="2034"/>
      <c r="B133" s="2222"/>
      <c r="C133" s="2158"/>
      <c r="D133" s="368">
        <v>458000000</v>
      </c>
      <c r="E133" s="20">
        <v>0.05</v>
      </c>
      <c r="F133" s="368">
        <f t="shared" si="5"/>
        <v>22900000</v>
      </c>
      <c r="G133" s="2041">
        <v>24600000</v>
      </c>
      <c r="H133" s="2041" t="s">
        <v>1052</v>
      </c>
      <c r="I133" s="2247" t="s">
        <v>1425</v>
      </c>
      <c r="J133" s="2172" t="s">
        <v>1426</v>
      </c>
      <c r="K133" s="2041"/>
      <c r="L133" s="2041"/>
      <c r="M133" s="2253"/>
    </row>
    <row r="134" spans="1:13" ht="30" customHeight="1" x14ac:dyDescent="0.2">
      <c r="A134" s="2034"/>
      <c r="B134" s="2222"/>
      <c r="C134" s="2158"/>
      <c r="D134" s="368">
        <v>10000000</v>
      </c>
      <c r="E134" s="20">
        <v>7.0000000000000007E-2</v>
      </c>
      <c r="F134" s="368">
        <f t="shared" si="5"/>
        <v>700000.00000000012</v>
      </c>
      <c r="G134" s="2042"/>
      <c r="H134" s="2042"/>
      <c r="I134" s="2176"/>
      <c r="J134" s="2173"/>
      <c r="K134" s="2042"/>
      <c r="L134" s="2042"/>
      <c r="M134" s="2213"/>
    </row>
    <row r="135" spans="1:13" ht="30" customHeight="1" x14ac:dyDescent="0.2">
      <c r="A135" s="2034"/>
      <c r="B135" s="2222"/>
      <c r="C135" s="2158"/>
      <c r="D135" s="1013">
        <v>42000000</v>
      </c>
      <c r="E135" s="1019">
        <v>7.0000000000000007E-2</v>
      </c>
      <c r="F135" s="1013">
        <f t="shared" si="5"/>
        <v>2940000.0000000005</v>
      </c>
      <c r="G135" s="2192" t="s">
        <v>1854</v>
      </c>
      <c r="H135" s="2193"/>
      <c r="I135" s="2193"/>
      <c r="J135" s="2193"/>
      <c r="K135" s="2194"/>
      <c r="L135" s="1013"/>
      <c r="M135" s="1020"/>
    </row>
    <row r="136" spans="1:13" ht="30" customHeight="1" x14ac:dyDescent="0.2">
      <c r="A136" s="2032"/>
      <c r="B136" s="2102"/>
      <c r="C136" s="2150"/>
      <c r="D136" s="1013">
        <f>SUM(D132:D135)</f>
        <v>710000000</v>
      </c>
      <c r="E136" s="1019"/>
      <c r="F136" s="1014">
        <v>42600000</v>
      </c>
      <c r="G136" s="1013"/>
      <c r="H136" s="1013"/>
      <c r="I136" s="1017"/>
      <c r="J136" s="1018"/>
      <c r="K136" s="1013"/>
      <c r="L136" s="1013"/>
      <c r="M136" s="1020"/>
    </row>
    <row r="137" spans="1:13" ht="30" customHeight="1" x14ac:dyDescent="0.2">
      <c r="A137" s="4">
        <v>86</v>
      </c>
      <c r="B137" s="45" t="s">
        <v>220</v>
      </c>
      <c r="C137" s="380"/>
      <c r="D137" s="1631">
        <v>100000000</v>
      </c>
      <c r="E137" s="1634">
        <v>0.05</v>
      </c>
      <c r="F137" s="1631">
        <f t="shared" si="5"/>
        <v>5000000</v>
      </c>
      <c r="G137" s="1947" t="s">
        <v>3543</v>
      </c>
      <c r="H137" s="1948"/>
      <c r="I137" s="1948"/>
      <c r="J137" s="1948"/>
      <c r="K137" s="1949"/>
      <c r="L137" s="1631">
        <f t="shared" si="6"/>
        <v>5000000</v>
      </c>
      <c r="M137" s="45"/>
    </row>
    <row r="138" spans="1:13" ht="30" customHeight="1" x14ac:dyDescent="0.2">
      <c r="A138" s="2031">
        <v>87</v>
      </c>
      <c r="B138" s="2029" t="s">
        <v>177</v>
      </c>
      <c r="C138" s="2149"/>
      <c r="D138" s="2040">
        <v>500000000</v>
      </c>
      <c r="E138" s="2037">
        <v>6.4000000000000001E-2</v>
      </c>
      <c r="F138" s="2040">
        <v>31800000</v>
      </c>
      <c r="G138" s="368">
        <v>17800000</v>
      </c>
      <c r="H138" s="368" t="s">
        <v>1431</v>
      </c>
      <c r="I138" s="420" t="s">
        <v>1468</v>
      </c>
      <c r="J138" s="88" t="s">
        <v>1469</v>
      </c>
      <c r="K138" s="2040">
        <f>G139+G138</f>
        <v>31800000</v>
      </c>
      <c r="L138" s="2040">
        <f>(F139+F138)-K138</f>
        <v>0</v>
      </c>
      <c r="M138" s="2149"/>
    </row>
    <row r="139" spans="1:13" ht="30" customHeight="1" x14ac:dyDescent="0.2">
      <c r="A139" s="2034"/>
      <c r="B139" s="2033"/>
      <c r="C139" s="2158"/>
      <c r="D139" s="2042"/>
      <c r="E139" s="2039"/>
      <c r="F139" s="2042"/>
      <c r="G139" s="368">
        <v>14000000</v>
      </c>
      <c r="H139" s="368" t="s">
        <v>1431</v>
      </c>
      <c r="I139" s="36" t="s">
        <v>1449</v>
      </c>
      <c r="J139" s="122" t="s">
        <v>1003</v>
      </c>
      <c r="K139" s="2042"/>
      <c r="L139" s="2042"/>
      <c r="M139" s="2158"/>
    </row>
    <row r="140" spans="1:13" ht="30" customHeight="1" x14ac:dyDescent="0.2">
      <c r="A140" s="2034"/>
      <c r="B140" s="2033"/>
      <c r="C140" s="2158"/>
      <c r="D140" s="870">
        <v>703000000</v>
      </c>
      <c r="E140" s="2263" t="s">
        <v>2493</v>
      </c>
      <c r="F140" s="2264"/>
      <c r="G140" s="2264"/>
      <c r="H140" s="2264"/>
      <c r="I140" s="2264"/>
      <c r="J140" s="2264"/>
      <c r="K140" s="2265"/>
      <c r="L140" s="870"/>
      <c r="M140" s="2158"/>
    </row>
    <row r="141" spans="1:13" ht="30" customHeight="1" x14ac:dyDescent="0.2">
      <c r="A141" s="2034"/>
      <c r="B141" s="2033"/>
      <c r="C141" s="2158"/>
      <c r="D141" s="870">
        <v>723000000</v>
      </c>
      <c r="E141" s="2263" t="s">
        <v>2494</v>
      </c>
      <c r="F141" s="2264"/>
      <c r="G141" s="2264"/>
      <c r="H141" s="2264"/>
      <c r="I141" s="2264"/>
      <c r="J141" s="2264"/>
      <c r="K141" s="2265"/>
      <c r="L141" s="870"/>
      <c r="M141" s="2158"/>
    </row>
    <row r="142" spans="1:13" ht="30" customHeight="1" x14ac:dyDescent="0.2">
      <c r="A142" s="2032"/>
      <c r="B142" s="2030"/>
      <c r="C142" s="2150"/>
      <c r="D142" s="870">
        <v>723000000</v>
      </c>
      <c r="E142" s="2223" t="s">
        <v>2495</v>
      </c>
      <c r="F142" s="2224"/>
      <c r="G142" s="2224"/>
      <c r="H142" s="2224"/>
      <c r="I142" s="2224"/>
      <c r="J142" s="2224"/>
      <c r="K142" s="2225"/>
      <c r="L142" s="870"/>
      <c r="M142" s="2150"/>
    </row>
    <row r="143" spans="1:13" ht="30" customHeight="1" x14ac:dyDescent="0.2">
      <c r="A143" s="4">
        <v>88</v>
      </c>
      <c r="B143" s="45" t="s">
        <v>221</v>
      </c>
      <c r="C143" s="380" t="s">
        <v>1350</v>
      </c>
      <c r="D143" s="368">
        <v>45000000</v>
      </c>
      <c r="E143" s="20">
        <v>0.04</v>
      </c>
      <c r="F143" s="368">
        <v>2050000</v>
      </c>
      <c r="G143" s="368">
        <v>2050000</v>
      </c>
      <c r="H143" s="368" t="s">
        <v>1566</v>
      </c>
      <c r="I143" s="374" t="s">
        <v>1635</v>
      </c>
      <c r="J143" s="21" t="s">
        <v>779</v>
      </c>
      <c r="K143" s="368">
        <f>G143</f>
        <v>2050000</v>
      </c>
      <c r="L143" s="368">
        <f t="shared" si="6"/>
        <v>0</v>
      </c>
      <c r="M143" s="45"/>
    </row>
    <row r="144" spans="1:13" ht="30" customHeight="1" x14ac:dyDescent="0.2">
      <c r="A144" s="2031">
        <v>89</v>
      </c>
      <c r="B144" s="2029" t="s">
        <v>222</v>
      </c>
      <c r="C144" s="2149" t="s">
        <v>1348</v>
      </c>
      <c r="D144" s="474">
        <v>93000000</v>
      </c>
      <c r="E144" s="20">
        <v>7.0000000000000007E-2</v>
      </c>
      <c r="F144" s="474">
        <v>6500000</v>
      </c>
      <c r="G144" s="2040">
        <v>22500000</v>
      </c>
      <c r="H144" s="2040" t="s">
        <v>1431</v>
      </c>
      <c r="I144" s="2226" t="s">
        <v>1467</v>
      </c>
      <c r="J144" s="2119" t="s">
        <v>781</v>
      </c>
      <c r="K144" s="2040">
        <f>G144</f>
        <v>22500000</v>
      </c>
      <c r="L144" s="2040">
        <f>(F144+F145)-K144</f>
        <v>0</v>
      </c>
      <c r="M144" s="2101"/>
    </row>
    <row r="145" spans="1:13" ht="30" customHeight="1" x14ac:dyDescent="0.2">
      <c r="A145" s="2032"/>
      <c r="B145" s="2030"/>
      <c r="C145" s="2150"/>
      <c r="D145" s="460">
        <v>350000000</v>
      </c>
      <c r="E145" s="20">
        <v>4.4999999999999998E-2</v>
      </c>
      <c r="F145" s="474">
        <v>16000000</v>
      </c>
      <c r="G145" s="2042"/>
      <c r="H145" s="2042"/>
      <c r="I145" s="2227"/>
      <c r="J145" s="2120"/>
      <c r="K145" s="2042"/>
      <c r="L145" s="2042"/>
      <c r="M145" s="2102"/>
    </row>
    <row r="146" spans="1:13" ht="30" customHeight="1" x14ac:dyDescent="0.2">
      <c r="A146" s="2031">
        <v>90</v>
      </c>
      <c r="B146" s="2029" t="s">
        <v>223</v>
      </c>
      <c r="C146" s="2149" t="s">
        <v>1215</v>
      </c>
      <c r="D146" s="368">
        <v>130000000</v>
      </c>
      <c r="E146" s="20">
        <v>7.0000000000000007E-2</v>
      </c>
      <c r="F146" s="368">
        <f>D146*E146</f>
        <v>9100000</v>
      </c>
      <c r="G146" s="2040">
        <v>14460000</v>
      </c>
      <c r="H146" s="2040" t="s">
        <v>1852</v>
      </c>
      <c r="I146" s="2175" t="s">
        <v>1924</v>
      </c>
      <c r="J146" s="2128" t="s">
        <v>1925</v>
      </c>
      <c r="K146" s="2040">
        <f>G146</f>
        <v>14460000</v>
      </c>
      <c r="L146" s="2040">
        <f>(F146+F147)-K146</f>
        <v>0</v>
      </c>
      <c r="M146" s="2101"/>
    </row>
    <row r="147" spans="1:13" ht="30" customHeight="1" x14ac:dyDescent="0.2">
      <c r="A147" s="2032"/>
      <c r="B147" s="2030"/>
      <c r="C147" s="2150"/>
      <c r="D147" s="368">
        <v>100000000</v>
      </c>
      <c r="E147" s="20">
        <v>5.3999999999999999E-2</v>
      </c>
      <c r="F147" s="368">
        <v>5360000</v>
      </c>
      <c r="G147" s="2042"/>
      <c r="H147" s="2042"/>
      <c r="I147" s="2176"/>
      <c r="J147" s="2129"/>
      <c r="K147" s="2042"/>
      <c r="L147" s="2042"/>
      <c r="M147" s="2102"/>
    </row>
    <row r="148" spans="1:13" ht="30" customHeight="1" x14ac:dyDescent="0.2">
      <c r="A148" s="4">
        <v>91</v>
      </c>
      <c r="B148" s="45" t="s">
        <v>224</v>
      </c>
      <c r="C148" s="380"/>
      <c r="D148" s="368">
        <v>50000000</v>
      </c>
      <c r="E148" s="20">
        <v>0.04</v>
      </c>
      <c r="F148" s="368">
        <f t="shared" si="5"/>
        <v>2000000</v>
      </c>
      <c r="G148" s="368">
        <v>2000000</v>
      </c>
      <c r="H148" s="368" t="s">
        <v>1566</v>
      </c>
      <c r="I148" s="374" t="s">
        <v>1667</v>
      </c>
      <c r="J148" s="21" t="s">
        <v>1668</v>
      </c>
      <c r="K148" s="368">
        <f>G148</f>
        <v>2000000</v>
      </c>
      <c r="L148" s="368">
        <f t="shared" si="6"/>
        <v>0</v>
      </c>
      <c r="M148" s="45"/>
    </row>
    <row r="149" spans="1:13" ht="30" customHeight="1" x14ac:dyDescent="0.2">
      <c r="A149" s="2031">
        <v>92</v>
      </c>
      <c r="B149" s="2267" t="s">
        <v>770</v>
      </c>
      <c r="C149" s="700" t="s">
        <v>916</v>
      </c>
      <c r="D149" s="479">
        <v>445000000</v>
      </c>
      <c r="E149" s="20">
        <v>5.5E-2</v>
      </c>
      <c r="F149" s="479">
        <v>24150000</v>
      </c>
      <c r="G149" s="479">
        <v>24150000</v>
      </c>
      <c r="H149" s="479" t="s">
        <v>1566</v>
      </c>
      <c r="I149" s="423" t="s">
        <v>1673</v>
      </c>
      <c r="J149" s="37" t="s">
        <v>826</v>
      </c>
      <c r="K149" s="479">
        <f>G149</f>
        <v>24150000</v>
      </c>
      <c r="L149" s="479">
        <f t="shared" si="6"/>
        <v>0</v>
      </c>
      <c r="M149" s="2029" t="s">
        <v>2152</v>
      </c>
    </row>
    <row r="150" spans="1:13" ht="30" customHeight="1" x14ac:dyDescent="0.2">
      <c r="A150" s="2032"/>
      <c r="B150" s="2267"/>
      <c r="C150" s="700" t="s">
        <v>1342</v>
      </c>
      <c r="D150" s="695">
        <v>273000000</v>
      </c>
      <c r="E150" s="694">
        <f>F150/D150</f>
        <v>5.4615384615384614E-2</v>
      </c>
      <c r="F150" s="695">
        <v>14910000</v>
      </c>
      <c r="G150" s="695">
        <v>14910000</v>
      </c>
      <c r="H150" s="695" t="s">
        <v>2184</v>
      </c>
      <c r="I150" s="698" t="s">
        <v>2192</v>
      </c>
      <c r="J150" s="24" t="s">
        <v>712</v>
      </c>
      <c r="K150" s="695">
        <f>G150</f>
        <v>14910000</v>
      </c>
      <c r="L150" s="695">
        <f>G150-K150</f>
        <v>0</v>
      </c>
      <c r="M150" s="2030"/>
    </row>
    <row r="151" spans="1:13" ht="30" customHeight="1" x14ac:dyDescent="0.2">
      <c r="A151" s="2031">
        <v>93</v>
      </c>
      <c r="B151" s="2033" t="s">
        <v>225</v>
      </c>
      <c r="C151" s="2158"/>
      <c r="D151" s="368">
        <v>300000000</v>
      </c>
      <c r="E151" s="393">
        <v>5.5E-2</v>
      </c>
      <c r="F151" s="368">
        <f t="shared" si="5"/>
        <v>16500000</v>
      </c>
      <c r="G151" s="368"/>
      <c r="H151" s="368"/>
      <c r="I151" s="374"/>
      <c r="J151" s="24"/>
      <c r="K151" s="368"/>
      <c r="L151" s="368">
        <f t="shared" si="6"/>
        <v>16500000</v>
      </c>
      <c r="M151" s="45"/>
    </row>
    <row r="152" spans="1:13" ht="30" customHeight="1" x14ac:dyDescent="0.2">
      <c r="A152" s="2032"/>
      <c r="B152" s="2030"/>
      <c r="C152" s="2150"/>
      <c r="D152" s="411">
        <v>300000000</v>
      </c>
      <c r="E152" s="20">
        <v>5.5E-2</v>
      </c>
      <c r="F152" s="411">
        <v>16500000</v>
      </c>
      <c r="G152" s="411"/>
      <c r="H152" s="411"/>
      <c r="I152" s="420"/>
      <c r="J152" s="24"/>
      <c r="K152" s="411"/>
      <c r="L152" s="411">
        <f t="shared" si="6"/>
        <v>16500000</v>
      </c>
      <c r="M152" s="45"/>
    </row>
    <row r="153" spans="1:13" ht="30" customHeight="1" x14ac:dyDescent="0.2">
      <c r="A153" s="4">
        <v>94</v>
      </c>
      <c r="B153" s="45" t="s">
        <v>1182</v>
      </c>
      <c r="C153" s="380"/>
      <c r="D153" s="368">
        <v>25000000</v>
      </c>
      <c r="E153" s="20">
        <v>0.04</v>
      </c>
      <c r="F153" s="411">
        <f>D153*E153</f>
        <v>1000000</v>
      </c>
      <c r="G153" s="368">
        <v>1400000</v>
      </c>
      <c r="H153" s="368" t="s">
        <v>1431</v>
      </c>
      <c r="I153" s="374" t="s">
        <v>1466</v>
      </c>
      <c r="J153" s="24" t="s">
        <v>1184</v>
      </c>
      <c r="K153" s="368">
        <f>G153</f>
        <v>1400000</v>
      </c>
      <c r="L153" s="411">
        <f>F153-K153</f>
        <v>-400000</v>
      </c>
      <c r="M153" s="45" t="s">
        <v>1514</v>
      </c>
    </row>
    <row r="154" spans="1:13" ht="30" customHeight="1" x14ac:dyDescent="0.2">
      <c r="A154" s="4">
        <v>95</v>
      </c>
      <c r="B154" s="45" t="s">
        <v>226</v>
      </c>
      <c r="C154" s="380"/>
      <c r="D154" s="1032">
        <v>350000000</v>
      </c>
      <c r="E154" s="1060">
        <v>0.05</v>
      </c>
      <c r="F154" s="1032">
        <f t="shared" si="5"/>
        <v>17500000</v>
      </c>
      <c r="G154" s="1032">
        <v>25300000</v>
      </c>
      <c r="H154" s="1032" t="s">
        <v>1566</v>
      </c>
      <c r="I154" s="1048" t="s">
        <v>1677</v>
      </c>
      <c r="J154" s="24" t="s">
        <v>1678</v>
      </c>
      <c r="K154" s="1032">
        <f>G154</f>
        <v>25300000</v>
      </c>
      <c r="L154" s="1032">
        <f t="shared" si="6"/>
        <v>-7800000</v>
      </c>
      <c r="M154" s="45" t="s">
        <v>1676</v>
      </c>
    </row>
    <row r="155" spans="1:13" ht="30" customHeight="1" x14ac:dyDescent="0.2">
      <c r="A155" s="4">
        <v>96</v>
      </c>
      <c r="B155" s="45" t="s">
        <v>227</v>
      </c>
      <c r="C155" s="380"/>
      <c r="D155" s="368">
        <v>70000000</v>
      </c>
      <c r="E155" s="20">
        <v>0.05</v>
      </c>
      <c r="F155" s="368">
        <f t="shared" si="5"/>
        <v>3500000</v>
      </c>
      <c r="G155" s="368">
        <v>3500000</v>
      </c>
      <c r="H155" s="368" t="s">
        <v>1477</v>
      </c>
      <c r="I155" s="374" t="s">
        <v>1511</v>
      </c>
      <c r="J155" s="377" t="s">
        <v>1512</v>
      </c>
      <c r="K155" s="368">
        <f>F155</f>
        <v>3500000</v>
      </c>
      <c r="L155" s="368">
        <f t="shared" si="6"/>
        <v>0</v>
      </c>
      <c r="M155" s="45"/>
    </row>
    <row r="156" spans="1:13" ht="30" customHeight="1" x14ac:dyDescent="0.2">
      <c r="A156" s="4">
        <v>97</v>
      </c>
      <c r="B156" s="45" t="s">
        <v>228</v>
      </c>
      <c r="C156" s="380"/>
      <c r="D156" s="368">
        <v>100000000</v>
      </c>
      <c r="E156" s="20">
        <v>0.04</v>
      </c>
      <c r="F156" s="368">
        <f t="shared" si="5"/>
        <v>4000000</v>
      </c>
      <c r="G156" s="368"/>
      <c r="H156" s="368"/>
      <c r="I156" s="374"/>
      <c r="J156" s="24"/>
      <c r="K156" s="368"/>
      <c r="L156" s="368">
        <f t="shared" si="6"/>
        <v>4000000</v>
      </c>
      <c r="M156" s="45"/>
    </row>
    <row r="157" spans="1:13" ht="30" customHeight="1" x14ac:dyDescent="0.2">
      <c r="A157" s="4">
        <v>98</v>
      </c>
      <c r="B157" s="45" t="s">
        <v>229</v>
      </c>
      <c r="C157" s="380"/>
      <c r="D157" s="368">
        <v>20000000</v>
      </c>
      <c r="E157" s="20">
        <v>0.05</v>
      </c>
      <c r="F157" s="368">
        <f t="shared" si="5"/>
        <v>1000000</v>
      </c>
      <c r="G157" s="368">
        <v>1000000</v>
      </c>
      <c r="H157" s="368" t="s">
        <v>1804</v>
      </c>
      <c r="I157" s="374" t="s">
        <v>1811</v>
      </c>
      <c r="J157" s="377" t="s">
        <v>812</v>
      </c>
      <c r="K157" s="368">
        <f>G157</f>
        <v>1000000</v>
      </c>
      <c r="L157" s="368">
        <f t="shared" si="6"/>
        <v>0</v>
      </c>
      <c r="M157" s="45"/>
    </row>
    <row r="158" spans="1:13" ht="30" customHeight="1" x14ac:dyDescent="0.2">
      <c r="A158" s="4">
        <v>99</v>
      </c>
      <c r="B158" s="45" t="s">
        <v>230</v>
      </c>
      <c r="C158" s="380" t="s">
        <v>1352</v>
      </c>
      <c r="D158" s="368">
        <v>100000000</v>
      </c>
      <c r="E158" s="20">
        <v>0.04</v>
      </c>
      <c r="F158" s="368">
        <f t="shared" si="5"/>
        <v>4000000</v>
      </c>
      <c r="G158" s="368">
        <v>4000000</v>
      </c>
      <c r="H158" s="368" t="s">
        <v>1052</v>
      </c>
      <c r="I158" s="374" t="s">
        <v>1424</v>
      </c>
      <c r="J158" s="88" t="s">
        <v>814</v>
      </c>
      <c r="K158" s="368">
        <f>G158</f>
        <v>4000000</v>
      </c>
      <c r="L158" s="368">
        <f t="shared" si="6"/>
        <v>0</v>
      </c>
      <c r="M158" s="45"/>
    </row>
    <row r="159" spans="1:13" ht="30" customHeight="1" x14ac:dyDescent="0.2">
      <c r="A159" s="4">
        <v>100</v>
      </c>
      <c r="B159" s="45" t="s">
        <v>231</v>
      </c>
      <c r="C159" s="380"/>
      <c r="D159" s="366"/>
      <c r="E159" s="44"/>
      <c r="F159" s="366">
        <f t="shared" si="5"/>
        <v>0</v>
      </c>
      <c r="G159" s="368">
        <v>5100000</v>
      </c>
      <c r="H159" s="368" t="s">
        <v>1566</v>
      </c>
      <c r="I159" s="374" t="s">
        <v>1682</v>
      </c>
      <c r="J159" s="24" t="s">
        <v>791</v>
      </c>
      <c r="K159" s="368">
        <f>G159</f>
        <v>5100000</v>
      </c>
      <c r="L159" s="366">
        <f t="shared" si="6"/>
        <v>-5100000</v>
      </c>
      <c r="M159" s="45"/>
    </row>
    <row r="160" spans="1:13" ht="30" customHeight="1" x14ac:dyDescent="0.2">
      <c r="A160" s="4">
        <v>101</v>
      </c>
      <c r="B160" s="45" t="s">
        <v>180</v>
      </c>
      <c r="C160" s="380" t="s">
        <v>1110</v>
      </c>
      <c r="D160" s="368">
        <v>80000000</v>
      </c>
      <c r="E160" s="20">
        <v>0.05</v>
      </c>
      <c r="F160" s="368">
        <f t="shared" si="5"/>
        <v>4000000</v>
      </c>
      <c r="G160" s="368">
        <v>4000000</v>
      </c>
      <c r="H160" s="368" t="s">
        <v>926</v>
      </c>
      <c r="I160" s="374" t="s">
        <v>1393</v>
      </c>
      <c r="J160" s="399" t="s">
        <v>816</v>
      </c>
      <c r="K160" s="368">
        <f>G160</f>
        <v>4000000</v>
      </c>
      <c r="L160" s="368">
        <f t="shared" si="6"/>
        <v>0</v>
      </c>
      <c r="M160" s="45"/>
    </row>
    <row r="161" spans="1:13" ht="30" customHeight="1" x14ac:dyDescent="0.2">
      <c r="A161" s="2031">
        <v>102</v>
      </c>
      <c r="B161" s="2029" t="s">
        <v>232</v>
      </c>
      <c r="C161" s="2149"/>
      <c r="D161" s="368">
        <v>30000000</v>
      </c>
      <c r="E161" s="20">
        <v>0.05</v>
      </c>
      <c r="F161" s="368">
        <f t="shared" si="5"/>
        <v>1500000</v>
      </c>
      <c r="G161" s="368">
        <v>1500000</v>
      </c>
      <c r="H161" s="368" t="s">
        <v>2202</v>
      </c>
      <c r="I161" s="374" t="s">
        <v>2215</v>
      </c>
      <c r="J161" s="30" t="s">
        <v>2216</v>
      </c>
      <c r="K161" s="368">
        <f>G161</f>
        <v>1500000</v>
      </c>
      <c r="L161" s="717">
        <f>F161-K161</f>
        <v>0</v>
      </c>
      <c r="M161" s="2101"/>
    </row>
    <row r="162" spans="1:13" ht="30" customHeight="1" x14ac:dyDescent="0.2">
      <c r="A162" s="2032"/>
      <c r="B162" s="2030"/>
      <c r="C162" s="2150"/>
      <c r="D162" s="368">
        <v>30000000</v>
      </c>
      <c r="E162" s="20">
        <v>4.4999999999999998E-2</v>
      </c>
      <c r="F162" s="368">
        <f t="shared" si="5"/>
        <v>1350000</v>
      </c>
      <c r="G162" s="368"/>
      <c r="H162" s="368"/>
      <c r="I162" s="374"/>
      <c r="J162" s="30"/>
      <c r="K162" s="368"/>
      <c r="L162" s="366">
        <f t="shared" si="6"/>
        <v>1350000</v>
      </c>
      <c r="M162" s="2102"/>
    </row>
    <row r="163" spans="1:13" ht="30" customHeight="1" x14ac:dyDescent="0.2">
      <c r="A163" s="4">
        <v>103</v>
      </c>
      <c r="B163" s="45" t="s">
        <v>233</v>
      </c>
      <c r="C163" s="380" t="s">
        <v>1215</v>
      </c>
      <c r="D163" s="368">
        <v>17000000</v>
      </c>
      <c r="E163" s="20">
        <v>5.5E-2</v>
      </c>
      <c r="F163" s="368">
        <v>950000</v>
      </c>
      <c r="G163" s="368">
        <v>950000</v>
      </c>
      <c r="H163" s="368" t="s">
        <v>1566</v>
      </c>
      <c r="I163" s="374" t="s">
        <v>1646</v>
      </c>
      <c r="J163" s="21" t="s">
        <v>1647</v>
      </c>
      <c r="K163" s="368">
        <f>G163</f>
        <v>950000</v>
      </c>
      <c r="L163" s="368">
        <f t="shared" si="6"/>
        <v>0</v>
      </c>
      <c r="M163" s="45"/>
    </row>
    <row r="164" spans="1:13" ht="30" customHeight="1" x14ac:dyDescent="0.2">
      <c r="A164" s="4">
        <v>104</v>
      </c>
      <c r="B164" s="45" t="s">
        <v>234</v>
      </c>
      <c r="C164" s="380"/>
      <c r="D164" s="368">
        <v>20000000</v>
      </c>
      <c r="E164" s="20">
        <v>0.05</v>
      </c>
      <c r="F164" s="368">
        <f t="shared" si="5"/>
        <v>1000000</v>
      </c>
      <c r="G164" s="368">
        <v>1000000</v>
      </c>
      <c r="H164" s="368" t="s">
        <v>1566</v>
      </c>
      <c r="I164" s="374" t="s">
        <v>1640</v>
      </c>
      <c r="J164" s="24" t="s">
        <v>1641</v>
      </c>
      <c r="K164" s="368">
        <f>G164</f>
        <v>1000000</v>
      </c>
      <c r="L164" s="368">
        <f t="shared" si="6"/>
        <v>0</v>
      </c>
      <c r="M164" s="45"/>
    </row>
    <row r="165" spans="1:13" ht="30" customHeight="1" x14ac:dyDescent="0.2">
      <c r="A165" s="4">
        <v>105</v>
      </c>
      <c r="B165" s="45" t="s">
        <v>235</v>
      </c>
      <c r="C165" s="380"/>
      <c r="D165" s="366"/>
      <c r="E165" s="44"/>
      <c r="F165" s="366">
        <f t="shared" ref="F165:F253" si="9">D165*E165</f>
        <v>0</v>
      </c>
      <c r="G165" s="368">
        <v>1900000</v>
      </c>
      <c r="H165" s="368" t="s">
        <v>1691</v>
      </c>
      <c r="I165" s="374" t="s">
        <v>1702</v>
      </c>
      <c r="J165" s="24" t="s">
        <v>795</v>
      </c>
      <c r="K165" s="368">
        <f>G165</f>
        <v>1900000</v>
      </c>
      <c r="L165" s="366">
        <f t="shared" si="6"/>
        <v>-1900000</v>
      </c>
      <c r="M165" s="45"/>
    </row>
    <row r="166" spans="1:13" ht="30" customHeight="1" x14ac:dyDescent="0.2">
      <c r="A166" s="4">
        <v>106</v>
      </c>
      <c r="B166" s="45" t="s">
        <v>236</v>
      </c>
      <c r="C166" s="380"/>
      <c r="D166" s="368">
        <v>100000000</v>
      </c>
      <c r="E166" s="20">
        <v>0.04</v>
      </c>
      <c r="F166" s="368">
        <f t="shared" si="9"/>
        <v>4000000</v>
      </c>
      <c r="G166" s="368">
        <v>4000000</v>
      </c>
      <c r="H166" s="368" t="s">
        <v>1691</v>
      </c>
      <c r="I166" s="374" t="s">
        <v>1698</v>
      </c>
      <c r="J166" s="377" t="s">
        <v>797</v>
      </c>
      <c r="K166" s="368">
        <f>F166</f>
        <v>4000000</v>
      </c>
      <c r="L166" s="368">
        <f t="shared" ref="L166:L254" si="10">F166-K166</f>
        <v>0</v>
      </c>
      <c r="M166" s="45"/>
    </row>
    <row r="167" spans="1:13" ht="30" customHeight="1" x14ac:dyDescent="0.2">
      <c r="A167" s="4">
        <v>107</v>
      </c>
      <c r="B167" s="45" t="s">
        <v>237</v>
      </c>
      <c r="C167" s="380"/>
      <c r="D167" s="368">
        <v>65000000</v>
      </c>
      <c r="E167" s="20">
        <v>3.4000000000000002E-2</v>
      </c>
      <c r="F167" s="368">
        <v>2200000</v>
      </c>
      <c r="G167" s="368">
        <v>2200000</v>
      </c>
      <c r="H167" s="368" t="s">
        <v>1756</v>
      </c>
      <c r="I167" s="374" t="s">
        <v>1786</v>
      </c>
      <c r="J167" s="377" t="s">
        <v>1787</v>
      </c>
      <c r="K167" s="368">
        <f t="shared" ref="K167:K172" si="11">G167</f>
        <v>2200000</v>
      </c>
      <c r="L167" s="368">
        <f t="shared" si="10"/>
        <v>0</v>
      </c>
      <c r="M167" s="45"/>
    </row>
    <row r="168" spans="1:13" ht="30" customHeight="1" x14ac:dyDescent="0.2">
      <c r="A168" s="4">
        <v>108</v>
      </c>
      <c r="B168" s="45" t="s">
        <v>238</v>
      </c>
      <c r="C168" s="380"/>
      <c r="D168" s="366"/>
      <c r="E168" s="44"/>
      <c r="F168" s="366">
        <f t="shared" si="9"/>
        <v>0</v>
      </c>
      <c r="G168" s="368">
        <v>46800000</v>
      </c>
      <c r="H168" s="368" t="s">
        <v>1566</v>
      </c>
      <c r="I168" s="374" t="s">
        <v>1766</v>
      </c>
      <c r="J168" s="24" t="s">
        <v>1767</v>
      </c>
      <c r="K168" s="368">
        <f t="shared" si="11"/>
        <v>46800000</v>
      </c>
      <c r="L168" s="366">
        <f t="shared" si="10"/>
        <v>-46800000</v>
      </c>
      <c r="M168" s="45"/>
    </row>
    <row r="169" spans="1:13" ht="30" customHeight="1" x14ac:dyDescent="0.2">
      <c r="A169" s="4">
        <v>109</v>
      </c>
      <c r="B169" s="45" t="s">
        <v>239</v>
      </c>
      <c r="C169" s="380"/>
      <c r="D169" s="368">
        <v>1000000000</v>
      </c>
      <c r="E169" s="20">
        <v>0.05</v>
      </c>
      <c r="F169" s="368">
        <f t="shared" si="9"/>
        <v>50000000</v>
      </c>
      <c r="G169" s="368">
        <v>50000000</v>
      </c>
      <c r="H169" s="368" t="s">
        <v>1566</v>
      </c>
      <c r="I169" s="374" t="s">
        <v>1653</v>
      </c>
      <c r="J169" s="24" t="s">
        <v>801</v>
      </c>
      <c r="K169" s="368">
        <f t="shared" si="11"/>
        <v>50000000</v>
      </c>
      <c r="L169" s="368">
        <f t="shared" si="10"/>
        <v>0</v>
      </c>
      <c r="M169" s="45"/>
    </row>
    <row r="170" spans="1:13" ht="30" customHeight="1" x14ac:dyDescent="0.2">
      <c r="A170" s="4">
        <v>110</v>
      </c>
      <c r="B170" s="188" t="s">
        <v>1964</v>
      </c>
      <c r="C170" s="578" t="s">
        <v>1347</v>
      </c>
      <c r="D170" s="368">
        <v>14000000</v>
      </c>
      <c r="E170" s="20">
        <v>4.2999999999999997E-2</v>
      </c>
      <c r="F170" s="368">
        <v>600000</v>
      </c>
      <c r="G170" s="597">
        <v>601000</v>
      </c>
      <c r="H170" s="368" t="s">
        <v>1898</v>
      </c>
      <c r="I170" s="374" t="s">
        <v>1977</v>
      </c>
      <c r="J170" s="24" t="s">
        <v>1976</v>
      </c>
      <c r="K170" s="604">
        <f t="shared" si="11"/>
        <v>601000</v>
      </c>
      <c r="L170" s="604">
        <f>F170-K170</f>
        <v>-1000</v>
      </c>
      <c r="M170" s="22"/>
    </row>
    <row r="171" spans="1:13" ht="30" customHeight="1" x14ac:dyDescent="0.2">
      <c r="A171" s="4">
        <v>111</v>
      </c>
      <c r="B171" s="188" t="s">
        <v>240</v>
      </c>
      <c r="C171" s="578" t="s">
        <v>1347</v>
      </c>
      <c r="D171" s="368">
        <v>20000000</v>
      </c>
      <c r="E171" s="20">
        <v>4.4999999999999998E-2</v>
      </c>
      <c r="F171" s="368">
        <f>D171*E171</f>
        <v>900000</v>
      </c>
      <c r="G171" s="460">
        <v>900000</v>
      </c>
      <c r="H171" s="368" t="s">
        <v>1477</v>
      </c>
      <c r="I171" s="374" t="s">
        <v>1614</v>
      </c>
      <c r="J171" s="24" t="s">
        <v>563</v>
      </c>
      <c r="K171" s="604">
        <f t="shared" si="11"/>
        <v>900000</v>
      </c>
      <c r="L171" s="604">
        <f>F171-K171</f>
        <v>0</v>
      </c>
      <c r="M171" s="22"/>
    </row>
    <row r="172" spans="1:13" ht="30" customHeight="1" x14ac:dyDescent="0.2">
      <c r="A172" s="4">
        <v>112</v>
      </c>
      <c r="B172" s="45" t="s">
        <v>241</v>
      </c>
      <c r="C172" s="587"/>
      <c r="D172" s="368">
        <v>40000000</v>
      </c>
      <c r="E172" s="20">
        <v>0.05</v>
      </c>
      <c r="F172" s="368">
        <f t="shared" si="9"/>
        <v>2000000</v>
      </c>
      <c r="G172" s="368">
        <v>2000000</v>
      </c>
      <c r="H172" s="368" t="s">
        <v>1756</v>
      </c>
      <c r="I172" s="374" t="s">
        <v>1761</v>
      </c>
      <c r="J172" s="88" t="s">
        <v>804</v>
      </c>
      <c r="K172" s="368">
        <f t="shared" si="11"/>
        <v>2000000</v>
      </c>
      <c r="L172" s="368">
        <f t="shared" si="10"/>
        <v>0</v>
      </c>
      <c r="M172" s="45"/>
    </row>
    <row r="173" spans="1:13" ht="30" customHeight="1" x14ac:dyDescent="0.2">
      <c r="A173" s="4">
        <v>113</v>
      </c>
      <c r="B173" s="45" t="s">
        <v>242</v>
      </c>
      <c r="C173" s="380" t="s">
        <v>411</v>
      </c>
      <c r="D173" s="368">
        <v>252000000</v>
      </c>
      <c r="E173" s="20">
        <v>4.4999999999999998E-2</v>
      </c>
      <c r="F173" s="368">
        <f t="shared" si="9"/>
        <v>11340000</v>
      </c>
      <c r="G173" s="368">
        <v>11340000</v>
      </c>
      <c r="H173" s="368" t="s">
        <v>1713</v>
      </c>
      <c r="I173" s="376" t="s">
        <v>1753</v>
      </c>
      <c r="J173" s="24" t="s">
        <v>1754</v>
      </c>
      <c r="K173" s="368">
        <f>F173</f>
        <v>11340000</v>
      </c>
      <c r="L173" s="368">
        <f t="shared" si="10"/>
        <v>0</v>
      </c>
      <c r="M173" s="45"/>
    </row>
    <row r="174" spans="1:13" ht="30" customHeight="1" x14ac:dyDescent="0.2">
      <c r="A174" s="4">
        <v>114</v>
      </c>
      <c r="B174" s="45" t="s">
        <v>243</v>
      </c>
      <c r="C174" s="380"/>
      <c r="D174" s="368">
        <v>100000000</v>
      </c>
      <c r="E174" s="20">
        <v>4.4999999999999998E-2</v>
      </c>
      <c r="F174" s="368">
        <f t="shared" si="9"/>
        <v>4500000</v>
      </c>
      <c r="G174" s="368">
        <v>4500000</v>
      </c>
      <c r="H174" s="368" t="s">
        <v>1713</v>
      </c>
      <c r="I174" s="374" t="s">
        <v>1721</v>
      </c>
      <c r="J174" s="89" t="s">
        <v>1722</v>
      </c>
      <c r="K174" s="368">
        <f>G174</f>
        <v>4500000</v>
      </c>
      <c r="L174" s="368">
        <f t="shared" si="10"/>
        <v>0</v>
      </c>
      <c r="M174" s="45"/>
    </row>
    <row r="175" spans="1:13" ht="30" customHeight="1" x14ac:dyDescent="0.2">
      <c r="A175" s="2031">
        <v>115</v>
      </c>
      <c r="B175" s="2029" t="s">
        <v>244</v>
      </c>
      <c r="C175" s="2149" t="s">
        <v>1175</v>
      </c>
      <c r="D175" s="941">
        <v>20000000</v>
      </c>
      <c r="E175" s="943">
        <v>0.05</v>
      </c>
      <c r="F175" s="941">
        <f t="shared" si="9"/>
        <v>1000000</v>
      </c>
      <c r="G175" s="368">
        <v>1000000</v>
      </c>
      <c r="H175" s="368" t="s">
        <v>1431</v>
      </c>
      <c r="I175" s="374" t="s">
        <v>1443</v>
      </c>
      <c r="J175" s="24" t="s">
        <v>1444</v>
      </c>
      <c r="K175" s="368">
        <f>G175</f>
        <v>1000000</v>
      </c>
      <c r="L175" s="368">
        <f t="shared" si="10"/>
        <v>0</v>
      </c>
      <c r="M175" s="937" t="s">
        <v>2392</v>
      </c>
    </row>
    <row r="176" spans="1:13" ht="30" customHeight="1" x14ac:dyDescent="0.2">
      <c r="A176" s="2032"/>
      <c r="B176" s="2030"/>
      <c r="C176" s="2150"/>
      <c r="D176" s="941">
        <v>20000000</v>
      </c>
      <c r="E176" s="943">
        <v>0.05</v>
      </c>
      <c r="F176" s="941">
        <f t="shared" ref="F176" si="12">D176*E176</f>
        <v>1000000</v>
      </c>
      <c r="G176" s="368">
        <v>1000000</v>
      </c>
      <c r="H176" s="368" t="s">
        <v>2577</v>
      </c>
      <c r="I176" s="374" t="s">
        <v>2590</v>
      </c>
      <c r="J176" s="24" t="s">
        <v>1444</v>
      </c>
      <c r="K176" s="368">
        <f>G176</f>
        <v>1000000</v>
      </c>
      <c r="L176" s="935">
        <f t="shared" si="10"/>
        <v>0</v>
      </c>
      <c r="M176" s="938" t="s">
        <v>1379</v>
      </c>
    </row>
    <row r="177" spans="1:13" ht="30" customHeight="1" x14ac:dyDescent="0.2">
      <c r="A177" s="4">
        <v>117</v>
      </c>
      <c r="B177" s="45" t="s">
        <v>246</v>
      </c>
      <c r="C177" s="380"/>
      <c r="D177" s="368">
        <v>300000000</v>
      </c>
      <c r="E177" s="939">
        <v>4.4999999999999998E-2</v>
      </c>
      <c r="F177" s="368">
        <f t="shared" si="9"/>
        <v>13500000</v>
      </c>
      <c r="G177" s="368">
        <v>13500000</v>
      </c>
      <c r="H177" s="368" t="s">
        <v>1756</v>
      </c>
      <c r="I177" s="374" t="s">
        <v>1758</v>
      </c>
      <c r="J177" s="24" t="s">
        <v>1759</v>
      </c>
      <c r="K177" s="368">
        <f t="shared" ref="K177:K184" si="13">G177</f>
        <v>13500000</v>
      </c>
      <c r="L177" s="368">
        <f t="shared" si="10"/>
        <v>0</v>
      </c>
      <c r="M177" s="103"/>
    </row>
    <row r="178" spans="1:13" ht="30" customHeight="1" x14ac:dyDescent="0.2">
      <c r="A178" s="4">
        <v>118</v>
      </c>
      <c r="B178" s="45" t="s">
        <v>247</v>
      </c>
      <c r="C178" s="380"/>
      <c r="D178" s="368">
        <v>20000000</v>
      </c>
      <c r="E178" s="20">
        <v>0.05</v>
      </c>
      <c r="F178" s="368">
        <f t="shared" si="9"/>
        <v>1000000</v>
      </c>
      <c r="G178" s="368">
        <v>1000000</v>
      </c>
      <c r="H178" s="368" t="s">
        <v>1852</v>
      </c>
      <c r="I178" s="374" t="s">
        <v>1887</v>
      </c>
      <c r="J178" s="89" t="s">
        <v>625</v>
      </c>
      <c r="K178" s="368">
        <f t="shared" si="13"/>
        <v>1000000</v>
      </c>
      <c r="L178" s="368">
        <f t="shared" si="10"/>
        <v>0</v>
      </c>
      <c r="M178" s="45"/>
    </row>
    <row r="179" spans="1:13" ht="30" customHeight="1" x14ac:dyDescent="0.2">
      <c r="A179" s="4">
        <v>119</v>
      </c>
      <c r="B179" s="45" t="s">
        <v>248</v>
      </c>
      <c r="C179" s="380"/>
      <c r="D179" s="368">
        <v>100000000</v>
      </c>
      <c r="E179" s="20">
        <v>0.04</v>
      </c>
      <c r="F179" s="368">
        <f t="shared" si="9"/>
        <v>4000000</v>
      </c>
      <c r="G179" s="368">
        <v>4000000</v>
      </c>
      <c r="H179" s="368" t="s">
        <v>1713</v>
      </c>
      <c r="I179" s="374" t="s">
        <v>1730</v>
      </c>
      <c r="J179" s="24" t="s">
        <v>1731</v>
      </c>
      <c r="K179" s="368">
        <f t="shared" si="13"/>
        <v>4000000</v>
      </c>
      <c r="L179" s="368">
        <f t="shared" si="10"/>
        <v>0</v>
      </c>
      <c r="M179" s="45"/>
    </row>
    <row r="180" spans="1:13" ht="30" customHeight="1" x14ac:dyDescent="0.2">
      <c r="A180" s="4">
        <v>120</v>
      </c>
      <c r="B180" s="22" t="s">
        <v>249</v>
      </c>
      <c r="C180" s="422" t="s">
        <v>379</v>
      </c>
      <c r="D180" s="399">
        <v>617000000</v>
      </c>
      <c r="E180" s="20">
        <v>7.0000000000000007E-2</v>
      </c>
      <c r="F180" s="399">
        <v>43200000</v>
      </c>
      <c r="G180" s="399">
        <v>43200000</v>
      </c>
      <c r="H180" s="399" t="s">
        <v>1898</v>
      </c>
      <c r="I180" s="424" t="s">
        <v>2113</v>
      </c>
      <c r="J180" s="37" t="s">
        <v>841</v>
      </c>
      <c r="K180" s="399">
        <f t="shared" si="13"/>
        <v>43200000</v>
      </c>
      <c r="L180" s="664">
        <f>F180-K180</f>
        <v>0</v>
      </c>
      <c r="M180" s="396"/>
    </row>
    <row r="181" spans="1:13" ht="30" customHeight="1" x14ac:dyDescent="0.2">
      <c r="A181" s="2031">
        <v>121</v>
      </c>
      <c r="B181" s="2029" t="s">
        <v>250</v>
      </c>
      <c r="C181" s="2149"/>
      <c r="D181" s="2040">
        <v>90000000</v>
      </c>
      <c r="E181" s="2037">
        <v>4.4999999999999998E-2</v>
      </c>
      <c r="F181" s="2040">
        <f t="shared" si="9"/>
        <v>4050000</v>
      </c>
      <c r="G181" s="368">
        <v>4050000</v>
      </c>
      <c r="H181" s="368" t="s">
        <v>1566</v>
      </c>
      <c r="I181" s="374" t="s">
        <v>1659</v>
      </c>
      <c r="J181" s="425" t="s">
        <v>1660</v>
      </c>
      <c r="K181" s="368">
        <f t="shared" si="13"/>
        <v>4050000</v>
      </c>
      <c r="L181" s="368">
        <f t="shared" si="10"/>
        <v>0</v>
      </c>
      <c r="M181" s="45"/>
    </row>
    <row r="182" spans="1:13" ht="30" customHeight="1" x14ac:dyDescent="0.2">
      <c r="A182" s="2032"/>
      <c r="B182" s="2030"/>
      <c r="C182" s="2150"/>
      <c r="D182" s="2042"/>
      <c r="E182" s="2039"/>
      <c r="F182" s="2042"/>
      <c r="G182" s="510">
        <v>90000000</v>
      </c>
      <c r="H182" s="510" t="s">
        <v>1691</v>
      </c>
      <c r="I182" s="516" t="s">
        <v>1768</v>
      </c>
      <c r="J182" s="425" t="s">
        <v>1769</v>
      </c>
      <c r="K182" s="510">
        <f t="shared" si="13"/>
        <v>90000000</v>
      </c>
      <c r="L182" s="510"/>
      <c r="M182" s="103" t="s">
        <v>1770</v>
      </c>
    </row>
    <row r="183" spans="1:13" ht="30" customHeight="1" x14ac:dyDescent="0.2">
      <c r="A183" s="4">
        <v>122</v>
      </c>
      <c r="B183" s="45" t="s">
        <v>251</v>
      </c>
      <c r="C183" s="380"/>
      <c r="D183" s="368">
        <v>50000000</v>
      </c>
      <c r="E183" s="20">
        <v>4.4999999999999998E-2</v>
      </c>
      <c r="F183" s="368">
        <f t="shared" si="9"/>
        <v>2250000</v>
      </c>
      <c r="G183" s="368">
        <v>2250000</v>
      </c>
      <c r="H183" s="368" t="s">
        <v>1566</v>
      </c>
      <c r="I183" s="374" t="s">
        <v>1663</v>
      </c>
      <c r="J183" s="21" t="s">
        <v>1664</v>
      </c>
      <c r="K183" s="368">
        <f t="shared" si="13"/>
        <v>2250000</v>
      </c>
      <c r="L183" s="368">
        <f t="shared" si="10"/>
        <v>0</v>
      </c>
      <c r="M183" s="45"/>
    </row>
    <row r="184" spans="1:13" ht="30" customHeight="1" x14ac:dyDescent="0.2">
      <c r="A184" s="2031">
        <v>123</v>
      </c>
      <c r="B184" s="2029" t="s">
        <v>1748</v>
      </c>
      <c r="C184" s="380" t="s">
        <v>1350</v>
      </c>
      <c r="D184" s="368">
        <v>60000000</v>
      </c>
      <c r="E184" s="20">
        <v>0.05</v>
      </c>
      <c r="F184" s="368">
        <f t="shared" si="9"/>
        <v>3000000</v>
      </c>
      <c r="G184" s="2040">
        <v>4400000</v>
      </c>
      <c r="H184" s="2040" t="s">
        <v>1756</v>
      </c>
      <c r="I184" s="2159" t="s">
        <v>1793</v>
      </c>
      <c r="J184" s="2128" t="s">
        <v>588</v>
      </c>
      <c r="K184" s="2040">
        <f t="shared" si="13"/>
        <v>4400000</v>
      </c>
      <c r="L184" s="2040">
        <f>(F184+F185)-K184</f>
        <v>0</v>
      </c>
      <c r="M184" s="2101"/>
    </row>
    <row r="185" spans="1:13" ht="30" customHeight="1" x14ac:dyDescent="0.2">
      <c r="A185" s="2032"/>
      <c r="B185" s="2030"/>
      <c r="C185" s="380" t="s">
        <v>1351</v>
      </c>
      <c r="D185" s="368">
        <v>20000000</v>
      </c>
      <c r="E185" s="20">
        <v>7.0000000000000007E-2</v>
      </c>
      <c r="F185" s="368">
        <f t="shared" si="9"/>
        <v>1400000.0000000002</v>
      </c>
      <c r="G185" s="2042"/>
      <c r="H185" s="2042"/>
      <c r="I185" s="2160"/>
      <c r="J185" s="2129"/>
      <c r="K185" s="2042"/>
      <c r="L185" s="2042"/>
      <c r="M185" s="2102"/>
    </row>
    <row r="186" spans="1:13" ht="30" customHeight="1" x14ac:dyDescent="0.2">
      <c r="A186" s="4">
        <v>124</v>
      </c>
      <c r="B186" s="45" t="s">
        <v>253</v>
      </c>
      <c r="C186" s="380" t="s">
        <v>401</v>
      </c>
      <c r="D186" s="368">
        <v>200000000</v>
      </c>
      <c r="E186" s="20">
        <v>0.05</v>
      </c>
      <c r="F186" s="368">
        <f t="shared" si="9"/>
        <v>10000000</v>
      </c>
      <c r="G186" s="368">
        <v>10000000</v>
      </c>
      <c r="H186" s="368" t="s">
        <v>1431</v>
      </c>
      <c r="I186" s="420" t="s">
        <v>1472</v>
      </c>
      <c r="J186" s="21" t="s">
        <v>1473</v>
      </c>
      <c r="K186" s="368">
        <f>G186</f>
        <v>10000000</v>
      </c>
      <c r="L186" s="368">
        <f t="shared" si="10"/>
        <v>0</v>
      </c>
      <c r="M186" s="45"/>
    </row>
    <row r="187" spans="1:13" ht="30" customHeight="1" x14ac:dyDescent="0.2">
      <c r="A187" s="2031">
        <v>125</v>
      </c>
      <c r="B187" s="2029" t="s">
        <v>254</v>
      </c>
      <c r="C187" s="2149"/>
      <c r="D187" s="2040">
        <v>160000000</v>
      </c>
      <c r="E187" s="2037">
        <v>7.0000000000000007E-2</v>
      </c>
      <c r="F187" s="2040">
        <v>11000000</v>
      </c>
      <c r="G187" s="368">
        <v>11000000</v>
      </c>
      <c r="H187" s="368" t="s">
        <v>1691</v>
      </c>
      <c r="I187" s="374" t="s">
        <v>1703</v>
      </c>
      <c r="J187" s="24" t="s">
        <v>1704</v>
      </c>
      <c r="K187" s="368">
        <f>G187</f>
        <v>11000000</v>
      </c>
      <c r="L187" s="500">
        <f t="shared" si="10"/>
        <v>0</v>
      </c>
      <c r="M187" s="45"/>
    </row>
    <row r="188" spans="1:13" ht="30" customHeight="1" x14ac:dyDescent="0.2">
      <c r="A188" s="2032"/>
      <c r="B188" s="2030"/>
      <c r="C188" s="2150"/>
      <c r="D188" s="2042"/>
      <c r="E188" s="2039"/>
      <c r="F188" s="2042"/>
      <c r="G188" s="504">
        <v>11000000</v>
      </c>
      <c r="H188" s="504" t="s">
        <v>1713</v>
      </c>
      <c r="I188" s="60" t="s">
        <v>1726</v>
      </c>
      <c r="J188" s="61" t="s">
        <v>1727</v>
      </c>
      <c r="K188" s="504">
        <f>G188</f>
        <v>11000000</v>
      </c>
      <c r="L188" s="500"/>
      <c r="M188" s="45"/>
    </row>
    <row r="189" spans="1:13" ht="30" customHeight="1" x14ac:dyDescent="0.2">
      <c r="A189" s="4">
        <v>126</v>
      </c>
      <c r="B189" s="45" t="s">
        <v>255</v>
      </c>
      <c r="C189" s="380" t="s">
        <v>411</v>
      </c>
      <c r="D189" s="500">
        <v>180000000</v>
      </c>
      <c r="E189" s="20">
        <v>4.4999999999999998E-2</v>
      </c>
      <c r="F189" s="500">
        <f t="shared" si="9"/>
        <v>8100000</v>
      </c>
      <c r="G189" s="368"/>
      <c r="H189" s="368"/>
      <c r="I189" s="374"/>
      <c r="J189" s="24"/>
      <c r="K189" s="368"/>
      <c r="L189" s="366">
        <f t="shared" si="10"/>
        <v>8100000</v>
      </c>
      <c r="M189" s="45"/>
    </row>
    <row r="190" spans="1:13" ht="30" customHeight="1" x14ac:dyDescent="0.2">
      <c r="A190" s="2031">
        <v>127</v>
      </c>
      <c r="B190" s="2029" t="s">
        <v>256</v>
      </c>
      <c r="C190" s="2149"/>
      <c r="D190" s="2040">
        <v>800000000</v>
      </c>
      <c r="E190" s="2037">
        <v>0.05</v>
      </c>
      <c r="F190" s="2040">
        <f t="shared" si="9"/>
        <v>40000000</v>
      </c>
      <c r="G190" s="368">
        <v>20000000</v>
      </c>
      <c r="H190" s="368" t="s">
        <v>1431</v>
      </c>
      <c r="I190" s="420" t="s">
        <v>1476</v>
      </c>
      <c r="J190" s="24" t="s">
        <v>600</v>
      </c>
      <c r="K190" s="2040">
        <f>G190+G191</f>
        <v>40000000</v>
      </c>
      <c r="L190" s="2040">
        <f t="shared" si="10"/>
        <v>0</v>
      </c>
      <c r="M190" s="2101"/>
    </row>
    <row r="191" spans="1:13" ht="30" customHeight="1" x14ac:dyDescent="0.2">
      <c r="A191" s="2032"/>
      <c r="B191" s="2030"/>
      <c r="C191" s="2150"/>
      <c r="D191" s="2042"/>
      <c r="E191" s="2039"/>
      <c r="F191" s="2042"/>
      <c r="G191" s="510">
        <v>20000000</v>
      </c>
      <c r="H191" s="510" t="s">
        <v>1756</v>
      </c>
      <c r="I191" s="517" t="s">
        <v>1760</v>
      </c>
      <c r="J191" s="24" t="s">
        <v>600</v>
      </c>
      <c r="K191" s="2042"/>
      <c r="L191" s="2042"/>
      <c r="M191" s="2102"/>
    </row>
    <row r="192" spans="1:13" ht="30" customHeight="1" x14ac:dyDescent="0.2">
      <c r="A192" s="4">
        <v>128</v>
      </c>
      <c r="B192" s="45" t="s">
        <v>257</v>
      </c>
      <c r="C192" s="380"/>
      <c r="D192" s="366"/>
      <c r="E192" s="44"/>
      <c r="F192" s="366">
        <f t="shared" si="9"/>
        <v>0</v>
      </c>
      <c r="G192" s="368"/>
      <c r="H192" s="368"/>
      <c r="I192" s="374"/>
      <c r="J192" s="24"/>
      <c r="K192" s="368"/>
      <c r="L192" s="366">
        <f t="shared" si="10"/>
        <v>0</v>
      </c>
      <c r="M192" s="45"/>
    </row>
    <row r="193" spans="1:13" ht="30" customHeight="1" x14ac:dyDescent="0.2">
      <c r="A193" s="2031">
        <v>129</v>
      </c>
      <c r="B193" s="2029" t="s">
        <v>258</v>
      </c>
      <c r="C193" s="2149" t="s">
        <v>1138</v>
      </c>
      <c r="D193" s="397">
        <v>200000000</v>
      </c>
      <c r="E193" s="392">
        <v>0.06</v>
      </c>
      <c r="F193" s="397">
        <f>D193*E193</f>
        <v>12000000</v>
      </c>
      <c r="G193" s="390">
        <v>7000000</v>
      </c>
      <c r="H193" s="390" t="s">
        <v>926</v>
      </c>
      <c r="I193" s="401" t="s">
        <v>1402</v>
      </c>
      <c r="J193" s="24" t="s">
        <v>604</v>
      </c>
      <c r="K193" s="390"/>
      <c r="L193" s="390"/>
      <c r="M193" s="103" t="s">
        <v>1385</v>
      </c>
    </row>
    <row r="194" spans="1:13" ht="30" customHeight="1" x14ac:dyDescent="0.2">
      <c r="A194" s="2034"/>
      <c r="B194" s="2033"/>
      <c r="C194" s="2158"/>
      <c r="D194" s="2040">
        <v>200000000</v>
      </c>
      <c r="E194" s="2037">
        <v>0.06</v>
      </c>
      <c r="F194" s="2040">
        <f>D194*E194</f>
        <v>12000000</v>
      </c>
      <c r="G194" s="390">
        <v>3000000</v>
      </c>
      <c r="H194" s="390" t="s">
        <v>2063</v>
      </c>
      <c r="I194" s="401" t="s">
        <v>2621</v>
      </c>
      <c r="J194" s="24" t="s">
        <v>2622</v>
      </c>
      <c r="K194" s="2040">
        <f>G194</f>
        <v>3000000</v>
      </c>
      <c r="L194" s="2040">
        <f>F194-K194</f>
        <v>9000000</v>
      </c>
      <c r="M194" s="2043"/>
    </row>
    <row r="195" spans="1:13" ht="30" customHeight="1" x14ac:dyDescent="0.2">
      <c r="A195" s="2032"/>
      <c r="B195" s="2030"/>
      <c r="C195" s="2150"/>
      <c r="D195" s="2042"/>
      <c r="E195" s="2039"/>
      <c r="F195" s="2042"/>
      <c r="G195" s="974"/>
      <c r="H195" s="974"/>
      <c r="I195" s="979"/>
      <c r="J195" s="24"/>
      <c r="K195" s="2042"/>
      <c r="L195" s="2042"/>
      <c r="M195" s="2045"/>
    </row>
    <row r="196" spans="1:13" ht="30" customHeight="1" x14ac:dyDescent="0.2">
      <c r="A196" s="2031">
        <v>130</v>
      </c>
      <c r="B196" s="2029" t="s">
        <v>1213</v>
      </c>
      <c r="C196" s="422" t="s">
        <v>1219</v>
      </c>
      <c r="D196" s="2040">
        <v>200000000</v>
      </c>
      <c r="E196" s="2037">
        <v>0.05</v>
      </c>
      <c r="F196" s="2040">
        <f t="shared" si="9"/>
        <v>10000000</v>
      </c>
      <c r="G196" s="399">
        <v>5000000</v>
      </c>
      <c r="H196" s="399" t="s">
        <v>1756</v>
      </c>
      <c r="I196" s="424" t="s">
        <v>1795</v>
      </c>
      <c r="J196" s="37" t="s">
        <v>1796</v>
      </c>
      <c r="K196" s="2040">
        <f>G196+G197</f>
        <v>10000000</v>
      </c>
      <c r="L196" s="2040">
        <f t="shared" si="10"/>
        <v>0</v>
      </c>
      <c r="M196" s="2101"/>
    </row>
    <row r="197" spans="1:13" ht="30" customHeight="1" x14ac:dyDescent="0.2">
      <c r="A197" s="2032"/>
      <c r="B197" s="2030"/>
      <c r="C197" s="899" t="s">
        <v>971</v>
      </c>
      <c r="D197" s="2042"/>
      <c r="E197" s="2039"/>
      <c r="F197" s="2042"/>
      <c r="G197" s="896">
        <v>5000000</v>
      </c>
      <c r="H197" s="896" t="s">
        <v>2549</v>
      </c>
      <c r="I197" s="901" t="s">
        <v>2555</v>
      </c>
      <c r="J197" s="24" t="s">
        <v>1958</v>
      </c>
      <c r="K197" s="2042"/>
      <c r="L197" s="2042"/>
      <c r="M197" s="2102"/>
    </row>
    <row r="198" spans="1:13" ht="30" customHeight="1" x14ac:dyDescent="0.2">
      <c r="A198" s="4">
        <v>131</v>
      </c>
      <c r="B198" s="388" t="s">
        <v>259</v>
      </c>
      <c r="C198" s="380"/>
      <c r="D198" s="368">
        <v>200000000</v>
      </c>
      <c r="E198" s="393">
        <v>0.05</v>
      </c>
      <c r="F198" s="368">
        <f t="shared" si="9"/>
        <v>10000000</v>
      </c>
      <c r="G198" s="368">
        <v>10000000</v>
      </c>
      <c r="H198" s="368" t="s">
        <v>1756</v>
      </c>
      <c r="I198" s="374" t="s">
        <v>1788</v>
      </c>
      <c r="J198" s="28" t="s">
        <v>1789</v>
      </c>
      <c r="K198" s="368">
        <f>G198</f>
        <v>10000000</v>
      </c>
      <c r="L198" s="368">
        <f t="shared" si="10"/>
        <v>0</v>
      </c>
      <c r="M198" s="103" t="s">
        <v>1790</v>
      </c>
    </row>
    <row r="199" spans="1:13" ht="30" customHeight="1" x14ac:dyDescent="0.2">
      <c r="A199" s="2031">
        <v>132</v>
      </c>
      <c r="B199" s="2029" t="s">
        <v>1266</v>
      </c>
      <c r="C199" s="2149" t="s">
        <v>1750</v>
      </c>
      <c r="D199" s="604">
        <v>490000000</v>
      </c>
      <c r="E199" s="608">
        <v>0.05</v>
      </c>
      <c r="F199" s="604">
        <f t="shared" si="9"/>
        <v>24500000</v>
      </c>
      <c r="G199" s="2154" t="s">
        <v>2013</v>
      </c>
      <c r="H199" s="2155"/>
      <c r="I199" s="2155"/>
      <c r="J199" s="2155"/>
      <c r="K199" s="2156"/>
      <c r="L199" s="604">
        <f t="shared" si="10"/>
        <v>24500000</v>
      </c>
      <c r="M199" s="103" t="s">
        <v>2008</v>
      </c>
    </row>
    <row r="200" spans="1:13" ht="30" customHeight="1" x14ac:dyDescent="0.2">
      <c r="A200" s="2032"/>
      <c r="B200" s="2030"/>
      <c r="C200" s="2150"/>
      <c r="D200" s="647">
        <v>490000000</v>
      </c>
      <c r="E200" s="648">
        <v>0.05</v>
      </c>
      <c r="F200" s="647">
        <f t="shared" si="9"/>
        <v>24500000</v>
      </c>
      <c r="G200" s="650">
        <v>10000000</v>
      </c>
      <c r="H200" s="650" t="s">
        <v>2005</v>
      </c>
      <c r="I200" s="424" t="s">
        <v>2041</v>
      </c>
      <c r="J200" s="650" t="s">
        <v>1268</v>
      </c>
      <c r="K200" s="650">
        <f>G200</f>
        <v>10000000</v>
      </c>
      <c r="L200" s="647">
        <f>F200-K200</f>
        <v>14500000</v>
      </c>
      <c r="M200" s="103" t="s">
        <v>2012</v>
      </c>
    </row>
    <row r="201" spans="1:13" ht="30" customHeight="1" x14ac:dyDescent="0.2">
      <c r="A201" s="4">
        <v>133</v>
      </c>
      <c r="B201" s="388" t="s">
        <v>178</v>
      </c>
      <c r="C201" s="380" t="s">
        <v>1821</v>
      </c>
      <c r="D201" s="368">
        <v>100000000</v>
      </c>
      <c r="E201" s="393">
        <v>4.4999999999999998E-2</v>
      </c>
      <c r="F201" s="368">
        <f t="shared" si="9"/>
        <v>4500000</v>
      </c>
      <c r="G201" s="368">
        <v>4500000</v>
      </c>
      <c r="H201" s="368" t="s">
        <v>1852</v>
      </c>
      <c r="I201" s="374" t="s">
        <v>1921</v>
      </c>
      <c r="J201" s="24" t="s">
        <v>534</v>
      </c>
      <c r="K201" s="368">
        <f>G201</f>
        <v>4500000</v>
      </c>
      <c r="L201" s="368">
        <f t="shared" si="10"/>
        <v>0</v>
      </c>
      <c r="M201" s="45"/>
    </row>
    <row r="202" spans="1:13" ht="30" customHeight="1" x14ac:dyDescent="0.2">
      <c r="A202" s="4">
        <v>134</v>
      </c>
      <c r="B202" s="45" t="s">
        <v>169</v>
      </c>
      <c r="C202" s="380"/>
      <c r="D202" s="368">
        <v>110000000</v>
      </c>
      <c r="E202" s="20">
        <v>0.04</v>
      </c>
      <c r="F202" s="368">
        <f t="shared" si="9"/>
        <v>4400000</v>
      </c>
      <c r="G202" s="368">
        <v>4400000</v>
      </c>
      <c r="H202" s="368" t="s">
        <v>1756</v>
      </c>
      <c r="I202" s="374" t="s">
        <v>1757</v>
      </c>
      <c r="J202" s="24" t="s">
        <v>522</v>
      </c>
      <c r="K202" s="368">
        <f>G202</f>
        <v>4400000</v>
      </c>
      <c r="L202" s="368">
        <f t="shared" si="10"/>
        <v>0</v>
      </c>
      <c r="M202" s="45"/>
    </row>
    <row r="203" spans="1:13" ht="30" customHeight="1" x14ac:dyDescent="0.2">
      <c r="A203" s="2031">
        <v>135</v>
      </c>
      <c r="B203" s="2029" t="s">
        <v>7</v>
      </c>
      <c r="C203" s="529" t="s">
        <v>401</v>
      </c>
      <c r="D203" s="368">
        <v>100000000</v>
      </c>
      <c r="E203" s="20">
        <v>0.05</v>
      </c>
      <c r="F203" s="368">
        <f t="shared" si="9"/>
        <v>5000000</v>
      </c>
      <c r="G203" s="368">
        <v>5000000</v>
      </c>
      <c r="H203" s="368" t="s">
        <v>1566</v>
      </c>
      <c r="I203" s="374" t="s">
        <v>1644</v>
      </c>
      <c r="J203" s="30" t="s">
        <v>1645</v>
      </c>
      <c r="K203" s="2040">
        <f>G203+G204</f>
        <v>11000000</v>
      </c>
      <c r="L203" s="2040">
        <f>(F203+F204)-K203</f>
        <v>0</v>
      </c>
      <c r="M203" s="2101"/>
    </row>
    <row r="204" spans="1:13" ht="30" customHeight="1" x14ac:dyDescent="0.2">
      <c r="A204" s="2032"/>
      <c r="B204" s="2030"/>
      <c r="C204" s="529" t="s">
        <v>1354</v>
      </c>
      <c r="D204" s="368">
        <v>124000000</v>
      </c>
      <c r="E204" s="20">
        <v>4.9000000000000002E-2</v>
      </c>
      <c r="F204" s="368">
        <v>6000000</v>
      </c>
      <c r="G204" s="368">
        <v>6000000</v>
      </c>
      <c r="H204" s="368" t="s">
        <v>2295</v>
      </c>
      <c r="I204" s="374" t="s">
        <v>2325</v>
      </c>
      <c r="J204" s="57" t="s">
        <v>2326</v>
      </c>
      <c r="K204" s="2042"/>
      <c r="L204" s="2042"/>
      <c r="M204" s="2102"/>
    </row>
    <row r="205" spans="1:13" ht="30" customHeight="1" x14ac:dyDescent="0.2">
      <c r="A205" s="4">
        <v>136</v>
      </c>
      <c r="B205" s="45" t="s">
        <v>260</v>
      </c>
      <c r="C205" s="380"/>
      <c r="D205" s="366"/>
      <c r="E205" s="44"/>
      <c r="F205" s="366">
        <f t="shared" si="9"/>
        <v>0</v>
      </c>
      <c r="G205" s="368"/>
      <c r="H205" s="368"/>
      <c r="I205" s="374"/>
      <c r="J205" s="28"/>
      <c r="K205" s="368"/>
      <c r="L205" s="366">
        <f t="shared" si="10"/>
        <v>0</v>
      </c>
      <c r="M205" s="45"/>
    </row>
    <row r="206" spans="1:13" ht="30" customHeight="1" x14ac:dyDescent="0.2">
      <c r="A206" s="2031">
        <v>137</v>
      </c>
      <c r="B206" s="2029" t="s">
        <v>182</v>
      </c>
      <c r="C206" s="2149" t="s">
        <v>1219</v>
      </c>
      <c r="D206" s="460">
        <v>310000000</v>
      </c>
      <c r="E206" s="20">
        <f>F206/D206</f>
        <v>4.7419354838709675E-2</v>
      </c>
      <c r="F206" s="460">
        <v>14700000</v>
      </c>
      <c r="G206" s="368">
        <v>14700000</v>
      </c>
      <c r="H206" s="368" t="s">
        <v>2068</v>
      </c>
      <c r="I206" s="374" t="s">
        <v>2082</v>
      </c>
      <c r="J206" s="57" t="s">
        <v>1814</v>
      </c>
      <c r="K206" s="368">
        <f>G206</f>
        <v>14700000</v>
      </c>
      <c r="L206" s="460">
        <f t="shared" si="10"/>
        <v>0</v>
      </c>
      <c r="M206" s="525" t="s">
        <v>1785</v>
      </c>
    </row>
    <row r="207" spans="1:13" ht="30" customHeight="1" x14ac:dyDescent="0.2">
      <c r="A207" s="2034"/>
      <c r="B207" s="2033"/>
      <c r="C207" s="2158"/>
      <c r="D207" s="2157">
        <v>100000000</v>
      </c>
      <c r="E207" s="2115" t="s">
        <v>1812</v>
      </c>
      <c r="F207" s="2116"/>
      <c r="G207" s="520">
        <v>45000000</v>
      </c>
      <c r="H207" s="520" t="s">
        <v>1804</v>
      </c>
      <c r="I207" s="526" t="s">
        <v>1813</v>
      </c>
      <c r="J207" s="57" t="s">
        <v>1814</v>
      </c>
      <c r="K207" s="2040">
        <f>G207+G208+G209</f>
        <v>100000000</v>
      </c>
      <c r="L207" s="2040">
        <f>D207-K207</f>
        <v>0</v>
      </c>
      <c r="M207" s="2191" t="s">
        <v>2083</v>
      </c>
    </row>
    <row r="208" spans="1:13" ht="30" customHeight="1" x14ac:dyDescent="0.2">
      <c r="A208" s="2034"/>
      <c r="B208" s="2033"/>
      <c r="C208" s="2158"/>
      <c r="D208" s="2157"/>
      <c r="E208" s="2121"/>
      <c r="F208" s="2122"/>
      <c r="G208" s="658">
        <v>50000000</v>
      </c>
      <c r="H208" s="658" t="s">
        <v>1852</v>
      </c>
      <c r="I208" s="666" t="s">
        <v>2085</v>
      </c>
      <c r="J208" s="57" t="s">
        <v>1814</v>
      </c>
      <c r="K208" s="2041"/>
      <c r="L208" s="2041"/>
      <c r="M208" s="2191"/>
    </row>
    <row r="209" spans="1:13" ht="30" customHeight="1" x14ac:dyDescent="0.2">
      <c r="A209" s="2034"/>
      <c r="B209" s="2033"/>
      <c r="C209" s="2158"/>
      <c r="D209" s="2157"/>
      <c r="E209" s="2117"/>
      <c r="F209" s="2118"/>
      <c r="G209" s="520">
        <v>5000000</v>
      </c>
      <c r="H209" s="520" t="s">
        <v>2068</v>
      </c>
      <c r="I209" s="526" t="s">
        <v>2082</v>
      </c>
      <c r="J209" s="57" t="s">
        <v>1814</v>
      </c>
      <c r="K209" s="2042"/>
      <c r="L209" s="2042"/>
      <c r="M209" s="2191"/>
    </row>
    <row r="210" spans="1:13" ht="30" customHeight="1" x14ac:dyDescent="0.2">
      <c r="A210" s="2032"/>
      <c r="B210" s="2030"/>
      <c r="C210" s="2150"/>
      <c r="D210" s="658">
        <v>210000000</v>
      </c>
      <c r="E210" s="670">
        <v>4.7E-2</v>
      </c>
      <c r="F210" s="661">
        <f>D210*E210</f>
        <v>9870000</v>
      </c>
      <c r="G210" s="2200" t="s">
        <v>2080</v>
      </c>
      <c r="H210" s="2201"/>
      <c r="I210" s="2201"/>
      <c r="J210" s="2201"/>
      <c r="K210" s="2201"/>
      <c r="L210" s="2202"/>
      <c r="M210" s="662"/>
    </row>
    <row r="211" spans="1:13" ht="30" customHeight="1" x14ac:dyDescent="0.2">
      <c r="A211" s="4">
        <v>138</v>
      </c>
      <c r="B211" s="45" t="s">
        <v>262</v>
      </c>
      <c r="C211" s="380" t="s">
        <v>411</v>
      </c>
      <c r="D211" s="597">
        <v>500000000</v>
      </c>
      <c r="E211" s="608">
        <v>0.05</v>
      </c>
      <c r="F211" s="597">
        <f t="shared" si="9"/>
        <v>25000000</v>
      </c>
      <c r="G211" s="597">
        <v>30000000</v>
      </c>
      <c r="H211" s="597" t="s">
        <v>1691</v>
      </c>
      <c r="I211" s="607" t="s">
        <v>1692</v>
      </c>
      <c r="J211" s="24" t="s">
        <v>1693</v>
      </c>
      <c r="K211" s="597">
        <f>G211</f>
        <v>30000000</v>
      </c>
      <c r="L211" s="601">
        <f t="shared" si="10"/>
        <v>-5000000</v>
      </c>
      <c r="M211" s="45" t="s">
        <v>2021</v>
      </c>
    </row>
    <row r="212" spans="1:13" ht="30" customHeight="1" x14ac:dyDescent="0.2">
      <c r="A212" s="4">
        <v>139</v>
      </c>
      <c r="B212" s="22" t="s">
        <v>163</v>
      </c>
      <c r="C212" s="817" t="s">
        <v>1821</v>
      </c>
      <c r="D212" s="819">
        <v>110000000</v>
      </c>
      <c r="E212" s="821">
        <v>0.05</v>
      </c>
      <c r="F212" s="819">
        <f t="shared" si="9"/>
        <v>5500000</v>
      </c>
      <c r="G212" s="816">
        <v>5500000</v>
      </c>
      <c r="H212" s="816" t="s">
        <v>1835</v>
      </c>
      <c r="I212" s="820" t="s">
        <v>1836</v>
      </c>
      <c r="J212" s="30" t="s">
        <v>1837</v>
      </c>
      <c r="K212" s="819">
        <f>G212</f>
        <v>5500000</v>
      </c>
      <c r="L212" s="819">
        <f t="shared" si="10"/>
        <v>0</v>
      </c>
      <c r="M212" s="22"/>
    </row>
    <row r="213" spans="1:13" ht="30" customHeight="1" x14ac:dyDescent="0.2">
      <c r="A213" s="712"/>
      <c r="B213" s="22" t="s">
        <v>2404</v>
      </c>
      <c r="C213" s="817" t="s">
        <v>265</v>
      </c>
      <c r="D213" s="819">
        <v>50000000</v>
      </c>
      <c r="E213" s="821">
        <v>0.05</v>
      </c>
      <c r="F213" s="819">
        <f>D213*E213</f>
        <v>2500000</v>
      </c>
      <c r="G213" s="816">
        <v>2500000</v>
      </c>
      <c r="H213" s="816" t="s">
        <v>2135</v>
      </c>
      <c r="I213" s="820" t="s">
        <v>2160</v>
      </c>
      <c r="J213" s="30" t="s">
        <v>1837</v>
      </c>
      <c r="K213" s="819">
        <f>G213</f>
        <v>2500000</v>
      </c>
      <c r="L213" s="819">
        <f t="shared" si="10"/>
        <v>0</v>
      </c>
      <c r="M213" s="22"/>
    </row>
    <row r="214" spans="1:13" ht="30" customHeight="1" x14ac:dyDescent="0.2">
      <c r="A214" s="4">
        <v>140</v>
      </c>
      <c r="B214" s="45" t="s">
        <v>546</v>
      </c>
      <c r="C214" s="380" t="s">
        <v>380</v>
      </c>
      <c r="D214" s="366"/>
      <c r="E214" s="44"/>
      <c r="F214" s="366">
        <f t="shared" si="9"/>
        <v>0</v>
      </c>
      <c r="G214" s="368">
        <v>6000000</v>
      </c>
      <c r="H214" s="368" t="s">
        <v>1804</v>
      </c>
      <c r="I214" s="374" t="s">
        <v>1807</v>
      </c>
      <c r="J214" s="21" t="s">
        <v>1808</v>
      </c>
      <c r="K214" s="368">
        <f>G214</f>
        <v>6000000</v>
      </c>
      <c r="L214" s="366">
        <f t="shared" si="10"/>
        <v>-6000000</v>
      </c>
      <c r="M214" s="45"/>
    </row>
    <row r="215" spans="1:13" ht="30" customHeight="1" x14ac:dyDescent="0.2">
      <c r="A215" s="4">
        <v>141</v>
      </c>
      <c r="B215" s="45" t="s">
        <v>8</v>
      </c>
      <c r="C215" s="380"/>
      <c r="D215" s="368">
        <v>30000000</v>
      </c>
      <c r="E215" s="20">
        <v>0.05</v>
      </c>
      <c r="F215" s="368">
        <f t="shared" si="9"/>
        <v>1500000</v>
      </c>
      <c r="G215" s="368">
        <v>1500000</v>
      </c>
      <c r="H215" s="368" t="s">
        <v>926</v>
      </c>
      <c r="I215" s="374" t="s">
        <v>1400</v>
      </c>
      <c r="J215" s="24" t="s">
        <v>548</v>
      </c>
      <c r="K215" s="368">
        <f>G215</f>
        <v>1500000</v>
      </c>
      <c r="L215" s="368">
        <f t="shared" si="10"/>
        <v>0</v>
      </c>
      <c r="M215" s="45"/>
    </row>
    <row r="216" spans="1:13" ht="30" customHeight="1" x14ac:dyDescent="0.2">
      <c r="A216" s="2031">
        <v>142</v>
      </c>
      <c r="B216" s="2101" t="s">
        <v>9</v>
      </c>
      <c r="C216" s="2149"/>
      <c r="D216" s="2101"/>
      <c r="E216" s="2037"/>
      <c r="F216" s="2040">
        <f>D217*E216</f>
        <v>0</v>
      </c>
      <c r="G216" s="1131">
        <v>50000000</v>
      </c>
      <c r="H216" s="368" t="s">
        <v>1804</v>
      </c>
      <c r="I216" s="373" t="s">
        <v>1824</v>
      </c>
      <c r="J216" s="24" t="s">
        <v>1825</v>
      </c>
      <c r="K216" s="2040">
        <f>G216+G217+G218+G219+G220+G221+G222+G223+G224+G225+G226+G227+G228+G229+G230</f>
        <v>261900000</v>
      </c>
      <c r="L216" s="2040">
        <f>262330000-K216</f>
        <v>430000</v>
      </c>
      <c r="M216" s="1130" t="s">
        <v>1875</v>
      </c>
    </row>
    <row r="217" spans="1:13" ht="30" customHeight="1" x14ac:dyDescent="0.2">
      <c r="A217" s="2034"/>
      <c r="B217" s="2222"/>
      <c r="C217" s="2158"/>
      <c r="D217" s="2222"/>
      <c r="E217" s="2038"/>
      <c r="F217" s="2041"/>
      <c r="G217" s="1131">
        <v>20000000</v>
      </c>
      <c r="H217" s="546" t="s">
        <v>1852</v>
      </c>
      <c r="I217" s="554" t="s">
        <v>1881</v>
      </c>
      <c r="J217" s="37" t="s">
        <v>1882</v>
      </c>
      <c r="K217" s="2041"/>
      <c r="L217" s="2041"/>
      <c r="M217" s="1144" t="s">
        <v>1883</v>
      </c>
    </row>
    <row r="218" spans="1:13" ht="30" customHeight="1" x14ac:dyDescent="0.2">
      <c r="A218" s="2034"/>
      <c r="B218" s="2222"/>
      <c r="C218" s="2158"/>
      <c r="D218" s="2222"/>
      <c r="E218" s="2038"/>
      <c r="F218" s="2041"/>
      <c r="G218" s="1131">
        <v>7200000</v>
      </c>
      <c r="H218" s="1129" t="s">
        <v>1315</v>
      </c>
      <c r="I218" s="1154"/>
      <c r="J218" s="973"/>
      <c r="K218" s="2041"/>
      <c r="L218" s="2041"/>
      <c r="M218" s="1144"/>
    </row>
    <row r="219" spans="1:13" ht="30" customHeight="1" x14ac:dyDescent="0.2">
      <c r="A219" s="2034"/>
      <c r="B219" s="2222"/>
      <c r="C219" s="2158"/>
      <c r="D219" s="2222"/>
      <c r="E219" s="2038"/>
      <c r="F219" s="2041"/>
      <c r="G219" s="1131">
        <v>42000000</v>
      </c>
      <c r="H219" s="1129" t="s">
        <v>520</v>
      </c>
      <c r="I219" s="1154"/>
      <c r="J219" s="973"/>
      <c r="K219" s="2041"/>
      <c r="L219" s="2041"/>
      <c r="M219" s="1144"/>
    </row>
    <row r="220" spans="1:13" ht="30" customHeight="1" x14ac:dyDescent="0.2">
      <c r="A220" s="2034"/>
      <c r="B220" s="2222"/>
      <c r="C220" s="2158"/>
      <c r="D220" s="2222"/>
      <c r="E220" s="2038"/>
      <c r="F220" s="2041"/>
      <c r="G220" s="1131">
        <v>5000000</v>
      </c>
      <c r="H220" s="1129" t="s">
        <v>933</v>
      </c>
      <c r="I220" s="1154"/>
      <c r="J220" s="973"/>
      <c r="K220" s="2041"/>
      <c r="L220" s="2041"/>
      <c r="M220" s="1144"/>
    </row>
    <row r="221" spans="1:13" ht="30" customHeight="1" x14ac:dyDescent="0.2">
      <c r="A221" s="2034"/>
      <c r="B221" s="2222"/>
      <c r="C221" s="2158"/>
      <c r="D221" s="2222"/>
      <c r="E221" s="2038"/>
      <c r="F221" s="2041"/>
      <c r="G221" s="1131">
        <v>5000000</v>
      </c>
      <c r="H221" s="1129" t="s">
        <v>755</v>
      </c>
      <c r="I221" s="1154"/>
      <c r="J221" s="973"/>
      <c r="K221" s="2041"/>
      <c r="L221" s="2041"/>
      <c r="M221" s="1144"/>
    </row>
    <row r="222" spans="1:13" ht="30" customHeight="1" x14ac:dyDescent="0.2">
      <c r="A222" s="2034"/>
      <c r="B222" s="2222"/>
      <c r="C222" s="2158"/>
      <c r="D222" s="2222"/>
      <c r="E222" s="2038"/>
      <c r="F222" s="2041"/>
      <c r="G222" s="1131">
        <v>10000000</v>
      </c>
      <c r="H222" s="1129" t="s">
        <v>755</v>
      </c>
      <c r="I222" s="1154"/>
      <c r="J222" s="973"/>
      <c r="K222" s="2041"/>
      <c r="L222" s="2041"/>
      <c r="M222" s="1144"/>
    </row>
    <row r="223" spans="1:13" ht="30" customHeight="1" x14ac:dyDescent="0.2">
      <c r="A223" s="2034"/>
      <c r="B223" s="2222"/>
      <c r="C223" s="2158"/>
      <c r="D223" s="2222"/>
      <c r="E223" s="2038"/>
      <c r="F223" s="2041"/>
      <c r="G223" s="1131">
        <v>1000000</v>
      </c>
      <c r="H223" s="1129" t="s">
        <v>329</v>
      </c>
      <c r="I223" s="1154"/>
      <c r="J223" s="973"/>
      <c r="K223" s="2041"/>
      <c r="L223" s="2041"/>
      <c r="M223" s="1144"/>
    </row>
    <row r="224" spans="1:13" ht="30" customHeight="1" x14ac:dyDescent="0.2">
      <c r="A224" s="2034"/>
      <c r="B224" s="2222"/>
      <c r="C224" s="2158"/>
      <c r="D224" s="2222"/>
      <c r="E224" s="2038"/>
      <c r="F224" s="2041"/>
      <c r="G224" s="1131">
        <v>30000000</v>
      </c>
      <c r="H224" s="647" t="s">
        <v>388</v>
      </c>
      <c r="I224" s="651" t="s">
        <v>2045</v>
      </c>
      <c r="J224" s="37" t="s">
        <v>2046</v>
      </c>
      <c r="K224" s="2041"/>
      <c r="L224" s="2041"/>
      <c r="M224" s="2191" t="s">
        <v>1676</v>
      </c>
    </row>
    <row r="225" spans="1:13" ht="30" customHeight="1" x14ac:dyDescent="0.2">
      <c r="A225" s="2034"/>
      <c r="B225" s="2222"/>
      <c r="C225" s="2158"/>
      <c r="D225" s="2222"/>
      <c r="E225" s="2038"/>
      <c r="F225" s="2041"/>
      <c r="G225" s="1131">
        <v>1000000</v>
      </c>
      <c r="H225" s="658" t="s">
        <v>2005</v>
      </c>
      <c r="I225" s="667" t="s">
        <v>2059</v>
      </c>
      <c r="J225" s="37" t="s">
        <v>2061</v>
      </c>
      <c r="K225" s="2041"/>
      <c r="L225" s="2041"/>
      <c r="M225" s="2191"/>
    </row>
    <row r="226" spans="1:13" ht="30" customHeight="1" x14ac:dyDescent="0.2">
      <c r="A226" s="2034"/>
      <c r="B226" s="2222"/>
      <c r="C226" s="2158"/>
      <c r="D226" s="2222"/>
      <c r="E226" s="2038"/>
      <c r="F226" s="2041"/>
      <c r="G226" s="1131">
        <v>14000000</v>
      </c>
      <c r="H226" s="658" t="s">
        <v>2005</v>
      </c>
      <c r="I226" s="667" t="s">
        <v>2058</v>
      </c>
      <c r="J226" s="37" t="s">
        <v>2061</v>
      </c>
      <c r="K226" s="2041"/>
      <c r="L226" s="2041"/>
      <c r="M226" s="2191"/>
    </row>
    <row r="227" spans="1:13" ht="30" customHeight="1" x14ac:dyDescent="0.2">
      <c r="A227" s="2034"/>
      <c r="B227" s="2222"/>
      <c r="C227" s="2158"/>
      <c r="D227" s="2222"/>
      <c r="E227" s="2038"/>
      <c r="F227" s="2041"/>
      <c r="G227" s="1131">
        <v>20000000</v>
      </c>
      <c r="H227" s="658" t="s">
        <v>2005</v>
      </c>
      <c r="I227" s="667" t="s">
        <v>2060</v>
      </c>
      <c r="J227" s="37" t="s">
        <v>2061</v>
      </c>
      <c r="K227" s="2041"/>
      <c r="L227" s="2041"/>
      <c r="M227" s="2191"/>
    </row>
    <row r="228" spans="1:13" ht="30" customHeight="1" x14ac:dyDescent="0.2">
      <c r="A228" s="2034"/>
      <c r="B228" s="2222"/>
      <c r="C228" s="2158"/>
      <c r="D228" s="2222"/>
      <c r="E228" s="2038"/>
      <c r="F228" s="2041"/>
      <c r="G228" s="1131">
        <v>37400000</v>
      </c>
      <c r="H228" s="658" t="s">
        <v>2068</v>
      </c>
      <c r="I228" s="667" t="s">
        <v>2123</v>
      </c>
      <c r="J228" s="427" t="s">
        <v>2061</v>
      </c>
      <c r="K228" s="2041"/>
      <c r="L228" s="2041"/>
      <c r="M228" s="2191"/>
    </row>
    <row r="229" spans="1:13" ht="30" customHeight="1" x14ac:dyDescent="0.2">
      <c r="A229" s="2034"/>
      <c r="B229" s="2222"/>
      <c r="C229" s="2158"/>
      <c r="D229" s="2222"/>
      <c r="E229" s="2038"/>
      <c r="F229" s="2041"/>
      <c r="G229" s="1131">
        <v>2000000</v>
      </c>
      <c r="H229" s="1132"/>
      <c r="I229" s="1154"/>
      <c r="J229" s="973"/>
      <c r="K229" s="2041"/>
      <c r="L229" s="2041"/>
      <c r="M229" s="2191"/>
    </row>
    <row r="230" spans="1:13" ht="30" customHeight="1" x14ac:dyDescent="0.2">
      <c r="A230" s="2034"/>
      <c r="B230" s="2222"/>
      <c r="C230" s="2158"/>
      <c r="D230" s="2222"/>
      <c r="E230" s="2038"/>
      <c r="F230" s="2041"/>
      <c r="G230" s="1131">
        <v>17300000</v>
      </c>
      <c r="H230" s="658" t="s">
        <v>2431</v>
      </c>
      <c r="I230" s="667" t="s">
        <v>2445</v>
      </c>
      <c r="J230" s="685" t="s">
        <v>2061</v>
      </c>
      <c r="K230" s="2041"/>
      <c r="L230" s="2041"/>
      <c r="M230" s="2191"/>
    </row>
    <row r="231" spans="1:13" ht="30" customHeight="1" x14ac:dyDescent="0.2">
      <c r="A231" s="2032"/>
      <c r="B231" s="2102"/>
      <c r="C231" s="2150"/>
      <c r="D231" s="2102"/>
      <c r="E231" s="2039"/>
      <c r="F231" s="2042"/>
      <c r="G231" s="483">
        <v>10000000</v>
      </c>
      <c r="H231" s="483" t="s">
        <v>2577</v>
      </c>
      <c r="I231" s="1152" t="s">
        <v>2601</v>
      </c>
      <c r="J231" s="1153" t="s">
        <v>2061</v>
      </c>
      <c r="K231" s="2042"/>
      <c r="L231" s="2042"/>
      <c r="M231" s="2052"/>
    </row>
    <row r="232" spans="1:13" ht="30" customHeight="1" x14ac:dyDescent="0.2">
      <c r="A232" s="4">
        <v>143</v>
      </c>
      <c r="B232" s="45" t="s">
        <v>10</v>
      </c>
      <c r="C232" s="380"/>
      <c r="D232" s="368">
        <v>50000000</v>
      </c>
      <c r="E232" s="20">
        <v>0.04</v>
      </c>
      <c r="F232" s="368">
        <f t="shared" si="9"/>
        <v>2000000</v>
      </c>
      <c r="G232" s="368"/>
      <c r="H232" s="368"/>
      <c r="I232" s="374"/>
      <c r="J232" s="30"/>
      <c r="K232" s="368"/>
      <c r="L232" s="368">
        <f t="shared" si="10"/>
        <v>2000000</v>
      </c>
      <c r="M232" s="103"/>
    </row>
    <row r="233" spans="1:13" ht="30" customHeight="1" x14ac:dyDescent="0.2">
      <c r="A233" s="4">
        <v>144</v>
      </c>
      <c r="B233" s="45" t="s">
        <v>527</v>
      </c>
      <c r="C233" s="380"/>
      <c r="D233" s="368">
        <v>5000000</v>
      </c>
      <c r="E233" s="20">
        <v>0.05</v>
      </c>
      <c r="F233" s="368">
        <f t="shared" si="9"/>
        <v>250000</v>
      </c>
      <c r="G233" s="368">
        <v>250000</v>
      </c>
      <c r="H233" s="368" t="s">
        <v>1566</v>
      </c>
      <c r="I233" s="374" t="s">
        <v>1681</v>
      </c>
      <c r="J233" s="24" t="s">
        <v>529</v>
      </c>
      <c r="K233" s="368">
        <f>G233</f>
        <v>250000</v>
      </c>
      <c r="L233" s="368">
        <f t="shared" si="10"/>
        <v>0</v>
      </c>
      <c r="M233" s="45"/>
    </row>
    <row r="234" spans="1:13" ht="30" customHeight="1" x14ac:dyDescent="0.2">
      <c r="A234" s="4">
        <v>145</v>
      </c>
      <c r="B234" s="45" t="s">
        <v>11</v>
      </c>
      <c r="C234" s="380" t="s">
        <v>1215</v>
      </c>
      <c r="D234" s="368">
        <v>105000000</v>
      </c>
      <c r="E234" s="20">
        <v>0.04</v>
      </c>
      <c r="F234" s="368">
        <f t="shared" si="9"/>
        <v>4200000</v>
      </c>
      <c r="G234" s="368">
        <v>4200000</v>
      </c>
      <c r="H234" s="368" t="s">
        <v>1804</v>
      </c>
      <c r="I234" s="374" t="s">
        <v>1833</v>
      </c>
      <c r="J234" s="21" t="s">
        <v>1834</v>
      </c>
      <c r="K234" s="368">
        <f>G234</f>
        <v>4200000</v>
      </c>
      <c r="L234" s="368">
        <f t="shared" si="10"/>
        <v>0</v>
      </c>
      <c r="M234" s="45"/>
    </row>
    <row r="235" spans="1:13" ht="30" customHeight="1" x14ac:dyDescent="0.2">
      <c r="A235" s="4">
        <v>146</v>
      </c>
      <c r="B235" s="45" t="s">
        <v>12</v>
      </c>
      <c r="C235" s="380"/>
      <c r="D235" s="368">
        <v>50000000</v>
      </c>
      <c r="E235" s="20">
        <v>4.4999999999999998E-2</v>
      </c>
      <c r="F235" s="368">
        <f t="shared" si="9"/>
        <v>2250000</v>
      </c>
      <c r="G235" s="368"/>
      <c r="H235" s="368"/>
      <c r="I235" s="374"/>
      <c r="J235" s="24"/>
      <c r="K235" s="368"/>
      <c r="L235" s="368">
        <f t="shared" si="10"/>
        <v>2250000</v>
      </c>
      <c r="M235" s="45"/>
    </row>
    <row r="236" spans="1:13" ht="30" customHeight="1" x14ac:dyDescent="0.2">
      <c r="A236" s="4">
        <v>147</v>
      </c>
      <c r="B236" s="45" t="s">
        <v>13</v>
      </c>
      <c r="C236" s="380" t="s">
        <v>1350</v>
      </c>
      <c r="D236" s="368">
        <v>30000000</v>
      </c>
      <c r="E236" s="20">
        <v>0.04</v>
      </c>
      <c r="F236" s="368">
        <f t="shared" si="9"/>
        <v>1200000</v>
      </c>
      <c r="G236" s="368">
        <v>1200000</v>
      </c>
      <c r="H236" s="368" t="s">
        <v>1566</v>
      </c>
      <c r="I236" s="374" t="s">
        <v>1632</v>
      </c>
      <c r="J236" s="30" t="s">
        <v>525</v>
      </c>
      <c r="K236" s="368">
        <f>G236</f>
        <v>1200000</v>
      </c>
      <c r="L236" s="368">
        <f t="shared" si="10"/>
        <v>0</v>
      </c>
      <c r="M236" s="169" t="s">
        <v>526</v>
      </c>
    </row>
    <row r="237" spans="1:13" ht="30" customHeight="1" x14ac:dyDescent="0.2">
      <c r="A237" s="2031">
        <v>148</v>
      </c>
      <c r="B237" s="2029" t="s">
        <v>14</v>
      </c>
      <c r="C237" s="2149" t="s">
        <v>1590</v>
      </c>
      <c r="D237" s="2040">
        <v>55000000</v>
      </c>
      <c r="E237" s="2037">
        <v>0.05</v>
      </c>
      <c r="F237" s="2040">
        <f t="shared" si="9"/>
        <v>2750000</v>
      </c>
      <c r="G237" s="368">
        <v>500000</v>
      </c>
      <c r="H237" s="368" t="s">
        <v>1052</v>
      </c>
      <c r="I237" s="374" t="s">
        <v>1421</v>
      </c>
      <c r="J237" s="24" t="s">
        <v>395</v>
      </c>
      <c r="K237" s="2040">
        <f>G237+G238</f>
        <v>2750000</v>
      </c>
      <c r="L237" s="2040">
        <f t="shared" si="10"/>
        <v>0</v>
      </c>
      <c r="M237" s="2101"/>
    </row>
    <row r="238" spans="1:13" ht="30" customHeight="1" x14ac:dyDescent="0.2">
      <c r="A238" s="2032"/>
      <c r="B238" s="2030"/>
      <c r="C238" s="2150"/>
      <c r="D238" s="2042"/>
      <c r="E238" s="2039"/>
      <c r="F238" s="2042"/>
      <c r="G238" s="597">
        <v>2250000</v>
      </c>
      <c r="H238" s="597" t="s">
        <v>1898</v>
      </c>
      <c r="I238" s="605" t="s">
        <v>1989</v>
      </c>
      <c r="J238" s="427" t="s">
        <v>395</v>
      </c>
      <c r="K238" s="2042"/>
      <c r="L238" s="2042"/>
      <c r="M238" s="2102"/>
    </row>
    <row r="239" spans="1:13" ht="30" customHeight="1" x14ac:dyDescent="0.2">
      <c r="A239" s="4">
        <v>149</v>
      </c>
      <c r="B239" s="45" t="s">
        <v>15</v>
      </c>
      <c r="C239" s="380" t="s">
        <v>1346</v>
      </c>
      <c r="D239" s="368">
        <v>80000000</v>
      </c>
      <c r="E239" s="20">
        <v>0.05</v>
      </c>
      <c r="F239" s="368">
        <f t="shared" si="9"/>
        <v>4000000</v>
      </c>
      <c r="G239" s="368">
        <v>4000000</v>
      </c>
      <c r="H239" s="368" t="s">
        <v>2295</v>
      </c>
      <c r="I239" s="374" t="s">
        <v>2312</v>
      </c>
      <c r="J239" s="30" t="s">
        <v>484</v>
      </c>
      <c r="K239" s="368">
        <f t="shared" ref="K239:K244" si="14">G239</f>
        <v>4000000</v>
      </c>
      <c r="L239" s="368">
        <f t="shared" si="10"/>
        <v>0</v>
      </c>
      <c r="M239" s="168" t="s">
        <v>364</v>
      </c>
    </row>
    <row r="240" spans="1:13" ht="30" customHeight="1" x14ac:dyDescent="0.2">
      <c r="A240" s="4">
        <v>150</v>
      </c>
      <c r="B240" s="45" t="s">
        <v>16</v>
      </c>
      <c r="C240" s="380"/>
      <c r="D240" s="366"/>
      <c r="E240" s="44"/>
      <c r="F240" s="366">
        <f t="shared" si="9"/>
        <v>0</v>
      </c>
      <c r="G240" s="368">
        <v>6400000</v>
      </c>
      <c r="H240" s="368" t="s">
        <v>2202</v>
      </c>
      <c r="I240" s="374" t="s">
        <v>2203</v>
      </c>
      <c r="J240" s="24" t="s">
        <v>2204</v>
      </c>
      <c r="K240" s="368">
        <f t="shared" si="14"/>
        <v>6400000</v>
      </c>
      <c r="L240" s="366">
        <f t="shared" si="10"/>
        <v>-6400000</v>
      </c>
      <c r="M240" s="45"/>
    </row>
    <row r="241" spans="1:13" ht="30" customHeight="1" x14ac:dyDescent="0.2">
      <c r="A241" s="4">
        <v>151</v>
      </c>
      <c r="B241" s="45" t="s">
        <v>17</v>
      </c>
      <c r="C241" s="380" t="s">
        <v>1138</v>
      </c>
      <c r="D241" s="368">
        <v>180000000</v>
      </c>
      <c r="E241" s="20">
        <v>0.05</v>
      </c>
      <c r="F241" s="368">
        <f t="shared" si="9"/>
        <v>9000000</v>
      </c>
      <c r="G241" s="368">
        <v>9000000</v>
      </c>
      <c r="H241" s="368" t="s">
        <v>2277</v>
      </c>
      <c r="I241" s="36" t="s">
        <v>2278</v>
      </c>
      <c r="J241" s="24" t="s">
        <v>2279</v>
      </c>
      <c r="K241" s="368">
        <f t="shared" si="14"/>
        <v>9000000</v>
      </c>
      <c r="L241" s="368">
        <f t="shared" si="10"/>
        <v>0</v>
      </c>
      <c r="M241" s="45"/>
    </row>
    <row r="242" spans="1:13" ht="30" customHeight="1" x14ac:dyDescent="0.2">
      <c r="A242" s="4">
        <v>152</v>
      </c>
      <c r="B242" s="45" t="s">
        <v>1146</v>
      </c>
      <c r="C242" s="380"/>
      <c r="D242" s="368">
        <v>35000000</v>
      </c>
      <c r="E242" s="20">
        <v>4.7E-2</v>
      </c>
      <c r="F242" s="368">
        <v>1650000</v>
      </c>
      <c r="G242" s="368">
        <v>1650000</v>
      </c>
      <c r="H242" s="368" t="s">
        <v>2503</v>
      </c>
      <c r="I242" s="374" t="s">
        <v>2508</v>
      </c>
      <c r="J242" s="24" t="s">
        <v>1148</v>
      </c>
      <c r="K242" s="368">
        <f t="shared" si="14"/>
        <v>1650000</v>
      </c>
      <c r="L242" s="368">
        <f t="shared" si="10"/>
        <v>0</v>
      </c>
      <c r="M242" s="45"/>
    </row>
    <row r="243" spans="1:13" ht="30" customHeight="1" x14ac:dyDescent="0.2">
      <c r="A243" s="4">
        <v>153</v>
      </c>
      <c r="B243" s="45" t="s">
        <v>18</v>
      </c>
      <c r="C243" s="380"/>
      <c r="D243" s="368">
        <v>30000000</v>
      </c>
      <c r="E243" s="20">
        <v>0.04</v>
      </c>
      <c r="F243" s="368">
        <f t="shared" si="9"/>
        <v>1200000</v>
      </c>
      <c r="G243" s="368">
        <v>1200000</v>
      </c>
      <c r="H243" s="368" t="s">
        <v>2344</v>
      </c>
      <c r="I243" s="374" t="s">
        <v>2352</v>
      </c>
      <c r="J243" s="24" t="s">
        <v>2353</v>
      </c>
      <c r="K243" s="368">
        <f t="shared" si="14"/>
        <v>1200000</v>
      </c>
      <c r="L243" s="368">
        <f t="shared" si="10"/>
        <v>0</v>
      </c>
      <c r="M243" s="45"/>
    </row>
    <row r="244" spans="1:13" ht="30" customHeight="1" x14ac:dyDescent="0.2">
      <c r="A244" s="4">
        <v>154</v>
      </c>
      <c r="B244" s="45" t="s">
        <v>19</v>
      </c>
      <c r="C244" s="380" t="s">
        <v>1913</v>
      </c>
      <c r="D244" s="368">
        <v>15000000</v>
      </c>
      <c r="E244" s="20">
        <v>7.0000000000000007E-2</v>
      </c>
      <c r="F244" s="368">
        <f t="shared" si="9"/>
        <v>1050000</v>
      </c>
      <c r="G244" s="368">
        <v>1050000</v>
      </c>
      <c r="H244" s="368" t="s">
        <v>2626</v>
      </c>
      <c r="I244" s="374" t="s">
        <v>2634</v>
      </c>
      <c r="J244" s="24" t="s">
        <v>1330</v>
      </c>
      <c r="K244" s="368">
        <f t="shared" si="14"/>
        <v>1050000</v>
      </c>
      <c r="L244" s="368">
        <f t="shared" si="10"/>
        <v>0</v>
      </c>
      <c r="M244" s="45"/>
    </row>
    <row r="245" spans="1:13" ht="30" customHeight="1" x14ac:dyDescent="0.2">
      <c r="A245" s="4">
        <v>155</v>
      </c>
      <c r="B245" s="45" t="s">
        <v>20</v>
      </c>
      <c r="C245" s="380"/>
      <c r="D245" s="366"/>
      <c r="E245" s="44"/>
      <c r="F245" s="366">
        <f t="shared" si="9"/>
        <v>0</v>
      </c>
      <c r="G245" s="368"/>
      <c r="H245" s="368"/>
      <c r="I245" s="36"/>
      <c r="J245" s="24"/>
      <c r="K245" s="368"/>
      <c r="L245" s="366">
        <f t="shared" si="10"/>
        <v>0</v>
      </c>
      <c r="M245" s="45"/>
    </row>
    <row r="246" spans="1:13" ht="30" customHeight="1" x14ac:dyDescent="0.2">
      <c r="A246" s="689">
        <v>156</v>
      </c>
      <c r="B246" s="188" t="s">
        <v>21</v>
      </c>
      <c r="C246" s="421"/>
      <c r="D246" s="399">
        <v>50000000</v>
      </c>
      <c r="E246" s="20">
        <v>0.04</v>
      </c>
      <c r="F246" s="399">
        <f t="shared" si="9"/>
        <v>2000000</v>
      </c>
      <c r="G246" s="368">
        <v>2000000</v>
      </c>
      <c r="H246" s="368" t="s">
        <v>2135</v>
      </c>
      <c r="I246" s="374" t="s">
        <v>2154</v>
      </c>
      <c r="J246" s="21" t="s">
        <v>472</v>
      </c>
      <c r="K246" s="399">
        <f>G246</f>
        <v>2000000</v>
      </c>
      <c r="L246" s="399">
        <f t="shared" si="10"/>
        <v>0</v>
      </c>
      <c r="M246" s="466" t="s">
        <v>2158</v>
      </c>
    </row>
    <row r="247" spans="1:13" ht="30" customHeight="1" x14ac:dyDescent="0.2">
      <c r="A247" s="4">
        <v>157</v>
      </c>
      <c r="B247" s="45" t="s">
        <v>22</v>
      </c>
      <c r="C247" s="380" t="s">
        <v>1349</v>
      </c>
      <c r="D247" s="368">
        <v>20000000</v>
      </c>
      <c r="E247" s="393">
        <v>0.05</v>
      </c>
      <c r="F247" s="368">
        <f t="shared" si="9"/>
        <v>1000000</v>
      </c>
      <c r="G247" s="368">
        <v>1000000</v>
      </c>
      <c r="H247" s="368" t="s">
        <v>2295</v>
      </c>
      <c r="I247" s="374" t="s">
        <v>2315</v>
      </c>
      <c r="J247" s="24" t="s">
        <v>709</v>
      </c>
      <c r="K247" s="368">
        <f>G247</f>
        <v>1000000</v>
      </c>
      <c r="L247" s="368">
        <f t="shared" si="10"/>
        <v>0</v>
      </c>
      <c r="M247" s="45"/>
    </row>
    <row r="248" spans="1:13" ht="30" customHeight="1" x14ac:dyDescent="0.2">
      <c r="A248" s="2031">
        <v>158</v>
      </c>
      <c r="B248" s="2029" t="s">
        <v>848</v>
      </c>
      <c r="C248" s="380" t="s">
        <v>1378</v>
      </c>
      <c r="D248" s="368">
        <v>120000000</v>
      </c>
      <c r="E248" s="20">
        <v>4.4999999999999998E-2</v>
      </c>
      <c r="F248" s="368">
        <v>5400000</v>
      </c>
      <c r="G248" s="2040">
        <v>6600000</v>
      </c>
      <c r="H248" s="2097" t="s">
        <v>2539</v>
      </c>
      <c r="I248" s="2195"/>
      <c r="J248" s="2195"/>
      <c r="K248" s="2098"/>
      <c r="L248" s="2040">
        <f>(F248+F249)-K248</f>
        <v>6600000</v>
      </c>
      <c r="M248" s="45" t="s">
        <v>2334</v>
      </c>
    </row>
    <row r="249" spans="1:13" ht="30" customHeight="1" x14ac:dyDescent="0.2">
      <c r="A249" s="2034"/>
      <c r="B249" s="2033"/>
      <c r="C249" s="380" t="s">
        <v>1378</v>
      </c>
      <c r="D249" s="368">
        <v>22000000</v>
      </c>
      <c r="E249" s="20">
        <f>F249/D249</f>
        <v>5.4545454545454543E-2</v>
      </c>
      <c r="F249" s="368">
        <v>1200000</v>
      </c>
      <c r="G249" s="2042"/>
      <c r="H249" s="2099"/>
      <c r="I249" s="2196"/>
      <c r="J249" s="2196"/>
      <c r="K249" s="2100"/>
      <c r="L249" s="2042"/>
      <c r="M249" s="45" t="s">
        <v>2343</v>
      </c>
    </row>
    <row r="250" spans="1:13" ht="30" customHeight="1" x14ac:dyDescent="0.2">
      <c r="A250" s="2034"/>
      <c r="B250" s="2033"/>
      <c r="C250" s="764" t="s">
        <v>1378</v>
      </c>
      <c r="D250" s="763">
        <v>160000000</v>
      </c>
      <c r="E250" s="765">
        <v>0.05</v>
      </c>
      <c r="F250" s="763">
        <f>D250*E250</f>
        <v>8000000</v>
      </c>
      <c r="G250" s="2228" t="s">
        <v>2335</v>
      </c>
      <c r="H250" s="2229"/>
      <c r="I250" s="2229"/>
      <c r="J250" s="2229"/>
      <c r="K250" s="2230"/>
      <c r="L250" s="2040"/>
      <c r="M250" s="2101"/>
    </row>
    <row r="251" spans="1:13" ht="30" customHeight="1" x14ac:dyDescent="0.2">
      <c r="A251" s="2032"/>
      <c r="B251" s="2030"/>
      <c r="C251" s="764" t="s">
        <v>1378</v>
      </c>
      <c r="D251" s="763">
        <v>22000000</v>
      </c>
      <c r="E251" s="765">
        <v>5.5E-2</v>
      </c>
      <c r="F251" s="763">
        <v>1200000</v>
      </c>
      <c r="G251" s="2231"/>
      <c r="H251" s="2232"/>
      <c r="I251" s="2232"/>
      <c r="J251" s="2232"/>
      <c r="K251" s="2233"/>
      <c r="L251" s="2042"/>
      <c r="M251" s="2102"/>
    </row>
    <row r="252" spans="1:13" ht="30" customHeight="1" x14ac:dyDescent="0.2">
      <c r="A252" s="4">
        <v>159</v>
      </c>
      <c r="B252" s="45" t="s">
        <v>23</v>
      </c>
      <c r="C252" s="380" t="s">
        <v>1355</v>
      </c>
      <c r="D252" s="368">
        <v>25000000</v>
      </c>
      <c r="E252" s="20">
        <v>0.05</v>
      </c>
      <c r="F252" s="368">
        <f t="shared" si="9"/>
        <v>1250000</v>
      </c>
      <c r="G252" s="368">
        <v>1250000</v>
      </c>
      <c r="H252" s="368" t="s">
        <v>2295</v>
      </c>
      <c r="I252" s="374" t="s">
        <v>2321</v>
      </c>
      <c r="J252" s="24" t="s">
        <v>2322</v>
      </c>
      <c r="K252" s="368">
        <f>G252</f>
        <v>1250000</v>
      </c>
      <c r="L252" s="368">
        <f t="shared" si="10"/>
        <v>0</v>
      </c>
      <c r="M252" s="45"/>
    </row>
    <row r="253" spans="1:13" ht="30" customHeight="1" x14ac:dyDescent="0.2">
      <c r="A253" s="4">
        <v>160</v>
      </c>
      <c r="B253" s="45" t="s">
        <v>24</v>
      </c>
      <c r="C253" s="380"/>
      <c r="D253" s="368">
        <v>55000000</v>
      </c>
      <c r="E253" s="20">
        <v>0.05</v>
      </c>
      <c r="F253" s="368">
        <f t="shared" si="9"/>
        <v>2750000</v>
      </c>
      <c r="G253" s="368">
        <v>2750000</v>
      </c>
      <c r="H253" s="368" t="s">
        <v>2277</v>
      </c>
      <c r="I253" s="374" t="s">
        <v>2291</v>
      </c>
      <c r="J253" s="24" t="s">
        <v>2292</v>
      </c>
      <c r="K253" s="368">
        <f>G253</f>
        <v>2750000</v>
      </c>
      <c r="L253" s="368">
        <f t="shared" si="10"/>
        <v>0</v>
      </c>
      <c r="M253" s="45"/>
    </row>
    <row r="254" spans="1:13" ht="30" customHeight="1" x14ac:dyDescent="0.2">
      <c r="A254" s="4">
        <v>161</v>
      </c>
      <c r="B254" s="45" t="s">
        <v>25</v>
      </c>
      <c r="C254" s="380" t="s">
        <v>1378</v>
      </c>
      <c r="D254" s="368">
        <v>20000000</v>
      </c>
      <c r="E254" s="20">
        <v>4.4999999999999998E-2</v>
      </c>
      <c r="F254" s="368">
        <f t="shared" ref="F254:F322" si="15">D254*E254</f>
        <v>900000</v>
      </c>
      <c r="G254" s="368">
        <v>900000</v>
      </c>
      <c r="H254" s="368" t="s">
        <v>2344</v>
      </c>
      <c r="I254" s="374" t="s">
        <v>2395</v>
      </c>
      <c r="J254" s="24" t="s">
        <v>742</v>
      </c>
      <c r="K254" s="368">
        <f>G254</f>
        <v>900000</v>
      </c>
      <c r="L254" s="368">
        <f t="shared" si="10"/>
        <v>0</v>
      </c>
      <c r="M254" s="45"/>
    </row>
    <row r="255" spans="1:13" ht="30" customHeight="1" x14ac:dyDescent="0.2">
      <c r="A255" s="4">
        <v>162</v>
      </c>
      <c r="B255" s="45" t="s">
        <v>26</v>
      </c>
      <c r="C255" s="380"/>
      <c r="D255" s="368">
        <v>180000000</v>
      </c>
      <c r="E255" s="20">
        <v>0.05</v>
      </c>
      <c r="F255" s="368">
        <f t="shared" si="15"/>
        <v>9000000</v>
      </c>
      <c r="G255" s="368">
        <v>9000000</v>
      </c>
      <c r="H255" s="368" t="s">
        <v>2295</v>
      </c>
      <c r="I255" s="374" t="s">
        <v>2323</v>
      </c>
      <c r="J255" s="24" t="s">
        <v>2324</v>
      </c>
      <c r="K255" s="368">
        <f>G255</f>
        <v>9000000</v>
      </c>
      <c r="L255" s="368">
        <f t="shared" ref="L255:L311" si="16">F255-K255</f>
        <v>0</v>
      </c>
      <c r="M255" s="45"/>
    </row>
    <row r="256" spans="1:13" ht="30" customHeight="1" x14ac:dyDescent="0.2">
      <c r="A256" s="4">
        <v>163</v>
      </c>
      <c r="B256" s="45" t="s">
        <v>854</v>
      </c>
      <c r="C256" s="380"/>
      <c r="D256" s="368">
        <v>200000000</v>
      </c>
      <c r="E256" s="20">
        <v>0.05</v>
      </c>
      <c r="F256" s="368">
        <f t="shared" si="15"/>
        <v>10000000</v>
      </c>
      <c r="G256" s="368">
        <v>10000000</v>
      </c>
      <c r="H256" s="368" t="s">
        <v>2344</v>
      </c>
      <c r="I256" s="374" t="s">
        <v>2347</v>
      </c>
      <c r="J256" s="24" t="s">
        <v>856</v>
      </c>
      <c r="K256" s="368">
        <f>F256</f>
        <v>10000000</v>
      </c>
      <c r="L256" s="368">
        <f t="shared" si="16"/>
        <v>0</v>
      </c>
      <c r="M256" s="45"/>
    </row>
    <row r="257" spans="1:13" ht="30" customHeight="1" x14ac:dyDescent="0.2">
      <c r="A257" s="4">
        <v>164</v>
      </c>
      <c r="B257" s="45" t="s">
        <v>27</v>
      </c>
      <c r="C257" s="380"/>
      <c r="D257" s="368">
        <v>50000000</v>
      </c>
      <c r="E257" s="20">
        <v>0.05</v>
      </c>
      <c r="F257" s="368">
        <f t="shared" si="15"/>
        <v>2500000</v>
      </c>
      <c r="G257" s="368">
        <v>2500000</v>
      </c>
      <c r="H257" s="368" t="s">
        <v>2295</v>
      </c>
      <c r="I257" s="374" t="s">
        <v>2328</v>
      </c>
      <c r="J257" s="24" t="s">
        <v>2329</v>
      </c>
      <c r="K257" s="368">
        <f>G257</f>
        <v>2500000</v>
      </c>
      <c r="L257" s="368">
        <f t="shared" si="16"/>
        <v>0</v>
      </c>
      <c r="M257" s="45"/>
    </row>
    <row r="258" spans="1:13" ht="30" customHeight="1" x14ac:dyDescent="0.2">
      <c r="A258" s="4">
        <v>165</v>
      </c>
      <c r="B258" s="45" t="s">
        <v>28</v>
      </c>
      <c r="C258" s="380" t="s">
        <v>700</v>
      </c>
      <c r="D258" s="368">
        <v>20000000</v>
      </c>
      <c r="E258" s="20">
        <v>0.04</v>
      </c>
      <c r="F258" s="368">
        <f t="shared" si="15"/>
        <v>800000</v>
      </c>
      <c r="G258" s="368">
        <v>800000</v>
      </c>
      <c r="H258" s="368" t="s">
        <v>2431</v>
      </c>
      <c r="I258" s="374" t="s">
        <v>2466</v>
      </c>
      <c r="J258" s="24" t="s">
        <v>764</v>
      </c>
      <c r="K258" s="368">
        <f>G258</f>
        <v>800000</v>
      </c>
      <c r="L258" s="368">
        <f t="shared" si="16"/>
        <v>0</v>
      </c>
      <c r="M258" s="45"/>
    </row>
    <row r="259" spans="1:13" ht="30" customHeight="1" x14ac:dyDescent="0.2">
      <c r="A259" s="4">
        <v>166</v>
      </c>
      <c r="B259" s="45" t="s">
        <v>29</v>
      </c>
      <c r="C259" s="380" t="s">
        <v>564</v>
      </c>
      <c r="D259" s="368">
        <v>100000000</v>
      </c>
      <c r="E259" s="20">
        <v>0.05</v>
      </c>
      <c r="F259" s="368">
        <f t="shared" si="15"/>
        <v>5000000</v>
      </c>
      <c r="G259" s="368">
        <v>5000000</v>
      </c>
      <c r="H259" s="368" t="s">
        <v>2344</v>
      </c>
      <c r="I259" s="374" t="s">
        <v>2356</v>
      </c>
      <c r="J259" s="30" t="s">
        <v>2357</v>
      </c>
      <c r="K259" s="368">
        <f>G259</f>
        <v>5000000</v>
      </c>
      <c r="L259" s="368">
        <f t="shared" si="16"/>
        <v>0</v>
      </c>
      <c r="M259" s="45"/>
    </row>
    <row r="260" spans="1:13" ht="30" customHeight="1" x14ac:dyDescent="0.2">
      <c r="A260" s="4">
        <v>167</v>
      </c>
      <c r="B260" s="45" t="s">
        <v>758</v>
      </c>
      <c r="C260" s="380"/>
      <c r="D260" s="368">
        <v>50000000</v>
      </c>
      <c r="E260" s="20">
        <v>0.05</v>
      </c>
      <c r="F260" s="368">
        <f t="shared" si="15"/>
        <v>2500000</v>
      </c>
      <c r="G260" s="368">
        <v>2500000</v>
      </c>
      <c r="H260" s="368" t="s">
        <v>2295</v>
      </c>
      <c r="I260" s="374" t="s">
        <v>2317</v>
      </c>
      <c r="J260" s="24" t="s">
        <v>760</v>
      </c>
      <c r="K260" s="368">
        <f>G260</f>
        <v>2500000</v>
      </c>
      <c r="L260" s="368">
        <f t="shared" si="16"/>
        <v>0</v>
      </c>
      <c r="M260" s="45"/>
    </row>
    <row r="261" spans="1:13" ht="30" customHeight="1" x14ac:dyDescent="0.2">
      <c r="A261" s="4">
        <v>168</v>
      </c>
      <c r="B261" s="45" t="s">
        <v>844</v>
      </c>
      <c r="C261" s="380"/>
      <c r="D261" s="368">
        <v>50000000</v>
      </c>
      <c r="E261" s="20">
        <v>7.0000000000000007E-2</v>
      </c>
      <c r="F261" s="368">
        <f t="shared" si="15"/>
        <v>3500000.0000000005</v>
      </c>
      <c r="G261" s="368">
        <v>3500000</v>
      </c>
      <c r="H261" s="368" t="s">
        <v>2396</v>
      </c>
      <c r="I261" s="374" t="s">
        <v>2429</v>
      </c>
      <c r="J261" s="24" t="s">
        <v>2430</v>
      </c>
      <c r="K261" s="368">
        <f>G261</f>
        <v>3500000</v>
      </c>
      <c r="L261" s="368">
        <f t="shared" si="16"/>
        <v>0</v>
      </c>
      <c r="M261" s="45"/>
    </row>
    <row r="262" spans="1:13" ht="30" customHeight="1" x14ac:dyDescent="0.2">
      <c r="A262" s="2031">
        <v>169</v>
      </c>
      <c r="B262" s="2029" t="s">
        <v>30</v>
      </c>
      <c r="C262" s="380"/>
      <c r="D262" s="368">
        <v>18000000</v>
      </c>
      <c r="E262" s="20">
        <v>4.4999999999999998E-2</v>
      </c>
      <c r="F262" s="368">
        <f t="shared" si="15"/>
        <v>810000</v>
      </c>
      <c r="G262" s="368"/>
      <c r="H262" s="368"/>
      <c r="I262" s="374"/>
      <c r="J262" s="377"/>
      <c r="K262" s="368"/>
      <c r="L262" s="368">
        <f t="shared" si="16"/>
        <v>810000</v>
      </c>
      <c r="M262" s="45"/>
    </row>
    <row r="263" spans="1:13" ht="30" customHeight="1" x14ac:dyDescent="0.2">
      <c r="A263" s="2032"/>
      <c r="B263" s="2030"/>
      <c r="C263" s="899"/>
      <c r="D263" s="896">
        <v>2000000</v>
      </c>
      <c r="E263" s="905"/>
      <c r="F263" s="896"/>
      <c r="G263" s="2200" t="s">
        <v>2337</v>
      </c>
      <c r="H263" s="2201"/>
      <c r="I263" s="2201"/>
      <c r="J263" s="2201"/>
      <c r="K263" s="2202"/>
      <c r="L263" s="896"/>
      <c r="M263" s="906"/>
    </row>
    <row r="264" spans="1:13" ht="30" customHeight="1" x14ac:dyDescent="0.2">
      <c r="A264" s="4">
        <v>170</v>
      </c>
      <c r="B264" s="45" t="s">
        <v>31</v>
      </c>
      <c r="C264" s="380" t="s">
        <v>1138</v>
      </c>
      <c r="D264" s="368">
        <v>70000000</v>
      </c>
      <c r="E264" s="20">
        <v>0.05</v>
      </c>
      <c r="F264" s="368">
        <f t="shared" si="15"/>
        <v>3500000</v>
      </c>
      <c r="G264" s="368">
        <v>3500000</v>
      </c>
      <c r="H264" s="368" t="s">
        <v>2454</v>
      </c>
      <c r="I264" s="374" t="s">
        <v>2463</v>
      </c>
      <c r="J264" s="24" t="s">
        <v>1158</v>
      </c>
      <c r="K264" s="368">
        <f>G264</f>
        <v>3500000</v>
      </c>
      <c r="L264" s="368">
        <f t="shared" si="16"/>
        <v>0</v>
      </c>
      <c r="M264" s="45"/>
    </row>
    <row r="265" spans="1:13" ht="30" customHeight="1" x14ac:dyDescent="0.2">
      <c r="A265" s="4">
        <v>171</v>
      </c>
      <c r="B265" s="45" t="s">
        <v>32</v>
      </c>
      <c r="C265" s="380" t="s">
        <v>1348</v>
      </c>
      <c r="D265" s="366"/>
      <c r="E265" s="44"/>
      <c r="F265" s="368">
        <v>400000</v>
      </c>
      <c r="G265" s="368"/>
      <c r="H265" s="368"/>
      <c r="I265" s="374"/>
      <c r="J265" s="24"/>
      <c r="K265" s="368"/>
      <c r="L265" s="368">
        <f t="shared" si="16"/>
        <v>400000</v>
      </c>
      <c r="M265" s="103" t="s">
        <v>3078</v>
      </c>
    </row>
    <row r="266" spans="1:13" ht="30" customHeight="1" x14ac:dyDescent="0.2">
      <c r="A266" s="736">
        <v>172</v>
      </c>
      <c r="B266" s="188" t="s">
        <v>33</v>
      </c>
      <c r="C266" s="745"/>
      <c r="D266" s="366">
        <v>5000000</v>
      </c>
      <c r="E266" s="44">
        <v>0.05</v>
      </c>
      <c r="F266" s="366">
        <f t="shared" si="15"/>
        <v>250000</v>
      </c>
      <c r="G266" s="738">
        <v>300000</v>
      </c>
      <c r="H266" s="738" t="s">
        <v>2295</v>
      </c>
      <c r="I266" s="748" t="s">
        <v>2327</v>
      </c>
      <c r="J266" s="24" t="s">
        <v>648</v>
      </c>
      <c r="K266" s="738">
        <f>G266</f>
        <v>300000</v>
      </c>
      <c r="L266" s="740">
        <f t="shared" si="16"/>
        <v>-50000</v>
      </c>
      <c r="M266" s="45"/>
    </row>
    <row r="267" spans="1:13" ht="30" customHeight="1" x14ac:dyDescent="0.2">
      <c r="A267" s="4">
        <v>173</v>
      </c>
      <c r="B267" s="45" t="s">
        <v>34</v>
      </c>
      <c r="C267" s="380"/>
      <c r="D267" s="368">
        <v>40000000</v>
      </c>
      <c r="E267" s="20">
        <v>0.05</v>
      </c>
      <c r="F267" s="368">
        <f t="shared" si="15"/>
        <v>2000000</v>
      </c>
      <c r="G267" s="368">
        <v>2000000</v>
      </c>
      <c r="H267" s="368" t="s">
        <v>2480</v>
      </c>
      <c r="I267" s="374" t="s">
        <v>2488</v>
      </c>
      <c r="J267" s="24" t="s">
        <v>864</v>
      </c>
      <c r="K267" s="368">
        <f>G267</f>
        <v>2000000</v>
      </c>
      <c r="L267" s="368">
        <f t="shared" si="16"/>
        <v>0</v>
      </c>
      <c r="M267" s="45"/>
    </row>
    <row r="268" spans="1:13" ht="30" customHeight="1" x14ac:dyDescent="0.2">
      <c r="A268" s="2031">
        <v>174</v>
      </c>
      <c r="B268" s="2029" t="s">
        <v>35</v>
      </c>
      <c r="C268" s="2149"/>
      <c r="D268" s="839">
        <v>4020000000</v>
      </c>
      <c r="E268" s="842">
        <v>7.0000000000000007E-2</v>
      </c>
      <c r="F268" s="399">
        <f>D268*E268</f>
        <v>281400000</v>
      </c>
      <c r="G268" s="833"/>
      <c r="H268" s="833"/>
      <c r="I268" s="845"/>
      <c r="J268" s="61"/>
      <c r="K268" s="835"/>
      <c r="L268" s="399">
        <f t="shared" si="16"/>
        <v>281400000</v>
      </c>
      <c r="M268" s="45" t="s">
        <v>2458</v>
      </c>
    </row>
    <row r="269" spans="1:13" ht="30" customHeight="1" x14ac:dyDescent="0.2">
      <c r="A269" s="2032"/>
      <c r="B269" s="2030"/>
      <c r="C269" s="2150"/>
      <c r="D269" s="839">
        <v>4545000000</v>
      </c>
      <c r="E269" s="842">
        <v>7.0000000000000007E-2</v>
      </c>
      <c r="F269" s="839">
        <v>318000000</v>
      </c>
      <c r="G269" s="2200" t="s">
        <v>2457</v>
      </c>
      <c r="H269" s="2201"/>
      <c r="I269" s="2201"/>
      <c r="J269" s="2201"/>
      <c r="K269" s="2202"/>
      <c r="L269" s="832"/>
      <c r="M269" s="844" t="s">
        <v>2459</v>
      </c>
    </row>
    <row r="270" spans="1:13" ht="30" customHeight="1" x14ac:dyDescent="0.2">
      <c r="A270" s="4">
        <v>175</v>
      </c>
      <c r="B270" s="45" t="s">
        <v>37</v>
      </c>
      <c r="C270" s="380"/>
      <c r="D270" s="368">
        <v>200000000</v>
      </c>
      <c r="E270" s="393">
        <v>0.05</v>
      </c>
      <c r="F270" s="368">
        <f t="shared" si="15"/>
        <v>10000000</v>
      </c>
      <c r="G270" s="368">
        <v>10000000</v>
      </c>
      <c r="H270" s="368" t="s">
        <v>2344</v>
      </c>
      <c r="I270" s="376" t="s">
        <v>2350</v>
      </c>
      <c r="J270" s="24" t="s">
        <v>2351</v>
      </c>
      <c r="K270" s="368">
        <f t="shared" ref="K270:K273" si="17">G270</f>
        <v>10000000</v>
      </c>
      <c r="L270" s="368">
        <f t="shared" si="16"/>
        <v>0</v>
      </c>
      <c r="M270" s="45"/>
    </row>
    <row r="271" spans="1:13" ht="30" customHeight="1" x14ac:dyDescent="0.2">
      <c r="A271" s="4">
        <v>176</v>
      </c>
      <c r="B271" s="45" t="s">
        <v>38</v>
      </c>
      <c r="C271" s="380" t="s">
        <v>1138</v>
      </c>
      <c r="D271" s="368">
        <v>150000000</v>
      </c>
      <c r="E271" s="20">
        <v>7.0000000000000007E-2</v>
      </c>
      <c r="F271" s="368">
        <f t="shared" si="15"/>
        <v>10500000.000000002</v>
      </c>
      <c r="G271" s="368">
        <v>10500000</v>
      </c>
      <c r="H271" s="368" t="s">
        <v>2431</v>
      </c>
      <c r="I271" s="376" t="s">
        <v>2432</v>
      </c>
      <c r="J271" s="24" t="s">
        <v>2433</v>
      </c>
      <c r="K271" s="368">
        <f t="shared" si="17"/>
        <v>10500000</v>
      </c>
      <c r="L271" s="368">
        <f t="shared" si="16"/>
        <v>0</v>
      </c>
      <c r="M271" s="45"/>
    </row>
    <row r="272" spans="1:13" ht="30" customHeight="1" x14ac:dyDescent="0.2">
      <c r="A272" s="4">
        <v>177</v>
      </c>
      <c r="B272" s="45" t="s">
        <v>39</v>
      </c>
      <c r="C272" s="380"/>
      <c r="D272" s="368">
        <v>25000000</v>
      </c>
      <c r="E272" s="20">
        <v>0.04</v>
      </c>
      <c r="F272" s="368">
        <f t="shared" si="15"/>
        <v>1000000</v>
      </c>
      <c r="G272" s="368">
        <v>1000000</v>
      </c>
      <c r="H272" s="368" t="s">
        <v>2295</v>
      </c>
      <c r="I272" s="374" t="s">
        <v>2304</v>
      </c>
      <c r="J272" s="21" t="s">
        <v>2305</v>
      </c>
      <c r="K272" s="368">
        <f t="shared" si="17"/>
        <v>1000000</v>
      </c>
      <c r="L272" s="368">
        <f t="shared" si="16"/>
        <v>0</v>
      </c>
      <c r="M272" s="45"/>
    </row>
    <row r="273" spans="1:13" ht="30" customHeight="1" x14ac:dyDescent="0.2">
      <c r="A273" s="4">
        <v>178</v>
      </c>
      <c r="B273" s="45" t="s">
        <v>40</v>
      </c>
      <c r="C273" s="380"/>
      <c r="D273" s="368">
        <v>90000000</v>
      </c>
      <c r="E273" s="20">
        <v>4.4999999999999998E-2</v>
      </c>
      <c r="F273" s="368">
        <v>4000000</v>
      </c>
      <c r="G273" s="368">
        <v>4000000</v>
      </c>
      <c r="H273" s="368" t="s">
        <v>2277</v>
      </c>
      <c r="I273" s="374" t="s">
        <v>2293</v>
      </c>
      <c r="J273" s="24" t="s">
        <v>2294</v>
      </c>
      <c r="K273" s="368">
        <f t="shared" si="17"/>
        <v>4000000</v>
      </c>
      <c r="L273" s="368">
        <f t="shared" si="16"/>
        <v>0</v>
      </c>
      <c r="M273" s="45"/>
    </row>
    <row r="274" spans="1:13" ht="30" customHeight="1" x14ac:dyDescent="0.2">
      <c r="A274" s="2031">
        <v>179</v>
      </c>
      <c r="B274" s="2029" t="s">
        <v>41</v>
      </c>
      <c r="C274" s="2149"/>
      <c r="D274" s="2080"/>
      <c r="E274" s="2082"/>
      <c r="F274" s="2080">
        <f t="shared" si="15"/>
        <v>0</v>
      </c>
      <c r="G274" s="879">
        <v>65000000</v>
      </c>
      <c r="H274" s="879" t="s">
        <v>1852</v>
      </c>
      <c r="I274" s="892" t="s">
        <v>2086</v>
      </c>
      <c r="J274" s="24" t="s">
        <v>2087</v>
      </c>
      <c r="K274" s="2040">
        <f>G274+G275</f>
        <v>81000000</v>
      </c>
      <c r="L274" s="2080">
        <f t="shared" si="16"/>
        <v>-81000000</v>
      </c>
      <c r="M274" s="2101"/>
    </row>
    <row r="275" spans="1:13" ht="30" customHeight="1" x14ac:dyDescent="0.2">
      <c r="A275" s="2032"/>
      <c r="B275" s="2030"/>
      <c r="C275" s="2150"/>
      <c r="D275" s="2081"/>
      <c r="E275" s="2083"/>
      <c r="F275" s="2081"/>
      <c r="G275" s="879">
        <v>16000000</v>
      </c>
      <c r="H275" s="879" t="s">
        <v>2503</v>
      </c>
      <c r="I275" s="892" t="s">
        <v>2530</v>
      </c>
      <c r="J275" s="24" t="s">
        <v>1121</v>
      </c>
      <c r="K275" s="2042"/>
      <c r="L275" s="2081"/>
      <c r="M275" s="2102"/>
    </row>
    <row r="276" spans="1:13" ht="30" customHeight="1" x14ac:dyDescent="0.2">
      <c r="A276" s="2031">
        <v>180</v>
      </c>
      <c r="B276" s="2029" t="s">
        <v>42</v>
      </c>
      <c r="C276" s="2043" t="s">
        <v>2538</v>
      </c>
      <c r="D276" s="2040">
        <v>300000000</v>
      </c>
      <c r="E276" s="2037">
        <v>5.7000000000000002E-2</v>
      </c>
      <c r="F276" s="2040">
        <v>17000000</v>
      </c>
      <c r="G276" s="368">
        <v>7000000</v>
      </c>
      <c r="H276" s="368" t="s">
        <v>2344</v>
      </c>
      <c r="I276" s="36" t="s">
        <v>2393</v>
      </c>
      <c r="J276" s="24" t="s">
        <v>2394</v>
      </c>
      <c r="K276" s="2040">
        <f>G276+G277</f>
        <v>17000000</v>
      </c>
      <c r="L276" s="2040">
        <f t="shared" si="16"/>
        <v>0</v>
      </c>
      <c r="M276" s="2101"/>
    </row>
    <row r="277" spans="1:13" ht="30" customHeight="1" x14ac:dyDescent="0.2">
      <c r="A277" s="2032"/>
      <c r="B277" s="2030"/>
      <c r="C277" s="2045"/>
      <c r="D277" s="2042"/>
      <c r="E277" s="2039"/>
      <c r="F277" s="2042"/>
      <c r="G277" s="879">
        <v>10000000</v>
      </c>
      <c r="H277" s="879" t="s">
        <v>2503</v>
      </c>
      <c r="I277" s="892" t="s">
        <v>2527</v>
      </c>
      <c r="J277" s="24" t="s">
        <v>2394</v>
      </c>
      <c r="K277" s="2042"/>
      <c r="L277" s="2042"/>
      <c r="M277" s="2102"/>
    </row>
    <row r="278" spans="1:13" ht="30" customHeight="1" x14ac:dyDescent="0.2">
      <c r="A278" s="4">
        <v>181</v>
      </c>
      <c r="B278" s="45" t="s">
        <v>43</v>
      </c>
      <c r="C278" s="380" t="s">
        <v>1018</v>
      </c>
      <c r="D278" s="368">
        <v>50000000</v>
      </c>
      <c r="E278" s="20">
        <v>0.05</v>
      </c>
      <c r="F278" s="368">
        <f t="shared" si="15"/>
        <v>2500000</v>
      </c>
      <c r="G278" s="368">
        <v>2500000</v>
      </c>
      <c r="H278" s="368" t="s">
        <v>2549</v>
      </c>
      <c r="I278" s="374" t="s">
        <v>2551</v>
      </c>
      <c r="J278" s="24" t="s">
        <v>1017</v>
      </c>
      <c r="K278" s="368">
        <f t="shared" ref="K278:K283" si="18">G278</f>
        <v>2500000</v>
      </c>
      <c r="L278" s="368">
        <f t="shared" si="16"/>
        <v>0</v>
      </c>
      <c r="M278" s="45"/>
    </row>
    <row r="279" spans="1:13" ht="30" customHeight="1" x14ac:dyDescent="0.2">
      <c r="A279" s="4">
        <v>182</v>
      </c>
      <c r="B279" s="45" t="s">
        <v>44</v>
      </c>
      <c r="C279" s="886" t="s">
        <v>1018</v>
      </c>
      <c r="D279" s="368">
        <v>25000000</v>
      </c>
      <c r="E279" s="20">
        <v>0.05</v>
      </c>
      <c r="F279" s="368">
        <f t="shared" si="15"/>
        <v>1250000</v>
      </c>
      <c r="G279" s="368">
        <v>1250000</v>
      </c>
      <c r="H279" s="368" t="s">
        <v>2503</v>
      </c>
      <c r="I279" s="374" t="s">
        <v>2514</v>
      </c>
      <c r="J279" s="24" t="s">
        <v>1036</v>
      </c>
      <c r="K279" s="368">
        <f t="shared" si="18"/>
        <v>1250000</v>
      </c>
      <c r="L279" s="368">
        <f t="shared" si="16"/>
        <v>0</v>
      </c>
      <c r="M279" s="45"/>
    </row>
    <row r="280" spans="1:13" ht="30" customHeight="1" x14ac:dyDescent="0.2">
      <c r="A280" s="4">
        <v>183</v>
      </c>
      <c r="B280" s="45" t="s">
        <v>45</v>
      </c>
      <c r="C280" s="380" t="s">
        <v>1131</v>
      </c>
      <c r="D280" s="368">
        <v>100000000</v>
      </c>
      <c r="E280" s="20">
        <v>0.05</v>
      </c>
      <c r="F280" s="368">
        <f t="shared" si="15"/>
        <v>5000000</v>
      </c>
      <c r="G280" s="368">
        <v>5000000</v>
      </c>
      <c r="H280" s="368" t="s">
        <v>2480</v>
      </c>
      <c r="I280" s="374" t="s">
        <v>2489</v>
      </c>
      <c r="J280" s="24" t="s">
        <v>1186</v>
      </c>
      <c r="K280" s="368">
        <f t="shared" si="18"/>
        <v>5000000</v>
      </c>
      <c r="L280" s="368">
        <f t="shared" si="16"/>
        <v>0</v>
      </c>
      <c r="M280" s="168" t="s">
        <v>2490</v>
      </c>
    </row>
    <row r="281" spans="1:13" ht="30" customHeight="1" x14ac:dyDescent="0.2">
      <c r="A281" s="4">
        <v>184</v>
      </c>
      <c r="B281" s="45" t="s">
        <v>46</v>
      </c>
      <c r="C281" s="380" t="s">
        <v>1018</v>
      </c>
      <c r="D281" s="368">
        <v>20000000</v>
      </c>
      <c r="E281" s="20">
        <v>0.05</v>
      </c>
      <c r="F281" s="368">
        <f t="shared" si="15"/>
        <v>1000000</v>
      </c>
      <c r="G281" s="368">
        <v>1000000</v>
      </c>
      <c r="H281" s="368" t="s">
        <v>2460</v>
      </c>
      <c r="I281" s="374" t="s">
        <v>2461</v>
      </c>
      <c r="J281" s="24" t="s">
        <v>2462</v>
      </c>
      <c r="K281" s="368">
        <f t="shared" si="18"/>
        <v>1000000</v>
      </c>
      <c r="L281" s="368">
        <f t="shared" si="16"/>
        <v>0</v>
      </c>
      <c r="M281" s="45"/>
    </row>
    <row r="282" spans="1:13" ht="30" customHeight="1" x14ac:dyDescent="0.2">
      <c r="A282" s="4">
        <v>185</v>
      </c>
      <c r="B282" s="45" t="s">
        <v>47</v>
      </c>
      <c r="C282" s="380" t="s">
        <v>1019</v>
      </c>
      <c r="D282" s="368">
        <v>70000000</v>
      </c>
      <c r="E282" s="20">
        <v>0.05</v>
      </c>
      <c r="F282" s="368">
        <f t="shared" si="15"/>
        <v>3500000</v>
      </c>
      <c r="G282" s="368">
        <v>3500000</v>
      </c>
      <c r="H282" s="368" t="s">
        <v>2503</v>
      </c>
      <c r="I282" s="374" t="s">
        <v>2509</v>
      </c>
      <c r="J282" s="24" t="s">
        <v>2510</v>
      </c>
      <c r="K282" s="368">
        <f t="shared" si="18"/>
        <v>3500000</v>
      </c>
      <c r="L282" s="368">
        <f t="shared" si="16"/>
        <v>0</v>
      </c>
      <c r="M282" s="45"/>
    </row>
    <row r="283" spans="1:13" ht="30" customHeight="1" x14ac:dyDescent="0.2">
      <c r="A283" s="4">
        <v>186</v>
      </c>
      <c r="B283" s="45" t="s">
        <v>48</v>
      </c>
      <c r="C283" s="380"/>
      <c r="D283" s="368">
        <v>8000000</v>
      </c>
      <c r="E283" s="20">
        <v>0.04</v>
      </c>
      <c r="F283" s="368">
        <f t="shared" si="15"/>
        <v>320000</v>
      </c>
      <c r="G283" s="368">
        <v>320000</v>
      </c>
      <c r="H283" s="368" t="s">
        <v>2431</v>
      </c>
      <c r="I283" s="374" t="s">
        <v>2434</v>
      </c>
      <c r="J283" s="24" t="s">
        <v>2435</v>
      </c>
      <c r="K283" s="368">
        <f t="shared" si="18"/>
        <v>320000</v>
      </c>
      <c r="L283" s="368">
        <f t="shared" si="16"/>
        <v>0</v>
      </c>
      <c r="M283" s="45"/>
    </row>
    <row r="284" spans="1:13" ht="30" customHeight="1" x14ac:dyDescent="0.2">
      <c r="A284" s="4">
        <v>187</v>
      </c>
      <c r="B284" s="45" t="s">
        <v>2606</v>
      </c>
      <c r="C284" s="380" t="s">
        <v>1175</v>
      </c>
      <c r="D284" s="368">
        <v>200000000</v>
      </c>
      <c r="E284" s="20">
        <v>0.05</v>
      </c>
      <c r="F284" s="368">
        <f t="shared" si="15"/>
        <v>10000000</v>
      </c>
      <c r="G284" s="368"/>
      <c r="H284" s="368"/>
      <c r="I284" s="374"/>
      <c r="J284" s="24"/>
      <c r="K284" s="368"/>
      <c r="L284" s="368">
        <f t="shared" si="16"/>
        <v>10000000</v>
      </c>
      <c r="M284" s="45"/>
    </row>
    <row r="285" spans="1:13" ht="30" customHeight="1" x14ac:dyDescent="0.2">
      <c r="A285" s="4">
        <v>188</v>
      </c>
      <c r="B285" s="45" t="s">
        <v>50</v>
      </c>
      <c r="C285" s="380"/>
      <c r="D285" s="368">
        <v>200000000</v>
      </c>
      <c r="E285" s="20">
        <v>0.05</v>
      </c>
      <c r="F285" s="368">
        <f t="shared" si="15"/>
        <v>10000000</v>
      </c>
      <c r="G285" s="368">
        <v>10000000</v>
      </c>
      <c r="H285" s="368" t="s">
        <v>2277</v>
      </c>
      <c r="I285" s="374" t="s">
        <v>2287</v>
      </c>
      <c r="J285" s="24" t="s">
        <v>2288</v>
      </c>
      <c r="K285" s="368">
        <f>G285</f>
        <v>10000000</v>
      </c>
      <c r="L285" s="368">
        <f t="shared" si="16"/>
        <v>0</v>
      </c>
      <c r="M285" s="45"/>
    </row>
    <row r="286" spans="1:13" ht="30" customHeight="1" x14ac:dyDescent="0.2">
      <c r="A286" s="4">
        <v>189</v>
      </c>
      <c r="B286" s="45" t="s">
        <v>51</v>
      </c>
      <c r="C286" s="380" t="s">
        <v>700</v>
      </c>
      <c r="D286" s="368">
        <v>15000000</v>
      </c>
      <c r="E286" s="20">
        <v>0.05</v>
      </c>
      <c r="F286" s="368">
        <f t="shared" si="15"/>
        <v>750000</v>
      </c>
      <c r="G286" s="368">
        <v>750000</v>
      </c>
      <c r="H286" s="368" t="s">
        <v>2454</v>
      </c>
      <c r="I286" s="374" t="s">
        <v>2471</v>
      </c>
      <c r="J286" s="24" t="s">
        <v>860</v>
      </c>
      <c r="K286" s="368">
        <f>G286</f>
        <v>750000</v>
      </c>
      <c r="L286" s="368">
        <f t="shared" si="16"/>
        <v>0</v>
      </c>
      <c r="M286" s="45"/>
    </row>
    <row r="287" spans="1:13" ht="30" customHeight="1" x14ac:dyDescent="0.2">
      <c r="A287" s="2031">
        <v>190</v>
      </c>
      <c r="B287" s="2029" t="s">
        <v>52</v>
      </c>
      <c r="C287" s="380" t="s">
        <v>1131</v>
      </c>
      <c r="D287" s="368">
        <v>80000000</v>
      </c>
      <c r="E287" s="20">
        <v>0.05</v>
      </c>
      <c r="F287" s="368">
        <f t="shared" si="15"/>
        <v>4000000</v>
      </c>
      <c r="G287" s="2040">
        <v>14000000</v>
      </c>
      <c r="H287" s="2040" t="s">
        <v>2626</v>
      </c>
      <c r="I287" s="2159" t="s">
        <v>2627</v>
      </c>
      <c r="J287" s="2128" t="s">
        <v>2592</v>
      </c>
      <c r="K287" s="2040">
        <f>G287</f>
        <v>14000000</v>
      </c>
      <c r="L287" s="2040">
        <f>(F287+F288)-K287</f>
        <v>0</v>
      </c>
      <c r="M287" s="2101"/>
    </row>
    <row r="288" spans="1:13" ht="30" customHeight="1" x14ac:dyDescent="0.2">
      <c r="A288" s="2032"/>
      <c r="B288" s="2030"/>
      <c r="C288" s="380" t="s">
        <v>1131</v>
      </c>
      <c r="D288" s="368">
        <v>200000000</v>
      </c>
      <c r="E288" s="20">
        <v>0.05</v>
      </c>
      <c r="F288" s="368">
        <f t="shared" si="15"/>
        <v>10000000</v>
      </c>
      <c r="G288" s="2042"/>
      <c r="H288" s="2042"/>
      <c r="I288" s="2160"/>
      <c r="J288" s="2129"/>
      <c r="K288" s="2042"/>
      <c r="L288" s="2042"/>
      <c r="M288" s="2102"/>
    </row>
    <row r="289" spans="1:13" ht="30" customHeight="1" x14ac:dyDescent="0.2">
      <c r="A289" s="386">
        <v>191</v>
      </c>
      <c r="B289" s="188" t="s">
        <v>53</v>
      </c>
      <c r="C289" s="380" t="s">
        <v>265</v>
      </c>
      <c r="D289" s="368">
        <v>700000000</v>
      </c>
      <c r="E289" s="20">
        <v>7.6999999999999999E-2</v>
      </c>
      <c r="F289" s="368">
        <v>54000000</v>
      </c>
      <c r="G289" s="368">
        <v>34000000</v>
      </c>
      <c r="H289" s="368" t="s">
        <v>1898</v>
      </c>
      <c r="I289" s="36" t="s">
        <v>1938</v>
      </c>
      <c r="J289" s="24" t="s">
        <v>696</v>
      </c>
      <c r="K289" s="368">
        <f>G289</f>
        <v>34000000</v>
      </c>
      <c r="L289" s="368">
        <f t="shared" si="16"/>
        <v>20000000</v>
      </c>
      <c r="M289" s="168" t="s">
        <v>1396</v>
      </c>
    </row>
    <row r="290" spans="1:13" ht="30" customHeight="1" x14ac:dyDescent="0.2">
      <c r="A290" s="2031">
        <v>192</v>
      </c>
      <c r="B290" s="2029" t="s">
        <v>54</v>
      </c>
      <c r="C290" s="2149" t="s">
        <v>1342</v>
      </c>
      <c r="D290" s="856">
        <v>1500000000</v>
      </c>
      <c r="E290" s="864">
        <v>7.0000000000000007E-2</v>
      </c>
      <c r="F290" s="856">
        <f t="shared" si="15"/>
        <v>105000000.00000001</v>
      </c>
      <c r="G290" s="856">
        <v>45000000</v>
      </c>
      <c r="H290" s="2040" t="s">
        <v>2135</v>
      </c>
      <c r="I290" s="2159" t="s">
        <v>2136</v>
      </c>
      <c r="J290" s="2128" t="s">
        <v>888</v>
      </c>
      <c r="K290" s="856">
        <f>G290</f>
        <v>45000000</v>
      </c>
      <c r="L290" s="856">
        <f>F290-60000000-G290</f>
        <v>0</v>
      </c>
      <c r="M290" s="385" t="s">
        <v>2122</v>
      </c>
    </row>
    <row r="291" spans="1:13" ht="30" customHeight="1" x14ac:dyDescent="0.2">
      <c r="A291" s="2034"/>
      <c r="B291" s="2033"/>
      <c r="C291" s="2158"/>
      <c r="D291" s="2097" t="s">
        <v>2416</v>
      </c>
      <c r="E291" s="2195"/>
      <c r="F291" s="2098"/>
      <c r="G291" s="856">
        <v>5000000</v>
      </c>
      <c r="H291" s="2042"/>
      <c r="I291" s="2160"/>
      <c r="J291" s="2129"/>
      <c r="K291" s="2040">
        <f>G291+G292+G293</f>
        <v>95000000</v>
      </c>
      <c r="L291" s="2040">
        <f>100000000-K291</f>
        <v>5000000</v>
      </c>
      <c r="M291" s="825" t="s">
        <v>2423</v>
      </c>
    </row>
    <row r="292" spans="1:13" ht="30" customHeight="1" x14ac:dyDescent="0.2">
      <c r="A292" s="2034"/>
      <c r="B292" s="2033"/>
      <c r="C292" s="2158"/>
      <c r="D292" s="2269"/>
      <c r="E292" s="1964"/>
      <c r="F292" s="2270"/>
      <c r="G292" s="856">
        <v>50000000</v>
      </c>
      <c r="H292" s="856" t="s">
        <v>2295</v>
      </c>
      <c r="I292" s="862" t="s">
        <v>2296</v>
      </c>
      <c r="J292" s="24" t="s">
        <v>888</v>
      </c>
      <c r="K292" s="2041"/>
      <c r="L292" s="2041"/>
      <c r="M292" s="192" t="s">
        <v>2424</v>
      </c>
    </row>
    <row r="293" spans="1:13" ht="30" customHeight="1" x14ac:dyDescent="0.2">
      <c r="A293" s="2034"/>
      <c r="B293" s="2033"/>
      <c r="C293" s="2158"/>
      <c r="D293" s="2269"/>
      <c r="E293" s="1964"/>
      <c r="F293" s="2270"/>
      <c r="G293" s="856">
        <v>40000000</v>
      </c>
      <c r="H293" s="856" t="s">
        <v>2454</v>
      </c>
      <c r="I293" s="862" t="s">
        <v>2478</v>
      </c>
      <c r="J293" s="24" t="s">
        <v>888</v>
      </c>
      <c r="K293" s="2042"/>
      <c r="L293" s="2042"/>
      <c r="M293" s="2191" t="s">
        <v>2422</v>
      </c>
    </row>
    <row r="294" spans="1:13" ht="30" customHeight="1" x14ac:dyDescent="0.2">
      <c r="A294" s="2034"/>
      <c r="B294" s="2033"/>
      <c r="C294" s="2158"/>
      <c r="D294" s="2099"/>
      <c r="E294" s="2196"/>
      <c r="F294" s="2100"/>
      <c r="G294" s="860"/>
      <c r="H294" s="863"/>
      <c r="I294" s="878"/>
      <c r="J294" s="591"/>
      <c r="K294" s="861"/>
      <c r="L294" s="856"/>
      <c r="M294" s="2191"/>
    </row>
    <row r="295" spans="1:13" ht="30" customHeight="1" x14ac:dyDescent="0.2">
      <c r="A295" s="2032"/>
      <c r="B295" s="2030"/>
      <c r="C295" s="2150"/>
      <c r="D295" s="856">
        <v>1400000000</v>
      </c>
      <c r="E295" s="864">
        <v>7.0000000000000007E-2</v>
      </c>
      <c r="F295" s="856">
        <f>D295*E295</f>
        <v>98000000.000000015</v>
      </c>
      <c r="G295" s="2154" t="s">
        <v>2121</v>
      </c>
      <c r="H295" s="2155"/>
      <c r="I295" s="2155"/>
      <c r="J295" s="2155"/>
      <c r="K295" s="2156"/>
      <c r="L295" s="856"/>
      <c r="M295" s="2052"/>
    </row>
    <row r="296" spans="1:13" ht="30" customHeight="1" x14ac:dyDescent="0.2">
      <c r="A296" s="4">
        <v>193</v>
      </c>
      <c r="B296" s="45" t="s">
        <v>55</v>
      </c>
      <c r="C296" s="380" t="s">
        <v>1378</v>
      </c>
      <c r="D296" s="368">
        <v>45000000</v>
      </c>
      <c r="E296" s="20">
        <v>0.04</v>
      </c>
      <c r="F296" s="368">
        <f t="shared" si="15"/>
        <v>1800000</v>
      </c>
      <c r="G296" s="368">
        <v>1800000</v>
      </c>
      <c r="H296" s="368">
        <v>184048</v>
      </c>
      <c r="I296" s="374" t="s">
        <v>2480</v>
      </c>
      <c r="J296" s="377" t="s">
        <v>1026</v>
      </c>
      <c r="K296" s="368">
        <f>G296</f>
        <v>1800000</v>
      </c>
      <c r="L296" s="368">
        <f t="shared" si="16"/>
        <v>0</v>
      </c>
      <c r="M296" s="45"/>
    </row>
    <row r="297" spans="1:13" ht="30" customHeight="1" x14ac:dyDescent="0.2">
      <c r="A297" s="2031">
        <v>194</v>
      </c>
      <c r="B297" s="2101" t="s">
        <v>56</v>
      </c>
      <c r="C297" s="2149"/>
      <c r="D297" s="2080"/>
      <c r="E297" s="2130"/>
      <c r="F297" s="2080">
        <f t="shared" si="15"/>
        <v>0</v>
      </c>
      <c r="G297" s="399">
        <v>6000000</v>
      </c>
      <c r="H297" s="399" t="s">
        <v>2480</v>
      </c>
      <c r="I297" s="424" t="s">
        <v>2485</v>
      </c>
      <c r="J297" s="37" t="s">
        <v>2486</v>
      </c>
      <c r="K297" s="2040">
        <f>G297+G298</f>
        <v>6500000</v>
      </c>
      <c r="L297" s="2080">
        <f t="shared" si="16"/>
        <v>-6500000</v>
      </c>
      <c r="M297" s="2101"/>
    </row>
    <row r="298" spans="1:13" ht="30" customHeight="1" x14ac:dyDescent="0.2">
      <c r="A298" s="2032"/>
      <c r="B298" s="2102"/>
      <c r="C298" s="2150"/>
      <c r="D298" s="2081"/>
      <c r="E298" s="2131"/>
      <c r="F298" s="2081"/>
      <c r="G298" s="856">
        <v>500000</v>
      </c>
      <c r="H298" s="856" t="s">
        <v>2480</v>
      </c>
      <c r="I298" s="862" t="s">
        <v>2487</v>
      </c>
      <c r="J298" s="866" t="s">
        <v>2486</v>
      </c>
      <c r="K298" s="2042"/>
      <c r="L298" s="2081"/>
      <c r="M298" s="2102"/>
    </row>
    <row r="299" spans="1:13" ht="30" customHeight="1" x14ac:dyDescent="0.2">
      <c r="A299" s="4">
        <v>195</v>
      </c>
      <c r="B299" s="388" t="s">
        <v>57</v>
      </c>
      <c r="C299" s="380" t="s">
        <v>1019</v>
      </c>
      <c r="D299" s="368">
        <v>10000000</v>
      </c>
      <c r="E299" s="393">
        <v>0.05</v>
      </c>
      <c r="F299" s="368">
        <f t="shared" si="15"/>
        <v>500000</v>
      </c>
      <c r="G299" s="368">
        <v>500000</v>
      </c>
      <c r="H299" s="368" t="s">
        <v>2503</v>
      </c>
      <c r="I299" s="374" t="s">
        <v>2513</v>
      </c>
      <c r="J299" s="24" t="s">
        <v>1152</v>
      </c>
      <c r="K299" s="368">
        <f>G299</f>
        <v>500000</v>
      </c>
      <c r="L299" s="368">
        <f t="shared" si="16"/>
        <v>0</v>
      </c>
      <c r="M299" s="45"/>
    </row>
    <row r="300" spans="1:13" ht="30" customHeight="1" x14ac:dyDescent="0.2">
      <c r="A300" s="2031">
        <v>196</v>
      </c>
      <c r="B300" s="2029" t="s">
        <v>58</v>
      </c>
      <c r="C300" s="380" t="s">
        <v>1138</v>
      </c>
      <c r="D300" s="368">
        <v>20000000</v>
      </c>
      <c r="E300" s="20">
        <v>0.04</v>
      </c>
      <c r="F300" s="368">
        <f t="shared" si="15"/>
        <v>800000</v>
      </c>
      <c r="G300" s="368">
        <v>800000</v>
      </c>
      <c r="H300" s="368" t="s">
        <v>2454</v>
      </c>
      <c r="I300" s="374" t="s">
        <v>2467</v>
      </c>
      <c r="J300" s="24" t="s">
        <v>2468</v>
      </c>
      <c r="K300" s="368">
        <f>G300</f>
        <v>800000</v>
      </c>
      <c r="L300" s="368">
        <f t="shared" si="16"/>
        <v>0</v>
      </c>
      <c r="M300" s="45"/>
    </row>
    <row r="301" spans="1:13" ht="30" customHeight="1" x14ac:dyDescent="0.2">
      <c r="A301" s="2032"/>
      <c r="B301" s="2030"/>
      <c r="C301" s="682" t="s">
        <v>2131</v>
      </c>
      <c r="D301" s="677">
        <v>30000000</v>
      </c>
      <c r="E301" s="683">
        <v>0.05</v>
      </c>
      <c r="F301" s="677">
        <f t="shared" si="15"/>
        <v>1500000</v>
      </c>
      <c r="G301" s="2200" t="s">
        <v>2132</v>
      </c>
      <c r="H301" s="2201"/>
      <c r="I301" s="2201"/>
      <c r="J301" s="2201"/>
      <c r="K301" s="2202"/>
      <c r="L301" s="677">
        <f t="shared" si="16"/>
        <v>1500000</v>
      </c>
      <c r="M301" s="45"/>
    </row>
    <row r="302" spans="1:13" ht="30" customHeight="1" x14ac:dyDescent="0.2">
      <c r="A302" s="4">
        <v>197</v>
      </c>
      <c r="B302" s="45" t="s">
        <v>59</v>
      </c>
      <c r="C302" s="380"/>
      <c r="D302" s="368">
        <v>150000000</v>
      </c>
      <c r="E302" s="20">
        <v>0.04</v>
      </c>
      <c r="F302" s="368">
        <f t="shared" si="15"/>
        <v>6000000</v>
      </c>
      <c r="G302" s="368">
        <v>6000000</v>
      </c>
      <c r="H302" s="368" t="s">
        <v>2454</v>
      </c>
      <c r="I302" s="374" t="s">
        <v>2455</v>
      </c>
      <c r="J302" s="377" t="s">
        <v>2456</v>
      </c>
      <c r="K302" s="368">
        <f>G302</f>
        <v>6000000</v>
      </c>
      <c r="L302" s="368">
        <f t="shared" si="16"/>
        <v>0</v>
      </c>
      <c r="M302" s="45"/>
    </row>
    <row r="303" spans="1:13" ht="30" customHeight="1" x14ac:dyDescent="0.2">
      <c r="A303" s="4">
        <v>198</v>
      </c>
      <c r="B303" s="45" t="s">
        <v>60</v>
      </c>
      <c r="C303" s="380"/>
      <c r="D303" s="368">
        <v>30000000</v>
      </c>
      <c r="E303" s="20">
        <v>8.5000000000000006E-2</v>
      </c>
      <c r="F303" s="368">
        <v>2500000</v>
      </c>
      <c r="G303" s="368">
        <v>2500000</v>
      </c>
      <c r="H303" s="368" t="s">
        <v>2626</v>
      </c>
      <c r="I303" s="374" t="s">
        <v>2644</v>
      </c>
      <c r="J303" s="377" t="s">
        <v>2645</v>
      </c>
      <c r="K303" s="368">
        <f>G303</f>
        <v>2500000</v>
      </c>
      <c r="L303" s="986">
        <f t="shared" si="16"/>
        <v>0</v>
      </c>
      <c r="M303" s="45"/>
    </row>
    <row r="304" spans="1:13" ht="30" customHeight="1" x14ac:dyDescent="0.2">
      <c r="A304" s="4">
        <v>199</v>
      </c>
      <c r="B304" s="45" t="s">
        <v>61</v>
      </c>
      <c r="C304" s="380" t="s">
        <v>1131</v>
      </c>
      <c r="D304" s="368">
        <v>50000000</v>
      </c>
      <c r="E304" s="20">
        <v>0.05</v>
      </c>
      <c r="F304" s="368">
        <f t="shared" si="15"/>
        <v>2500000</v>
      </c>
      <c r="G304" s="368">
        <v>2500000</v>
      </c>
      <c r="H304" s="368" t="s">
        <v>2503</v>
      </c>
      <c r="I304" s="374" t="s">
        <v>2545</v>
      </c>
      <c r="J304" s="377" t="s">
        <v>2546</v>
      </c>
      <c r="K304" s="368">
        <f>G304</f>
        <v>2500000</v>
      </c>
      <c r="L304" s="368">
        <f t="shared" si="16"/>
        <v>0</v>
      </c>
      <c r="M304" s="45"/>
    </row>
    <row r="305" spans="1:13" ht="30" customHeight="1" x14ac:dyDescent="0.2">
      <c r="A305" s="4">
        <v>200</v>
      </c>
      <c r="B305" s="45" t="s">
        <v>62</v>
      </c>
      <c r="C305" s="380" t="s">
        <v>1112</v>
      </c>
      <c r="D305" s="368">
        <v>350000000</v>
      </c>
      <c r="E305" s="20">
        <v>7.0000000000000007E-2</v>
      </c>
      <c r="F305" s="368">
        <f t="shared" si="15"/>
        <v>24500000.000000004</v>
      </c>
      <c r="G305" s="368">
        <v>24500000</v>
      </c>
      <c r="H305" s="368" t="s">
        <v>2577</v>
      </c>
      <c r="I305" s="376" t="s">
        <v>2580</v>
      </c>
      <c r="J305" s="24" t="s">
        <v>1670</v>
      </c>
      <c r="K305" s="368">
        <f>G305</f>
        <v>24500000</v>
      </c>
      <c r="L305" s="368">
        <f t="shared" si="16"/>
        <v>0</v>
      </c>
      <c r="M305" s="45"/>
    </row>
    <row r="306" spans="1:13" ht="30" customHeight="1" x14ac:dyDescent="0.2">
      <c r="A306" s="4">
        <v>201</v>
      </c>
      <c r="B306" s="45" t="s">
        <v>63</v>
      </c>
      <c r="C306" s="380"/>
      <c r="D306" s="366"/>
      <c r="E306" s="44"/>
      <c r="F306" s="366">
        <f t="shared" si="15"/>
        <v>0</v>
      </c>
      <c r="G306" s="368">
        <v>4000000</v>
      </c>
      <c r="H306" s="368" t="s">
        <v>2577</v>
      </c>
      <c r="I306" s="374" t="s">
        <v>2581</v>
      </c>
      <c r="J306" s="88" t="s">
        <v>1259</v>
      </c>
      <c r="K306" s="368">
        <f>G306</f>
        <v>4000000</v>
      </c>
      <c r="L306" s="940">
        <f t="shared" si="16"/>
        <v>-4000000</v>
      </c>
      <c r="M306" s="45"/>
    </row>
    <row r="307" spans="1:13" ht="30" customHeight="1" x14ac:dyDescent="0.2">
      <c r="A307" s="4">
        <v>202</v>
      </c>
      <c r="B307" s="45" t="s">
        <v>64</v>
      </c>
      <c r="C307" s="380"/>
      <c r="D307" s="368">
        <v>100000000</v>
      </c>
      <c r="E307" s="20">
        <v>4.4999999999999998E-2</v>
      </c>
      <c r="F307" s="368">
        <f t="shared" si="15"/>
        <v>4500000</v>
      </c>
      <c r="G307" s="368"/>
      <c r="H307" s="368"/>
      <c r="I307" s="374"/>
      <c r="J307" s="24"/>
      <c r="K307" s="368"/>
      <c r="L307" s="368">
        <f t="shared" si="16"/>
        <v>4500000</v>
      </c>
      <c r="M307" s="45"/>
    </row>
    <row r="308" spans="1:13" ht="30" customHeight="1" x14ac:dyDescent="0.2">
      <c r="A308" s="4">
        <v>203</v>
      </c>
      <c r="B308" s="45" t="s">
        <v>1292</v>
      </c>
      <c r="C308" s="380" t="s">
        <v>1112</v>
      </c>
      <c r="D308" s="368">
        <v>60000000</v>
      </c>
      <c r="E308" s="20">
        <v>0.05</v>
      </c>
      <c r="F308" s="368">
        <f t="shared" si="15"/>
        <v>3000000</v>
      </c>
      <c r="G308" s="368">
        <v>3000000</v>
      </c>
      <c r="H308" s="368" t="s">
        <v>2549</v>
      </c>
      <c r="I308" s="374" t="s">
        <v>2550</v>
      </c>
      <c r="J308" s="24" t="s">
        <v>1796</v>
      </c>
      <c r="K308" s="368">
        <f>G308</f>
        <v>3000000</v>
      </c>
      <c r="L308" s="368">
        <f t="shared" si="16"/>
        <v>0</v>
      </c>
      <c r="M308" s="45"/>
    </row>
    <row r="309" spans="1:13" ht="30" customHeight="1" x14ac:dyDescent="0.2">
      <c r="A309" s="4">
        <v>204</v>
      </c>
      <c r="B309" s="45" t="s">
        <v>65</v>
      </c>
      <c r="C309" s="380"/>
      <c r="D309" s="368">
        <v>30000000</v>
      </c>
      <c r="E309" s="20">
        <v>4.4999999999999998E-2</v>
      </c>
      <c r="F309" s="368">
        <f t="shared" si="15"/>
        <v>1350000</v>
      </c>
      <c r="G309" s="368">
        <v>1350000</v>
      </c>
      <c r="H309" s="368" t="s">
        <v>2577</v>
      </c>
      <c r="I309" s="374" t="s">
        <v>2582</v>
      </c>
      <c r="J309" s="24" t="s">
        <v>2583</v>
      </c>
      <c r="K309" s="368">
        <f>G309</f>
        <v>1350000</v>
      </c>
      <c r="L309" s="368">
        <f t="shared" si="16"/>
        <v>0</v>
      </c>
      <c r="M309" s="45"/>
    </row>
    <row r="310" spans="1:13" ht="30" customHeight="1" x14ac:dyDescent="0.2">
      <c r="A310" s="4">
        <v>205</v>
      </c>
      <c r="B310" s="45" t="s">
        <v>66</v>
      </c>
      <c r="C310" s="380"/>
      <c r="D310" s="366"/>
      <c r="E310" s="44"/>
      <c r="F310" s="366">
        <f t="shared" si="15"/>
        <v>0</v>
      </c>
      <c r="G310" s="368">
        <v>600000</v>
      </c>
      <c r="H310" s="368" t="s">
        <v>2503</v>
      </c>
      <c r="I310" s="374" t="s">
        <v>2517</v>
      </c>
      <c r="J310" s="24" t="s">
        <v>2518</v>
      </c>
      <c r="K310" s="368">
        <f>G310</f>
        <v>600000</v>
      </c>
      <c r="L310" s="366">
        <f t="shared" si="16"/>
        <v>-600000</v>
      </c>
      <c r="M310" s="45"/>
    </row>
    <row r="311" spans="1:13" ht="30" customHeight="1" x14ac:dyDescent="0.2">
      <c r="A311" s="4">
        <v>206</v>
      </c>
      <c r="B311" s="45" t="s">
        <v>2536</v>
      </c>
      <c r="C311" s="380" t="s">
        <v>1019</v>
      </c>
      <c r="D311" s="368">
        <v>150000000</v>
      </c>
      <c r="E311" s="20">
        <v>0.05</v>
      </c>
      <c r="F311" s="368">
        <f t="shared" si="15"/>
        <v>7500000</v>
      </c>
      <c r="G311" s="368">
        <v>7500000</v>
      </c>
      <c r="H311" s="368" t="s">
        <v>2503</v>
      </c>
      <c r="I311" s="374" t="s">
        <v>2535</v>
      </c>
      <c r="J311" s="70" t="s">
        <v>1015</v>
      </c>
      <c r="K311" s="368">
        <f>G311</f>
        <v>7500000</v>
      </c>
      <c r="L311" s="368">
        <f t="shared" si="16"/>
        <v>0</v>
      </c>
      <c r="M311" s="45"/>
    </row>
    <row r="312" spans="1:13" ht="30" customHeight="1" x14ac:dyDescent="0.2">
      <c r="A312" s="2031">
        <v>207</v>
      </c>
      <c r="B312" s="2029" t="s">
        <v>69</v>
      </c>
      <c r="C312" s="2149" t="s">
        <v>700</v>
      </c>
      <c r="D312" s="368">
        <v>45000000</v>
      </c>
      <c r="E312" s="20">
        <v>0.04</v>
      </c>
      <c r="F312" s="368">
        <f t="shared" si="15"/>
        <v>1800000</v>
      </c>
      <c r="G312" s="368"/>
      <c r="H312" s="368"/>
      <c r="I312" s="374"/>
      <c r="J312" s="2128"/>
      <c r="K312" s="2040"/>
      <c r="L312" s="2040">
        <f>(F312+F313)-K312</f>
        <v>3800000</v>
      </c>
      <c r="M312" s="2101"/>
    </row>
    <row r="313" spans="1:13" ht="30" customHeight="1" x14ac:dyDescent="0.2">
      <c r="A313" s="2032"/>
      <c r="B313" s="2030"/>
      <c r="C313" s="2150"/>
      <c r="D313" s="368">
        <v>50000000</v>
      </c>
      <c r="E313" s="20">
        <v>0.04</v>
      </c>
      <c r="F313" s="368">
        <f t="shared" si="15"/>
        <v>2000000</v>
      </c>
      <c r="G313" s="368"/>
      <c r="H313" s="368"/>
      <c r="I313" s="374"/>
      <c r="J313" s="2129"/>
      <c r="K313" s="2042"/>
      <c r="L313" s="2042"/>
      <c r="M313" s="2102"/>
    </row>
    <row r="314" spans="1:13" ht="30" customHeight="1" x14ac:dyDescent="0.2">
      <c r="A314" s="4">
        <v>208</v>
      </c>
      <c r="B314" s="45" t="s">
        <v>70</v>
      </c>
      <c r="C314" s="380" t="s">
        <v>1131</v>
      </c>
      <c r="D314" s="368">
        <v>15000000</v>
      </c>
      <c r="E314" s="20">
        <v>0.04</v>
      </c>
      <c r="F314" s="368">
        <f t="shared" si="15"/>
        <v>600000</v>
      </c>
      <c r="G314" s="368">
        <v>600000</v>
      </c>
      <c r="H314" s="368" t="s">
        <v>2503</v>
      </c>
      <c r="I314" s="374" t="s">
        <v>2511</v>
      </c>
      <c r="J314" s="24" t="s">
        <v>1130</v>
      </c>
      <c r="K314" s="368">
        <f t="shared" ref="K314:K322" si="19">G314</f>
        <v>600000</v>
      </c>
      <c r="L314" s="368">
        <f t="shared" ref="L314:L380" si="20">F314-K314</f>
        <v>0</v>
      </c>
      <c r="M314" s="45"/>
    </row>
    <row r="315" spans="1:13" ht="30" customHeight="1" x14ac:dyDescent="0.2">
      <c r="A315" s="4">
        <v>209</v>
      </c>
      <c r="B315" s="45" t="s">
        <v>71</v>
      </c>
      <c r="C315" s="380"/>
      <c r="D315" s="368">
        <v>10000000</v>
      </c>
      <c r="E315" s="20">
        <v>0.05</v>
      </c>
      <c r="F315" s="368">
        <f t="shared" si="15"/>
        <v>500000</v>
      </c>
      <c r="G315" s="368">
        <v>500000</v>
      </c>
      <c r="H315" s="368" t="s">
        <v>2063</v>
      </c>
      <c r="I315" s="374" t="s">
        <v>2602</v>
      </c>
      <c r="J315" s="88" t="s">
        <v>1277</v>
      </c>
      <c r="K315" s="368">
        <f t="shared" si="19"/>
        <v>500000</v>
      </c>
      <c r="L315" s="368">
        <f t="shared" si="20"/>
        <v>0</v>
      </c>
      <c r="M315" s="45"/>
    </row>
    <row r="316" spans="1:13" ht="30" customHeight="1" x14ac:dyDescent="0.2">
      <c r="A316" s="4">
        <v>210</v>
      </c>
      <c r="B316" s="45" t="s">
        <v>73</v>
      </c>
      <c r="C316" s="380"/>
      <c r="D316" s="366"/>
      <c r="E316" s="44"/>
      <c r="F316" s="366">
        <f t="shared" si="15"/>
        <v>0</v>
      </c>
      <c r="G316" s="368">
        <v>3500000</v>
      </c>
      <c r="H316" s="368" t="s">
        <v>1756</v>
      </c>
      <c r="I316" s="374" t="s">
        <v>1803</v>
      </c>
      <c r="J316" s="24" t="s">
        <v>721</v>
      </c>
      <c r="K316" s="368">
        <f t="shared" si="19"/>
        <v>3500000</v>
      </c>
      <c r="L316" s="366">
        <f t="shared" si="20"/>
        <v>-3500000</v>
      </c>
      <c r="M316" s="45"/>
    </row>
    <row r="317" spans="1:13" ht="30" customHeight="1" x14ac:dyDescent="0.2">
      <c r="A317" s="4">
        <v>211</v>
      </c>
      <c r="B317" s="45" t="s">
        <v>74</v>
      </c>
      <c r="C317" s="380" t="s">
        <v>1350</v>
      </c>
      <c r="D317" s="368">
        <v>100000000</v>
      </c>
      <c r="E317" s="20">
        <v>0.05</v>
      </c>
      <c r="F317" s="368">
        <f t="shared" si="15"/>
        <v>5000000</v>
      </c>
      <c r="G317" s="368">
        <v>5000000</v>
      </c>
      <c r="H317" s="368" t="s">
        <v>1477</v>
      </c>
      <c r="I317" s="374" t="s">
        <v>1482</v>
      </c>
      <c r="J317" s="24" t="s">
        <v>1483</v>
      </c>
      <c r="K317" s="368">
        <f t="shared" si="19"/>
        <v>5000000</v>
      </c>
      <c r="L317" s="368">
        <f t="shared" si="20"/>
        <v>0</v>
      </c>
      <c r="M317" s="45"/>
    </row>
    <row r="318" spans="1:13" ht="30" customHeight="1" x14ac:dyDescent="0.2">
      <c r="A318" s="4">
        <v>212</v>
      </c>
      <c r="B318" s="45" t="s">
        <v>75</v>
      </c>
      <c r="C318" s="380"/>
      <c r="D318" s="368">
        <v>30000000</v>
      </c>
      <c r="E318" s="20">
        <v>0.05</v>
      </c>
      <c r="F318" s="368">
        <f t="shared" si="15"/>
        <v>1500000</v>
      </c>
      <c r="G318" s="368">
        <v>1500000</v>
      </c>
      <c r="H318" s="368" t="s">
        <v>2626</v>
      </c>
      <c r="I318" s="374" t="s">
        <v>2646</v>
      </c>
      <c r="J318" s="24" t="s">
        <v>2647</v>
      </c>
      <c r="K318" s="368">
        <f t="shared" si="19"/>
        <v>1500000</v>
      </c>
      <c r="L318" s="368">
        <f t="shared" si="20"/>
        <v>0</v>
      </c>
      <c r="M318" s="45"/>
    </row>
    <row r="319" spans="1:13" ht="30" customHeight="1" x14ac:dyDescent="0.2">
      <c r="A319" s="4">
        <v>213</v>
      </c>
      <c r="B319" s="45" t="s">
        <v>76</v>
      </c>
      <c r="C319" s="380"/>
      <c r="D319" s="368">
        <v>15000000</v>
      </c>
      <c r="E319" s="20">
        <v>4.7E-2</v>
      </c>
      <c r="F319" s="368">
        <v>700000</v>
      </c>
      <c r="G319" s="368">
        <v>700000</v>
      </c>
      <c r="H319" s="368" t="s">
        <v>1431</v>
      </c>
      <c r="I319" s="374" t="s">
        <v>1447</v>
      </c>
      <c r="J319" s="24" t="s">
        <v>331</v>
      </c>
      <c r="K319" s="368">
        <f t="shared" si="19"/>
        <v>700000</v>
      </c>
      <c r="L319" s="368">
        <f t="shared" si="20"/>
        <v>0</v>
      </c>
      <c r="M319" s="45"/>
    </row>
    <row r="320" spans="1:13" ht="30" customHeight="1" x14ac:dyDescent="0.2">
      <c r="A320" s="4">
        <v>214</v>
      </c>
      <c r="B320" s="45" t="s">
        <v>966</v>
      </c>
      <c r="C320" s="380"/>
      <c r="D320" s="368">
        <v>200000000</v>
      </c>
      <c r="E320" s="20">
        <v>5.5E-2</v>
      </c>
      <c r="F320" s="368">
        <f t="shared" si="15"/>
        <v>11000000</v>
      </c>
      <c r="G320" s="368">
        <v>11000000</v>
      </c>
      <c r="H320" s="368" t="s">
        <v>1431</v>
      </c>
      <c r="I320" s="376" t="s">
        <v>1441</v>
      </c>
      <c r="J320" s="24" t="s">
        <v>1442</v>
      </c>
      <c r="K320" s="368">
        <f t="shared" si="19"/>
        <v>11000000</v>
      </c>
      <c r="L320" s="368">
        <f t="shared" si="20"/>
        <v>0</v>
      </c>
      <c r="M320" s="45"/>
    </row>
    <row r="321" spans="1:13" ht="30" customHeight="1" x14ac:dyDescent="0.2">
      <c r="A321" s="4">
        <v>215</v>
      </c>
      <c r="B321" s="45" t="s">
        <v>77</v>
      </c>
      <c r="C321" s="380"/>
      <c r="D321" s="368">
        <v>70000000</v>
      </c>
      <c r="E321" s="20">
        <v>0.05</v>
      </c>
      <c r="F321" s="368">
        <f t="shared" si="15"/>
        <v>3500000</v>
      </c>
      <c r="G321" s="368">
        <v>3500000</v>
      </c>
      <c r="H321" s="368" t="s">
        <v>1898</v>
      </c>
      <c r="I321" s="374" t="s">
        <v>1944</v>
      </c>
      <c r="J321" s="24" t="s">
        <v>1945</v>
      </c>
      <c r="K321" s="368">
        <f t="shared" si="19"/>
        <v>3500000</v>
      </c>
      <c r="L321" s="368">
        <f t="shared" si="20"/>
        <v>0</v>
      </c>
      <c r="M321" s="45"/>
    </row>
    <row r="322" spans="1:13" ht="30" customHeight="1" x14ac:dyDescent="0.2">
      <c r="A322" s="4">
        <v>216</v>
      </c>
      <c r="B322" s="45" t="s">
        <v>78</v>
      </c>
      <c r="C322" s="380" t="s">
        <v>916</v>
      </c>
      <c r="D322" s="460">
        <v>250000000</v>
      </c>
      <c r="E322" s="20">
        <v>4.4999999999999998E-2</v>
      </c>
      <c r="F322" s="460">
        <f t="shared" si="15"/>
        <v>11250000</v>
      </c>
      <c r="G322" s="368">
        <v>11250000</v>
      </c>
      <c r="H322" s="368" t="s">
        <v>1477</v>
      </c>
      <c r="I322" s="374" t="s">
        <v>1501</v>
      </c>
      <c r="J322" s="21" t="s">
        <v>1502</v>
      </c>
      <c r="K322" s="368">
        <f t="shared" si="19"/>
        <v>11250000</v>
      </c>
      <c r="L322" s="366">
        <f t="shared" si="20"/>
        <v>0</v>
      </c>
      <c r="M322" s="45"/>
    </row>
    <row r="323" spans="1:13" ht="30" customHeight="1" x14ac:dyDescent="0.2">
      <c r="A323" s="2031">
        <v>217</v>
      </c>
      <c r="B323" s="2029" t="s">
        <v>80</v>
      </c>
      <c r="C323" s="380"/>
      <c r="D323" s="2040">
        <v>160000000</v>
      </c>
      <c r="E323" s="2037">
        <v>0.05</v>
      </c>
      <c r="F323" s="2040">
        <f t="shared" ref="F323:F386" si="21">D323*E323</f>
        <v>8000000</v>
      </c>
      <c r="G323" s="368">
        <v>1000000</v>
      </c>
      <c r="H323" s="368" t="s">
        <v>2626</v>
      </c>
      <c r="I323" s="374" t="s">
        <v>2635</v>
      </c>
      <c r="J323" s="88" t="s">
        <v>2636</v>
      </c>
      <c r="K323" s="2040">
        <f>G323+G324</f>
        <v>2000000</v>
      </c>
      <c r="L323" s="2040">
        <f t="shared" si="20"/>
        <v>6000000</v>
      </c>
      <c r="M323" s="2051" t="s">
        <v>2637</v>
      </c>
    </row>
    <row r="324" spans="1:13" ht="30" customHeight="1" x14ac:dyDescent="0.2">
      <c r="A324" s="2032"/>
      <c r="B324" s="2030"/>
      <c r="C324" s="992"/>
      <c r="D324" s="2042"/>
      <c r="E324" s="2039"/>
      <c r="F324" s="2042"/>
      <c r="G324" s="986">
        <v>1000000</v>
      </c>
      <c r="H324" s="986" t="s">
        <v>2626</v>
      </c>
      <c r="I324" s="995" t="s">
        <v>2649</v>
      </c>
      <c r="J324" s="88" t="s">
        <v>2636</v>
      </c>
      <c r="K324" s="2042"/>
      <c r="L324" s="2042"/>
      <c r="M324" s="2052"/>
    </row>
    <row r="325" spans="1:13" ht="30" customHeight="1" x14ac:dyDescent="0.2">
      <c r="A325" s="4">
        <v>218</v>
      </c>
      <c r="B325" s="45" t="s">
        <v>81</v>
      </c>
      <c r="C325" s="380"/>
      <c r="D325" s="368">
        <v>45000000</v>
      </c>
      <c r="E325" s="20">
        <v>0.04</v>
      </c>
      <c r="F325" s="368">
        <f t="shared" si="21"/>
        <v>1800000</v>
      </c>
      <c r="G325" s="368">
        <v>1800000</v>
      </c>
      <c r="H325" s="368" t="s">
        <v>1756</v>
      </c>
      <c r="I325" s="374" t="s">
        <v>1797</v>
      </c>
      <c r="J325" s="70" t="s">
        <v>1798</v>
      </c>
      <c r="K325" s="368">
        <f>G325</f>
        <v>1800000</v>
      </c>
      <c r="L325" s="368">
        <f t="shared" si="20"/>
        <v>0</v>
      </c>
      <c r="M325" s="45"/>
    </row>
    <row r="326" spans="1:13" ht="30" customHeight="1" x14ac:dyDescent="0.2">
      <c r="A326" s="4">
        <v>219</v>
      </c>
      <c r="B326" s="45" t="s">
        <v>1907</v>
      </c>
      <c r="C326" s="380"/>
      <c r="D326" s="366"/>
      <c r="E326" s="44"/>
      <c r="F326" s="366">
        <f t="shared" si="21"/>
        <v>0</v>
      </c>
      <c r="G326" s="368"/>
      <c r="H326" s="368"/>
      <c r="I326" s="374"/>
      <c r="J326" s="24"/>
      <c r="K326" s="368"/>
      <c r="L326" s="366">
        <f t="shared" si="20"/>
        <v>0</v>
      </c>
      <c r="M326" s="45"/>
    </row>
    <row r="327" spans="1:13" ht="30" customHeight="1" x14ac:dyDescent="0.2">
      <c r="A327" s="4">
        <v>220</v>
      </c>
      <c r="B327" s="188" t="s">
        <v>83</v>
      </c>
      <c r="C327" s="385"/>
      <c r="D327" s="389">
        <v>203000000</v>
      </c>
      <c r="E327" s="392">
        <v>0.05</v>
      </c>
      <c r="F327" s="389">
        <f t="shared" si="21"/>
        <v>10150000</v>
      </c>
      <c r="G327" s="368">
        <v>10150000</v>
      </c>
      <c r="H327" s="368" t="s">
        <v>1431</v>
      </c>
      <c r="I327" s="420" t="s">
        <v>1464</v>
      </c>
      <c r="J327" s="24" t="s">
        <v>1465</v>
      </c>
      <c r="K327" s="240">
        <f>G327</f>
        <v>10150000</v>
      </c>
      <c r="L327" s="389">
        <f t="shared" si="20"/>
        <v>0</v>
      </c>
      <c r="M327" s="45"/>
    </row>
    <row r="328" spans="1:13" ht="30" customHeight="1" x14ac:dyDescent="0.2">
      <c r="A328" s="4">
        <v>221</v>
      </c>
      <c r="B328" s="188" t="s">
        <v>332</v>
      </c>
      <c r="C328" s="385"/>
      <c r="D328" s="389">
        <v>275000000</v>
      </c>
      <c r="E328" s="392">
        <v>4.2000000000000003E-2</v>
      </c>
      <c r="F328" s="389">
        <f>D328*E328</f>
        <v>11550000</v>
      </c>
      <c r="G328" s="397">
        <v>11550000</v>
      </c>
      <c r="H328" s="397" t="s">
        <v>1713</v>
      </c>
      <c r="I328" s="402" t="s">
        <v>1751</v>
      </c>
      <c r="J328" s="427" t="s">
        <v>1752</v>
      </c>
      <c r="K328" s="240">
        <f>G328</f>
        <v>11550000</v>
      </c>
      <c r="L328" s="389">
        <f t="shared" si="20"/>
        <v>0</v>
      </c>
      <c r="M328" s="396"/>
    </row>
    <row r="329" spans="1:13" ht="30" customHeight="1" x14ac:dyDescent="0.2">
      <c r="A329" s="2031">
        <v>222</v>
      </c>
      <c r="B329" s="2101" t="s">
        <v>1935</v>
      </c>
      <c r="C329" s="2149" t="s">
        <v>1342</v>
      </c>
      <c r="D329" s="399">
        <v>700000000</v>
      </c>
      <c r="E329" s="608">
        <v>5.5E-2</v>
      </c>
      <c r="F329" s="399">
        <f>D329*E329</f>
        <v>38500000</v>
      </c>
      <c r="G329" s="399">
        <v>3500000</v>
      </c>
      <c r="H329" s="399" t="s">
        <v>1052</v>
      </c>
      <c r="I329" s="281" t="s">
        <v>1416</v>
      </c>
      <c r="J329" s="37" t="s">
        <v>1418</v>
      </c>
      <c r="K329" s="399">
        <f>G329+خرداد!G277+خرداد!G278</f>
        <v>38500000</v>
      </c>
      <c r="L329" s="399">
        <f>F329-K329</f>
        <v>0</v>
      </c>
      <c r="M329" s="168" t="s">
        <v>1420</v>
      </c>
    </row>
    <row r="330" spans="1:13" ht="30" customHeight="1" x14ac:dyDescent="0.2">
      <c r="A330" s="2034"/>
      <c r="B330" s="2222"/>
      <c r="C330" s="2158"/>
      <c r="D330" s="575">
        <v>715000000</v>
      </c>
      <c r="E330" s="598"/>
      <c r="F330" s="575"/>
      <c r="G330" s="575">
        <v>15000000</v>
      </c>
      <c r="H330" s="575" t="s">
        <v>1898</v>
      </c>
      <c r="I330" s="588" t="s">
        <v>1933</v>
      </c>
      <c r="J330" s="24" t="s">
        <v>1934</v>
      </c>
      <c r="K330" s="575">
        <f>G330</f>
        <v>15000000</v>
      </c>
      <c r="L330" s="575"/>
      <c r="M330" s="168" t="s">
        <v>1936</v>
      </c>
    </row>
    <row r="331" spans="1:13" ht="30" customHeight="1" x14ac:dyDescent="0.2">
      <c r="A331" s="2034"/>
      <c r="B331" s="2222"/>
      <c r="C331" s="2158"/>
      <c r="D331" s="2197">
        <v>700000000</v>
      </c>
      <c r="E331" s="2219">
        <v>0.06</v>
      </c>
      <c r="F331" s="2197">
        <f>D331*E331</f>
        <v>42000000</v>
      </c>
      <c r="G331" s="610">
        <v>5000000</v>
      </c>
      <c r="H331" s="610" t="s">
        <v>2005</v>
      </c>
      <c r="I331" s="611" t="s">
        <v>2011</v>
      </c>
      <c r="J331" s="612" t="s">
        <v>2274</v>
      </c>
      <c r="K331" s="2197">
        <f>G331+G332+G333+G334+G335+G336</f>
        <v>39500000</v>
      </c>
      <c r="L331" s="2197">
        <f>F331-K331</f>
        <v>2500000</v>
      </c>
      <c r="M331" s="2234" t="s">
        <v>2331</v>
      </c>
    </row>
    <row r="332" spans="1:13" ht="30" customHeight="1" x14ac:dyDescent="0.2">
      <c r="A332" s="2034"/>
      <c r="B332" s="2222"/>
      <c r="C332" s="2158"/>
      <c r="D332" s="2198"/>
      <c r="E332" s="2220"/>
      <c r="F332" s="2198"/>
      <c r="G332" s="610">
        <v>10000000</v>
      </c>
      <c r="H332" s="610" t="s">
        <v>2124</v>
      </c>
      <c r="I332" s="611" t="s">
        <v>2138</v>
      </c>
      <c r="J332" s="612" t="s">
        <v>2274</v>
      </c>
      <c r="K332" s="2198"/>
      <c r="L332" s="2198"/>
      <c r="M332" s="2235"/>
    </row>
    <row r="333" spans="1:13" ht="30" customHeight="1" x14ac:dyDescent="0.2">
      <c r="A333" s="2034"/>
      <c r="B333" s="2222"/>
      <c r="C333" s="2158"/>
      <c r="D333" s="2198"/>
      <c r="E333" s="2220"/>
      <c r="F333" s="2198"/>
      <c r="G333" s="708">
        <v>5000000</v>
      </c>
      <c r="H333" s="708" t="s">
        <v>2135</v>
      </c>
      <c r="I333" s="611" t="s">
        <v>2159</v>
      </c>
      <c r="J333" s="612" t="s">
        <v>2274</v>
      </c>
      <c r="K333" s="2198"/>
      <c r="L333" s="2198"/>
      <c r="M333" s="2235"/>
    </row>
    <row r="334" spans="1:13" ht="30" customHeight="1" x14ac:dyDescent="0.2">
      <c r="A334" s="2034"/>
      <c r="B334" s="2222"/>
      <c r="C334" s="2158"/>
      <c r="D334" s="2198"/>
      <c r="E334" s="2220"/>
      <c r="F334" s="2198"/>
      <c r="G334" s="708">
        <v>10000000</v>
      </c>
      <c r="H334" s="708" t="s">
        <v>2184</v>
      </c>
      <c r="I334" s="611" t="s">
        <v>2201</v>
      </c>
      <c r="J334" s="612" t="s">
        <v>2274</v>
      </c>
      <c r="K334" s="2198"/>
      <c r="L334" s="2198"/>
      <c r="M334" s="2235"/>
    </row>
    <row r="335" spans="1:13" ht="30" customHeight="1" x14ac:dyDescent="0.2">
      <c r="A335" s="2034"/>
      <c r="B335" s="2222"/>
      <c r="C335" s="2158"/>
      <c r="D335" s="2198"/>
      <c r="E335" s="2220"/>
      <c r="F335" s="2198"/>
      <c r="G335" s="749">
        <v>8500000</v>
      </c>
      <c r="H335" s="749" t="s">
        <v>2202</v>
      </c>
      <c r="I335" s="611" t="s">
        <v>2273</v>
      </c>
      <c r="J335" s="612" t="s">
        <v>2274</v>
      </c>
      <c r="K335" s="2198"/>
      <c r="L335" s="2198"/>
      <c r="M335" s="2235"/>
    </row>
    <row r="336" spans="1:13" ht="30" customHeight="1" x14ac:dyDescent="0.2">
      <c r="A336" s="2032"/>
      <c r="B336" s="2102"/>
      <c r="C336" s="2150"/>
      <c r="D336" s="2199"/>
      <c r="E336" s="2221"/>
      <c r="F336" s="2199"/>
      <c r="G336" s="749">
        <v>1000000</v>
      </c>
      <c r="H336" s="749" t="s">
        <v>2295</v>
      </c>
      <c r="I336" s="611" t="s">
        <v>2330</v>
      </c>
      <c r="J336" s="612" t="s">
        <v>2274</v>
      </c>
      <c r="K336" s="2199"/>
      <c r="L336" s="2199"/>
      <c r="M336" s="2236"/>
    </row>
    <row r="337" spans="1:13" ht="30" customHeight="1" x14ac:dyDescent="0.2">
      <c r="A337" s="387">
        <v>223</v>
      </c>
      <c r="B337" s="388" t="s">
        <v>85</v>
      </c>
      <c r="C337" s="380" t="s">
        <v>1750</v>
      </c>
      <c r="D337" s="510">
        <v>100000000</v>
      </c>
      <c r="E337" s="509">
        <v>0.05</v>
      </c>
      <c r="F337" s="510">
        <f t="shared" si="21"/>
        <v>5000000</v>
      </c>
      <c r="G337" s="510">
        <v>5000000</v>
      </c>
      <c r="H337" s="510" t="s">
        <v>1898</v>
      </c>
      <c r="I337" s="516" t="s">
        <v>1982</v>
      </c>
      <c r="J337" s="24" t="s">
        <v>1983</v>
      </c>
      <c r="K337" s="510">
        <f>G337</f>
        <v>5000000</v>
      </c>
      <c r="L337" s="510">
        <f t="shared" si="20"/>
        <v>0</v>
      </c>
      <c r="M337" s="45"/>
    </row>
    <row r="338" spans="1:13" ht="30" customHeight="1" x14ac:dyDescent="0.2">
      <c r="A338" s="4">
        <v>224</v>
      </c>
      <c r="B338" s="45" t="s">
        <v>86</v>
      </c>
      <c r="C338" s="380"/>
      <c r="D338" s="368">
        <v>10000000</v>
      </c>
      <c r="E338" s="20">
        <v>0.05</v>
      </c>
      <c r="F338" s="368">
        <f t="shared" si="21"/>
        <v>500000</v>
      </c>
      <c r="G338" s="368">
        <v>500000</v>
      </c>
      <c r="H338" s="368" t="s">
        <v>1804</v>
      </c>
      <c r="I338" s="374" t="s">
        <v>1810</v>
      </c>
      <c r="J338" s="24" t="s">
        <v>362</v>
      </c>
      <c r="K338" s="368">
        <f>G338</f>
        <v>500000</v>
      </c>
      <c r="L338" s="368">
        <f t="shared" si="20"/>
        <v>0</v>
      </c>
      <c r="M338" s="45"/>
    </row>
    <row r="339" spans="1:13" ht="30" customHeight="1" x14ac:dyDescent="0.2">
      <c r="A339" s="4">
        <v>225</v>
      </c>
      <c r="B339" s="45" t="s">
        <v>87</v>
      </c>
      <c r="C339" s="380"/>
      <c r="D339" s="366"/>
      <c r="E339" s="44"/>
      <c r="F339" s="366">
        <f t="shared" si="21"/>
        <v>0</v>
      </c>
      <c r="G339" s="368"/>
      <c r="H339" s="368"/>
      <c r="I339" s="374"/>
      <c r="J339" s="21"/>
      <c r="K339" s="368"/>
      <c r="L339" s="366">
        <f t="shared" si="20"/>
        <v>0</v>
      </c>
      <c r="M339" s="103" t="s">
        <v>733</v>
      </c>
    </row>
    <row r="340" spans="1:13" ht="30" customHeight="1" x14ac:dyDescent="0.2">
      <c r="A340" s="2031">
        <v>226</v>
      </c>
      <c r="B340" s="2029" t="s">
        <v>88</v>
      </c>
      <c r="C340" s="2149"/>
      <c r="D340" s="900">
        <v>500000000</v>
      </c>
      <c r="E340" s="905">
        <v>0.06</v>
      </c>
      <c r="F340" s="900">
        <f>D340*E340</f>
        <v>30000000</v>
      </c>
      <c r="G340" s="368">
        <v>30000000</v>
      </c>
      <c r="H340" s="368" t="s">
        <v>2503</v>
      </c>
      <c r="I340" s="374" t="s">
        <v>2525</v>
      </c>
      <c r="J340" s="24" t="s">
        <v>2526</v>
      </c>
      <c r="K340" s="368">
        <f>G340</f>
        <v>30000000</v>
      </c>
      <c r="L340" s="879">
        <f t="shared" si="20"/>
        <v>0</v>
      </c>
      <c r="M340" s="898" t="s">
        <v>1285</v>
      </c>
    </row>
    <row r="341" spans="1:13" ht="30" customHeight="1" x14ac:dyDescent="0.2">
      <c r="A341" s="2034"/>
      <c r="B341" s="2033"/>
      <c r="C341" s="2158"/>
      <c r="D341" s="2097" t="s">
        <v>2552</v>
      </c>
      <c r="E341" s="2195"/>
      <c r="F341" s="2098"/>
      <c r="G341" s="896">
        <v>40000000</v>
      </c>
      <c r="H341" s="896" t="s">
        <v>2549</v>
      </c>
      <c r="I341" s="901" t="s">
        <v>2553</v>
      </c>
      <c r="J341" s="24" t="s">
        <v>2526</v>
      </c>
      <c r="K341" s="2040">
        <f>G341+G342</f>
        <v>90000000</v>
      </c>
      <c r="L341" s="2040">
        <f>90000000-K341</f>
        <v>0</v>
      </c>
      <c r="M341" s="2044"/>
    </row>
    <row r="342" spans="1:13" ht="30" customHeight="1" x14ac:dyDescent="0.2">
      <c r="A342" s="2034"/>
      <c r="B342" s="2033"/>
      <c r="C342" s="2158"/>
      <c r="D342" s="2099"/>
      <c r="E342" s="2196"/>
      <c r="F342" s="2100"/>
      <c r="G342" s="896">
        <v>50000000</v>
      </c>
      <c r="H342" s="896" t="s">
        <v>2577</v>
      </c>
      <c r="I342" s="901" t="s">
        <v>2593</v>
      </c>
      <c r="J342" s="24" t="s">
        <v>2526</v>
      </c>
      <c r="K342" s="2042"/>
      <c r="L342" s="2042"/>
      <c r="M342" s="2044"/>
    </row>
    <row r="343" spans="1:13" ht="30" customHeight="1" x14ac:dyDescent="0.2">
      <c r="A343" s="2032"/>
      <c r="B343" s="2030"/>
      <c r="C343" s="2150"/>
      <c r="D343" s="900">
        <v>410000000</v>
      </c>
      <c r="E343" s="905">
        <v>0.06</v>
      </c>
      <c r="F343" s="900">
        <f>D343*E343</f>
        <v>24600000</v>
      </c>
      <c r="G343" s="2192" t="s">
        <v>2594</v>
      </c>
      <c r="H343" s="2193"/>
      <c r="I343" s="2193"/>
      <c r="J343" s="2193"/>
      <c r="K343" s="2194"/>
      <c r="L343" s="896"/>
      <c r="M343" s="2045"/>
    </row>
    <row r="344" spans="1:13" ht="30" customHeight="1" x14ac:dyDescent="0.2">
      <c r="A344" s="4">
        <v>227</v>
      </c>
      <c r="B344" s="45" t="s">
        <v>89</v>
      </c>
      <c r="C344" s="380" t="s">
        <v>916</v>
      </c>
      <c r="D344" s="368">
        <v>20000000</v>
      </c>
      <c r="E344" s="20">
        <v>0.05</v>
      </c>
      <c r="F344" s="368">
        <f>D344*E344</f>
        <v>1000000</v>
      </c>
      <c r="G344" s="368">
        <v>1000000</v>
      </c>
      <c r="H344" s="368" t="s">
        <v>1477</v>
      </c>
      <c r="I344" s="374" t="s">
        <v>1507</v>
      </c>
      <c r="J344" s="21" t="s">
        <v>1508</v>
      </c>
      <c r="K344" s="368">
        <f>G344</f>
        <v>1000000</v>
      </c>
      <c r="L344" s="368">
        <f t="shared" si="20"/>
        <v>0</v>
      </c>
      <c r="M344" s="45"/>
    </row>
    <row r="345" spans="1:13" ht="30" customHeight="1" x14ac:dyDescent="0.2">
      <c r="A345" s="4">
        <v>228</v>
      </c>
      <c r="B345" s="45" t="s">
        <v>90</v>
      </c>
      <c r="C345" s="380"/>
      <c r="D345" s="366"/>
      <c r="E345" s="44"/>
      <c r="F345" s="366">
        <f t="shared" si="21"/>
        <v>0</v>
      </c>
      <c r="G345" s="368">
        <v>400000</v>
      </c>
      <c r="H345" s="368" t="s">
        <v>1852</v>
      </c>
      <c r="I345" s="374" t="s">
        <v>1916</v>
      </c>
      <c r="J345" s="30" t="s">
        <v>426</v>
      </c>
      <c r="K345" s="368">
        <f>G345</f>
        <v>400000</v>
      </c>
      <c r="L345" s="366">
        <f t="shared" si="20"/>
        <v>-400000</v>
      </c>
      <c r="M345" s="45"/>
    </row>
    <row r="346" spans="1:13" ht="30" customHeight="1" x14ac:dyDescent="0.2">
      <c r="A346" s="4">
        <v>229</v>
      </c>
      <c r="B346" s="45" t="s">
        <v>91</v>
      </c>
      <c r="C346" s="380" t="s">
        <v>916</v>
      </c>
      <c r="D346" s="546">
        <v>52000000</v>
      </c>
      <c r="E346" s="555">
        <v>0.05</v>
      </c>
      <c r="F346" s="546">
        <f t="shared" si="21"/>
        <v>2600000</v>
      </c>
      <c r="G346" s="546">
        <v>2600000</v>
      </c>
      <c r="H346" s="546" t="s">
        <v>1713</v>
      </c>
      <c r="I346" s="553" t="s">
        <v>1714</v>
      </c>
      <c r="J346" s="24" t="s">
        <v>390</v>
      </c>
      <c r="K346" s="546">
        <f>G346</f>
        <v>2600000</v>
      </c>
      <c r="L346" s="546">
        <f t="shared" si="20"/>
        <v>0</v>
      </c>
      <c r="M346" s="45"/>
    </row>
    <row r="347" spans="1:13" ht="30" customHeight="1" x14ac:dyDescent="0.2">
      <c r="A347" s="4">
        <v>230</v>
      </c>
      <c r="B347" s="45" t="s">
        <v>92</v>
      </c>
      <c r="C347" s="380"/>
      <c r="D347" s="368">
        <v>20000000</v>
      </c>
      <c r="E347" s="20">
        <v>0.05</v>
      </c>
      <c r="F347" s="368">
        <f t="shared" si="21"/>
        <v>1000000</v>
      </c>
      <c r="G347" s="368"/>
      <c r="H347" s="368"/>
      <c r="I347" s="374"/>
      <c r="J347" s="24"/>
      <c r="K347" s="368"/>
      <c r="L347" s="368">
        <f t="shared" si="20"/>
        <v>1000000</v>
      </c>
      <c r="M347" s="45"/>
    </row>
    <row r="348" spans="1:13" ht="30" customHeight="1" x14ac:dyDescent="0.2">
      <c r="A348" s="4">
        <v>231</v>
      </c>
      <c r="B348" s="45" t="s">
        <v>93</v>
      </c>
      <c r="C348" s="380" t="s">
        <v>1110</v>
      </c>
      <c r="D348" s="368">
        <v>30000000</v>
      </c>
      <c r="E348" s="20">
        <v>4.4999999999999998E-2</v>
      </c>
      <c r="F348" s="368">
        <f t="shared" si="21"/>
        <v>1350000</v>
      </c>
      <c r="G348" s="368">
        <v>1350000</v>
      </c>
      <c r="H348" s="368" t="s">
        <v>1835</v>
      </c>
      <c r="I348" s="374" t="s">
        <v>1849</v>
      </c>
      <c r="J348" s="30" t="s">
        <v>1850</v>
      </c>
      <c r="K348" s="368">
        <f>G348</f>
        <v>1350000</v>
      </c>
      <c r="L348" s="368">
        <f t="shared" si="20"/>
        <v>0</v>
      </c>
      <c r="M348" s="45"/>
    </row>
    <row r="349" spans="1:13" ht="30" customHeight="1" x14ac:dyDescent="0.2">
      <c r="A349" s="4">
        <v>232</v>
      </c>
      <c r="B349" s="45" t="s">
        <v>1699</v>
      </c>
      <c r="C349" s="380" t="s">
        <v>1215</v>
      </c>
      <c r="D349" s="368">
        <v>55000000</v>
      </c>
      <c r="E349" s="20">
        <v>0.04</v>
      </c>
      <c r="F349" s="368">
        <f t="shared" si="21"/>
        <v>2200000</v>
      </c>
      <c r="G349" s="368">
        <v>2200000</v>
      </c>
      <c r="H349" s="368" t="s">
        <v>1691</v>
      </c>
      <c r="I349" s="374" t="s">
        <v>1700</v>
      </c>
      <c r="J349" s="24" t="s">
        <v>1701</v>
      </c>
      <c r="K349" s="368">
        <f>G349</f>
        <v>2200000</v>
      </c>
      <c r="L349" s="368">
        <f t="shared" si="20"/>
        <v>0</v>
      </c>
      <c r="M349" s="45"/>
    </row>
    <row r="350" spans="1:13" ht="30" customHeight="1" x14ac:dyDescent="0.2">
      <c r="A350" s="4">
        <v>233</v>
      </c>
      <c r="B350" s="45" t="s">
        <v>280</v>
      </c>
      <c r="C350" s="380" t="s">
        <v>380</v>
      </c>
      <c r="D350" s="368">
        <v>50000000</v>
      </c>
      <c r="E350" s="20">
        <v>0.05</v>
      </c>
      <c r="F350" s="368">
        <f t="shared" si="21"/>
        <v>2500000</v>
      </c>
      <c r="G350" s="368">
        <v>2500000</v>
      </c>
      <c r="H350" s="368" t="s">
        <v>1898</v>
      </c>
      <c r="I350" s="374" t="s">
        <v>1990</v>
      </c>
      <c r="J350" s="24" t="s">
        <v>1991</v>
      </c>
      <c r="K350" s="368">
        <f>G350</f>
        <v>2500000</v>
      </c>
      <c r="L350" s="368">
        <f t="shared" si="20"/>
        <v>0</v>
      </c>
      <c r="M350" s="170" t="s">
        <v>279</v>
      </c>
    </row>
    <row r="351" spans="1:13" ht="30" customHeight="1" x14ac:dyDescent="0.2">
      <c r="A351" s="4">
        <v>234</v>
      </c>
      <c r="B351" s="188" t="s">
        <v>95</v>
      </c>
      <c r="C351" s="1202" t="s">
        <v>916</v>
      </c>
      <c r="D351" s="394"/>
      <c r="E351" s="44"/>
      <c r="F351" s="399">
        <v>21000000</v>
      </c>
      <c r="G351" s="399"/>
      <c r="H351" s="399"/>
      <c r="I351" s="281"/>
      <c r="J351" s="37"/>
      <c r="K351" s="399"/>
      <c r="L351" s="390">
        <f t="shared" si="20"/>
        <v>21000000</v>
      </c>
      <c r="M351" s="405"/>
    </row>
    <row r="352" spans="1:13" ht="30" customHeight="1" x14ac:dyDescent="0.2">
      <c r="A352" s="4">
        <v>235</v>
      </c>
      <c r="B352" s="45" t="s">
        <v>96</v>
      </c>
      <c r="C352" s="380" t="s">
        <v>1215</v>
      </c>
      <c r="D352" s="368">
        <v>50000000</v>
      </c>
      <c r="E352" s="393">
        <v>0.04</v>
      </c>
      <c r="F352" s="368">
        <f t="shared" si="21"/>
        <v>2000000</v>
      </c>
      <c r="G352" s="368">
        <v>2000000</v>
      </c>
      <c r="H352" s="368" t="s">
        <v>1898</v>
      </c>
      <c r="I352" s="374" t="s">
        <v>1980</v>
      </c>
      <c r="J352" s="24" t="s">
        <v>1981</v>
      </c>
      <c r="K352" s="368">
        <f t="shared" ref="K352:K358" si="22">G352</f>
        <v>2000000</v>
      </c>
      <c r="L352" s="368">
        <f t="shared" si="20"/>
        <v>0</v>
      </c>
      <c r="M352" s="45"/>
    </row>
    <row r="353" spans="1:15" ht="30" customHeight="1" x14ac:dyDescent="0.2">
      <c r="A353" s="4">
        <v>236</v>
      </c>
      <c r="B353" s="45" t="s">
        <v>97</v>
      </c>
      <c r="C353" s="380"/>
      <c r="D353" s="368">
        <v>37000000</v>
      </c>
      <c r="E353" s="20">
        <v>4.1000000000000002E-2</v>
      </c>
      <c r="F353" s="368">
        <v>1500000</v>
      </c>
      <c r="G353" s="368">
        <v>1500000</v>
      </c>
      <c r="H353" s="368" t="s">
        <v>1852</v>
      </c>
      <c r="I353" s="374" t="s">
        <v>1928</v>
      </c>
      <c r="J353" s="378" t="s">
        <v>340</v>
      </c>
      <c r="K353" s="368">
        <f t="shared" si="22"/>
        <v>1500000</v>
      </c>
      <c r="L353" s="368">
        <f t="shared" si="20"/>
        <v>0</v>
      </c>
      <c r="M353" s="45"/>
    </row>
    <row r="354" spans="1:15" ht="30" customHeight="1" x14ac:dyDescent="0.2">
      <c r="A354" s="4">
        <v>237</v>
      </c>
      <c r="B354" s="45" t="s">
        <v>98</v>
      </c>
      <c r="C354" s="380" t="s">
        <v>1821</v>
      </c>
      <c r="D354" s="368">
        <v>62500000</v>
      </c>
      <c r="E354" s="20">
        <v>4.8000000000000001E-2</v>
      </c>
      <c r="F354" s="368">
        <f t="shared" si="21"/>
        <v>3000000</v>
      </c>
      <c r="G354" s="368">
        <v>3000000</v>
      </c>
      <c r="H354" s="368" t="s">
        <v>2277</v>
      </c>
      <c r="I354" s="374" t="s">
        <v>2283</v>
      </c>
      <c r="J354" s="24" t="s">
        <v>2284</v>
      </c>
      <c r="K354" s="368">
        <f t="shared" si="22"/>
        <v>3000000</v>
      </c>
      <c r="L354" s="368">
        <f t="shared" si="20"/>
        <v>0</v>
      </c>
      <c r="M354" s="45"/>
    </row>
    <row r="355" spans="1:15" ht="30" customHeight="1" x14ac:dyDescent="0.2">
      <c r="A355" s="4">
        <v>238</v>
      </c>
      <c r="B355" s="45" t="s">
        <v>99</v>
      </c>
      <c r="C355" s="380"/>
      <c r="D355" s="368">
        <v>100000000</v>
      </c>
      <c r="E355" s="20">
        <v>0.05</v>
      </c>
      <c r="F355" s="368">
        <f t="shared" si="21"/>
        <v>5000000</v>
      </c>
      <c r="G355" s="368">
        <v>5000000</v>
      </c>
      <c r="H355" s="368" t="s">
        <v>1835</v>
      </c>
      <c r="I355" s="21">
        <v>228048</v>
      </c>
      <c r="J355" s="21" t="s">
        <v>306</v>
      </c>
      <c r="K355" s="368">
        <f t="shared" si="22"/>
        <v>5000000</v>
      </c>
      <c r="L355" s="368">
        <f t="shared" si="20"/>
        <v>0</v>
      </c>
      <c r="M355" s="45"/>
    </row>
    <row r="356" spans="1:15" ht="30" customHeight="1" x14ac:dyDescent="0.2">
      <c r="A356" s="4">
        <v>239</v>
      </c>
      <c r="B356" s="45" t="s">
        <v>100</v>
      </c>
      <c r="C356" s="380" t="s">
        <v>380</v>
      </c>
      <c r="D356" s="368">
        <v>50000000</v>
      </c>
      <c r="E356" s="20">
        <v>0.05</v>
      </c>
      <c r="F356" s="368">
        <f t="shared" si="21"/>
        <v>2500000</v>
      </c>
      <c r="G356" s="368">
        <v>2500000</v>
      </c>
      <c r="H356" s="368" t="s">
        <v>1898</v>
      </c>
      <c r="I356" s="374" t="s">
        <v>1999</v>
      </c>
      <c r="J356" s="24" t="s">
        <v>2000</v>
      </c>
      <c r="K356" s="368">
        <f t="shared" si="22"/>
        <v>2500000</v>
      </c>
      <c r="L356" s="368">
        <f t="shared" si="20"/>
        <v>0</v>
      </c>
      <c r="M356" s="45"/>
    </row>
    <row r="357" spans="1:15" ht="30" customHeight="1" x14ac:dyDescent="0.2">
      <c r="A357" s="4">
        <v>240</v>
      </c>
      <c r="B357" s="2029" t="s">
        <v>2408</v>
      </c>
      <c r="C357" s="2149" t="s">
        <v>1019</v>
      </c>
      <c r="D357" s="2040">
        <v>100000000</v>
      </c>
      <c r="E357" s="2037">
        <v>0.04</v>
      </c>
      <c r="F357" s="2040">
        <f t="shared" si="21"/>
        <v>4000000</v>
      </c>
      <c r="G357" s="368">
        <v>4000000</v>
      </c>
      <c r="H357" s="368" t="s">
        <v>2005</v>
      </c>
      <c r="I357" s="374" t="s">
        <v>2052</v>
      </c>
      <c r="J357" s="24" t="s">
        <v>2053</v>
      </c>
      <c r="K357" s="368">
        <f t="shared" si="22"/>
        <v>4000000</v>
      </c>
      <c r="L357" s="368">
        <f t="shared" si="20"/>
        <v>0</v>
      </c>
      <c r="M357" s="103" t="s">
        <v>2054</v>
      </c>
    </row>
    <row r="358" spans="1:15" ht="30" customHeight="1" x14ac:dyDescent="0.2">
      <c r="A358" s="894"/>
      <c r="B358" s="2030"/>
      <c r="C358" s="2150"/>
      <c r="D358" s="2042"/>
      <c r="E358" s="2039"/>
      <c r="F358" s="2042"/>
      <c r="G358" s="896">
        <v>4000000</v>
      </c>
      <c r="H358" s="896" t="s">
        <v>2547</v>
      </c>
      <c r="I358" s="901" t="s">
        <v>2548</v>
      </c>
      <c r="J358" s="24" t="s">
        <v>353</v>
      </c>
      <c r="K358" s="896">
        <f t="shared" si="22"/>
        <v>4000000</v>
      </c>
      <c r="L358" s="896">
        <f>G358-K358</f>
        <v>0</v>
      </c>
      <c r="M358" s="898" t="s">
        <v>1379</v>
      </c>
    </row>
    <row r="359" spans="1:15" ht="30" customHeight="1" x14ac:dyDescent="0.2">
      <c r="A359" s="2031">
        <v>241</v>
      </c>
      <c r="B359" s="2029" t="s">
        <v>573</v>
      </c>
      <c r="C359" s="421"/>
      <c r="D359" s="742">
        <v>30000000</v>
      </c>
      <c r="E359" s="44"/>
      <c r="F359" s="742">
        <v>2350000</v>
      </c>
      <c r="G359" s="740"/>
      <c r="H359" s="740"/>
      <c r="I359" s="60"/>
      <c r="J359" s="760"/>
      <c r="K359" s="174"/>
      <c r="L359" s="399">
        <f>F359-K359</f>
        <v>2350000</v>
      </c>
      <c r="M359" s="2128"/>
    </row>
    <row r="360" spans="1:15" ht="30" customHeight="1" x14ac:dyDescent="0.2">
      <c r="A360" s="2034"/>
      <c r="B360" s="2033"/>
      <c r="C360" s="759"/>
      <c r="D360" s="738">
        <v>20000000</v>
      </c>
      <c r="E360" s="739">
        <v>7.0000000000000007E-2</v>
      </c>
      <c r="F360" s="738">
        <f>D360*E360</f>
        <v>1400000.0000000002</v>
      </c>
      <c r="G360" s="738">
        <v>1400000</v>
      </c>
      <c r="H360" s="738" t="s">
        <v>2295</v>
      </c>
      <c r="I360" s="748" t="s">
        <v>2319</v>
      </c>
      <c r="J360" s="102" t="s">
        <v>571</v>
      </c>
      <c r="K360" s="738">
        <f>G360</f>
        <v>1400000</v>
      </c>
      <c r="L360" s="738">
        <f>F360-K360</f>
        <v>0</v>
      </c>
      <c r="M360" s="2237"/>
    </row>
    <row r="361" spans="1:15" ht="30" customHeight="1" x14ac:dyDescent="0.2">
      <c r="A361" s="2032"/>
      <c r="B361" s="2030"/>
      <c r="C361" s="759"/>
      <c r="D361" s="738">
        <v>10000000</v>
      </c>
      <c r="E361" s="739">
        <v>0.09</v>
      </c>
      <c r="F361" s="738">
        <f>D361*E361</f>
        <v>900000</v>
      </c>
      <c r="G361" s="738">
        <v>900000</v>
      </c>
      <c r="H361" s="738" t="s">
        <v>2277</v>
      </c>
      <c r="I361" s="748" t="s">
        <v>2280</v>
      </c>
      <c r="J361" s="102" t="s">
        <v>571</v>
      </c>
      <c r="K361" s="738">
        <f>F361</f>
        <v>900000</v>
      </c>
      <c r="L361" s="738">
        <f>F361-K361</f>
        <v>0</v>
      </c>
      <c r="M361" s="2129"/>
    </row>
    <row r="362" spans="1:15" ht="30" customHeight="1" x14ac:dyDescent="0.2">
      <c r="A362" s="4">
        <v>242</v>
      </c>
      <c r="B362" s="45" t="s">
        <v>102</v>
      </c>
      <c r="C362" s="380"/>
      <c r="D362" s="368">
        <v>100000000</v>
      </c>
      <c r="E362" s="393">
        <v>4.4999999999999998E-2</v>
      </c>
      <c r="F362" s="368">
        <f t="shared" si="21"/>
        <v>4500000</v>
      </c>
      <c r="G362" s="368">
        <v>4500000</v>
      </c>
      <c r="H362" s="368" t="s">
        <v>1756</v>
      </c>
      <c r="I362" s="374" t="s">
        <v>1762</v>
      </c>
      <c r="J362" s="24" t="s">
        <v>1763</v>
      </c>
      <c r="K362" s="368">
        <f>G362</f>
        <v>4500000</v>
      </c>
      <c r="L362" s="368">
        <f t="shared" si="20"/>
        <v>0</v>
      </c>
      <c r="M362" s="45"/>
    </row>
    <row r="363" spans="1:15" ht="30" customHeight="1" x14ac:dyDescent="0.2">
      <c r="A363" s="4">
        <v>243</v>
      </c>
      <c r="B363" s="22" t="s">
        <v>519</v>
      </c>
      <c r="C363" s="422" t="s">
        <v>265</v>
      </c>
      <c r="D363" s="399">
        <v>20000000</v>
      </c>
      <c r="E363" s="20">
        <v>0.04</v>
      </c>
      <c r="F363" s="604">
        <f>D363*E363</f>
        <v>800000</v>
      </c>
      <c r="G363" s="604">
        <v>800000</v>
      </c>
      <c r="H363" s="604" t="s">
        <v>2005</v>
      </c>
      <c r="I363" s="604">
        <v>122220558759</v>
      </c>
      <c r="J363" s="604" t="s">
        <v>2016</v>
      </c>
      <c r="K363" s="604">
        <f>G363</f>
        <v>800000</v>
      </c>
      <c r="L363" s="604">
        <f>F363-K363</f>
        <v>0</v>
      </c>
      <c r="M363" s="103" t="s">
        <v>1382</v>
      </c>
      <c r="N363" s="264"/>
      <c r="O363" s="264"/>
    </row>
    <row r="364" spans="1:15" ht="30" customHeight="1" x14ac:dyDescent="0.2">
      <c r="A364" s="4">
        <v>244</v>
      </c>
      <c r="B364" s="388" t="s">
        <v>103</v>
      </c>
      <c r="C364" s="380"/>
      <c r="D364" s="368">
        <v>50000000</v>
      </c>
      <c r="E364" s="20">
        <v>0.05</v>
      </c>
      <c r="F364" s="368">
        <f t="shared" si="21"/>
        <v>2500000</v>
      </c>
      <c r="G364" s="368">
        <v>2500000</v>
      </c>
      <c r="H364" s="368" t="s">
        <v>2005</v>
      </c>
      <c r="I364" s="374" t="s">
        <v>2009</v>
      </c>
      <c r="J364" s="24" t="s">
        <v>310</v>
      </c>
      <c r="K364" s="368">
        <f>G364</f>
        <v>2500000</v>
      </c>
      <c r="L364" s="368">
        <f t="shared" si="20"/>
        <v>0</v>
      </c>
      <c r="M364" s="45"/>
    </row>
    <row r="365" spans="1:15" ht="30" customHeight="1" x14ac:dyDescent="0.2">
      <c r="A365" s="4">
        <v>245</v>
      </c>
      <c r="B365" s="45" t="s">
        <v>320</v>
      </c>
      <c r="C365" s="380" t="s">
        <v>265</v>
      </c>
      <c r="D365" s="368">
        <v>60000000</v>
      </c>
      <c r="E365" s="20">
        <v>0.05</v>
      </c>
      <c r="F365" s="368">
        <f t="shared" si="21"/>
        <v>3000000</v>
      </c>
      <c r="G365" s="368">
        <v>3000000</v>
      </c>
      <c r="H365" s="368" t="s">
        <v>388</v>
      </c>
      <c r="I365" s="374" t="s">
        <v>2049</v>
      </c>
      <c r="J365" s="373" t="s">
        <v>2050</v>
      </c>
      <c r="K365" s="368">
        <f>G365</f>
        <v>3000000</v>
      </c>
      <c r="L365" s="368">
        <f t="shared" si="20"/>
        <v>0</v>
      </c>
      <c r="M365" s="45"/>
    </row>
    <row r="366" spans="1:15" ht="30" customHeight="1" x14ac:dyDescent="0.2">
      <c r="A366" s="4">
        <v>246</v>
      </c>
      <c r="B366" s="45" t="s">
        <v>105</v>
      </c>
      <c r="C366" s="380"/>
      <c r="D366" s="368">
        <v>85000000</v>
      </c>
      <c r="E366" s="20">
        <v>5.0999999999999997E-2</v>
      </c>
      <c r="F366" s="368">
        <v>4300000</v>
      </c>
      <c r="G366" s="368">
        <v>4300000</v>
      </c>
      <c r="H366" s="368" t="s">
        <v>1898</v>
      </c>
      <c r="I366" s="374" t="s">
        <v>1942</v>
      </c>
      <c r="J366" s="31" t="s">
        <v>1943</v>
      </c>
      <c r="K366" s="368">
        <f t="shared" ref="K366:K373" si="23">G366</f>
        <v>4300000</v>
      </c>
      <c r="L366" s="368">
        <f t="shared" si="20"/>
        <v>0</v>
      </c>
      <c r="M366" s="45"/>
    </row>
    <row r="367" spans="1:15" ht="30" customHeight="1" x14ac:dyDescent="0.2">
      <c r="A367" s="4">
        <v>247</v>
      </c>
      <c r="B367" s="45" t="s">
        <v>106</v>
      </c>
      <c r="C367" s="380"/>
      <c r="D367" s="368">
        <v>220000000</v>
      </c>
      <c r="E367" s="20">
        <v>7.0000000000000007E-2</v>
      </c>
      <c r="F367" s="368">
        <f t="shared" si="21"/>
        <v>15400000.000000002</v>
      </c>
      <c r="G367" s="368">
        <v>15400000</v>
      </c>
      <c r="H367" s="368" t="s">
        <v>1852</v>
      </c>
      <c r="I367" s="376" t="s">
        <v>1885</v>
      </c>
      <c r="J367" s="24" t="s">
        <v>1886</v>
      </c>
      <c r="K367" s="368">
        <f t="shared" si="23"/>
        <v>15400000</v>
      </c>
      <c r="L367" s="368">
        <f t="shared" si="20"/>
        <v>0</v>
      </c>
      <c r="M367" s="103" t="s">
        <v>347</v>
      </c>
      <c r="N367" s="921"/>
      <c r="O367" s="922"/>
    </row>
    <row r="368" spans="1:15" ht="30" customHeight="1" x14ac:dyDescent="0.2">
      <c r="A368" s="4">
        <v>248</v>
      </c>
      <c r="B368" s="45" t="s">
        <v>107</v>
      </c>
      <c r="C368" s="380" t="s">
        <v>1215</v>
      </c>
      <c r="D368" s="510">
        <v>95000000</v>
      </c>
      <c r="E368" s="519">
        <v>4.4999999999999998E-2</v>
      </c>
      <c r="F368" s="510">
        <v>4000000</v>
      </c>
      <c r="G368" s="510">
        <v>4000000</v>
      </c>
      <c r="H368" s="510" t="s">
        <v>1852</v>
      </c>
      <c r="I368" s="516" t="s">
        <v>1876</v>
      </c>
      <c r="J368" s="24" t="s">
        <v>1877</v>
      </c>
      <c r="K368" s="510">
        <f t="shared" si="23"/>
        <v>4000000</v>
      </c>
      <c r="L368" s="510">
        <f t="shared" si="20"/>
        <v>0</v>
      </c>
      <c r="M368" s="45"/>
    </row>
    <row r="369" spans="1:15" ht="30" customHeight="1" x14ac:dyDescent="0.2">
      <c r="A369" s="4">
        <v>249</v>
      </c>
      <c r="B369" s="45" t="s">
        <v>108</v>
      </c>
      <c r="C369" s="380" t="s">
        <v>265</v>
      </c>
      <c r="D369" s="368">
        <v>10000000</v>
      </c>
      <c r="E369" s="20">
        <v>0.05</v>
      </c>
      <c r="F369" s="368">
        <f t="shared" si="21"/>
        <v>500000</v>
      </c>
      <c r="G369" s="368">
        <v>500000</v>
      </c>
      <c r="H369" s="368" t="s">
        <v>1898</v>
      </c>
      <c r="I369" s="374" t="s">
        <v>1932</v>
      </c>
      <c r="J369" s="30" t="s">
        <v>413</v>
      </c>
      <c r="K369" s="368">
        <f t="shared" si="23"/>
        <v>500000</v>
      </c>
      <c r="L369" s="368">
        <f t="shared" si="20"/>
        <v>0</v>
      </c>
      <c r="M369" s="45"/>
    </row>
    <row r="370" spans="1:15" ht="30" customHeight="1" x14ac:dyDescent="0.2">
      <c r="A370" s="4">
        <v>250</v>
      </c>
      <c r="B370" s="45" t="s">
        <v>109</v>
      </c>
      <c r="C370" s="380"/>
      <c r="D370" s="368">
        <v>200000000</v>
      </c>
      <c r="E370" s="20">
        <v>0.04</v>
      </c>
      <c r="F370" s="368">
        <f t="shared" si="21"/>
        <v>8000000</v>
      </c>
      <c r="G370" s="368">
        <v>8000000</v>
      </c>
      <c r="H370" s="368" t="s">
        <v>2005</v>
      </c>
      <c r="I370" s="36" t="s">
        <v>2015</v>
      </c>
      <c r="J370" s="607" t="s">
        <v>1268</v>
      </c>
      <c r="K370" s="368">
        <f t="shared" si="23"/>
        <v>8000000</v>
      </c>
      <c r="L370" s="368">
        <f t="shared" si="20"/>
        <v>0</v>
      </c>
      <c r="M370" s="45"/>
    </row>
    <row r="371" spans="1:15" ht="30" customHeight="1" x14ac:dyDescent="0.2">
      <c r="A371" s="4">
        <v>251</v>
      </c>
      <c r="B371" s="45" t="s">
        <v>1948</v>
      </c>
      <c r="C371" s="380"/>
      <c r="D371" s="366"/>
      <c r="E371" s="44"/>
      <c r="F371" s="366">
        <f t="shared" si="21"/>
        <v>0</v>
      </c>
      <c r="G371" s="368">
        <v>5400000</v>
      </c>
      <c r="H371" s="368" t="s">
        <v>1898</v>
      </c>
      <c r="I371" s="376" t="s">
        <v>1950</v>
      </c>
      <c r="J371" s="24" t="s">
        <v>1949</v>
      </c>
      <c r="K371" s="368">
        <f t="shared" si="23"/>
        <v>5400000</v>
      </c>
      <c r="L371" s="580">
        <f t="shared" si="20"/>
        <v>-5400000</v>
      </c>
      <c r="M371" s="45"/>
    </row>
    <row r="372" spans="1:15" ht="30" customHeight="1" x14ac:dyDescent="0.2">
      <c r="A372" s="4">
        <v>252</v>
      </c>
      <c r="B372" s="45" t="s">
        <v>111</v>
      </c>
      <c r="C372" s="380"/>
      <c r="D372" s="368">
        <v>270000000</v>
      </c>
      <c r="E372" s="20">
        <v>0.05</v>
      </c>
      <c r="F372" s="368">
        <f>D372*E372</f>
        <v>13500000</v>
      </c>
      <c r="G372" s="368">
        <v>13500000</v>
      </c>
      <c r="H372" s="368" t="s">
        <v>1852</v>
      </c>
      <c r="I372" s="376" t="s">
        <v>1926</v>
      </c>
      <c r="J372" s="24" t="s">
        <v>1927</v>
      </c>
      <c r="K372" s="368">
        <f t="shared" si="23"/>
        <v>13500000</v>
      </c>
      <c r="L372" s="368">
        <f t="shared" si="20"/>
        <v>0</v>
      </c>
      <c r="M372" s="45"/>
    </row>
    <row r="373" spans="1:15" ht="30" customHeight="1" x14ac:dyDescent="0.2">
      <c r="A373" s="2031">
        <v>253</v>
      </c>
      <c r="B373" s="2029" t="s">
        <v>112</v>
      </c>
      <c r="C373" s="2149"/>
      <c r="D373" s="368">
        <v>20000000</v>
      </c>
      <c r="E373" s="20">
        <v>0.05</v>
      </c>
      <c r="F373" s="368">
        <f t="shared" si="21"/>
        <v>1000000</v>
      </c>
      <c r="G373" s="368">
        <v>1500000</v>
      </c>
      <c r="H373" s="368" t="s">
        <v>1898</v>
      </c>
      <c r="I373" s="374" t="s">
        <v>1978</v>
      </c>
      <c r="J373" s="88" t="s">
        <v>836</v>
      </c>
      <c r="K373" s="368">
        <f t="shared" si="23"/>
        <v>1500000</v>
      </c>
      <c r="L373" s="368">
        <f t="shared" si="20"/>
        <v>-500000</v>
      </c>
      <c r="M373" s="45" t="s">
        <v>1979</v>
      </c>
    </row>
    <row r="374" spans="1:15" ht="30" customHeight="1" x14ac:dyDescent="0.2">
      <c r="A374" s="2032"/>
      <c r="B374" s="2030"/>
      <c r="C374" s="2150"/>
      <c r="D374" s="597">
        <v>20000000</v>
      </c>
      <c r="E374" s="608"/>
      <c r="F374" s="597"/>
      <c r="G374" s="2192" t="s">
        <v>1993</v>
      </c>
      <c r="H374" s="2193"/>
      <c r="I374" s="2193"/>
      <c r="J374" s="2193"/>
      <c r="K374" s="2194"/>
      <c r="L374" s="597"/>
      <c r="M374" s="45"/>
    </row>
    <row r="375" spans="1:15" ht="30" customHeight="1" x14ac:dyDescent="0.2">
      <c r="A375" s="2031">
        <v>254</v>
      </c>
      <c r="B375" s="2029" t="s">
        <v>2017</v>
      </c>
      <c r="C375" s="2149"/>
      <c r="D375" s="368">
        <v>295000000</v>
      </c>
      <c r="E375" s="20">
        <v>0.05</v>
      </c>
      <c r="F375" s="368">
        <f t="shared" si="21"/>
        <v>14750000</v>
      </c>
      <c r="G375" s="368">
        <v>14050000</v>
      </c>
      <c r="H375" s="672" t="s">
        <v>2005</v>
      </c>
      <c r="I375" s="36" t="s">
        <v>2051</v>
      </c>
      <c r="J375" s="24" t="s">
        <v>450</v>
      </c>
      <c r="K375" s="368">
        <f>G375</f>
        <v>14050000</v>
      </c>
      <c r="L375" s="368">
        <f t="shared" si="20"/>
        <v>700000</v>
      </c>
      <c r="M375" s="2154" t="s">
        <v>2018</v>
      </c>
      <c r="N375" s="2155"/>
      <c r="O375" s="2156"/>
    </row>
    <row r="376" spans="1:15" ht="30" customHeight="1" x14ac:dyDescent="0.2">
      <c r="A376" s="2034"/>
      <c r="B376" s="2033"/>
      <c r="C376" s="2158"/>
      <c r="D376" s="1947" t="s">
        <v>1284</v>
      </c>
      <c r="E376" s="1948"/>
      <c r="F376" s="1949"/>
      <c r="G376" s="754">
        <v>100000000</v>
      </c>
      <c r="H376" s="758" t="s">
        <v>2202</v>
      </c>
      <c r="I376" s="758" t="s">
        <v>2332</v>
      </c>
      <c r="J376" s="24" t="s">
        <v>450</v>
      </c>
      <c r="K376" s="754">
        <f>G376</f>
        <v>100000000</v>
      </c>
      <c r="L376" s="754"/>
      <c r="M376" s="755"/>
      <c r="N376" s="766"/>
      <c r="O376" s="766"/>
    </row>
    <row r="377" spans="1:15" ht="30" customHeight="1" x14ac:dyDescent="0.2">
      <c r="A377" s="2032"/>
      <c r="B377" s="2030"/>
      <c r="C377" s="2150"/>
      <c r="D377" s="754">
        <v>195000000</v>
      </c>
      <c r="E377" s="757"/>
      <c r="F377" s="754"/>
      <c r="G377" s="2192" t="s">
        <v>2333</v>
      </c>
      <c r="H377" s="2193"/>
      <c r="I377" s="2193"/>
      <c r="J377" s="2193"/>
      <c r="K377" s="2194"/>
      <c r="L377" s="754"/>
      <c r="M377" s="755"/>
      <c r="N377" s="766"/>
      <c r="O377" s="766"/>
    </row>
    <row r="378" spans="1:15" ht="30" customHeight="1" x14ac:dyDescent="0.2">
      <c r="A378" s="4">
        <v>255</v>
      </c>
      <c r="B378" s="45" t="s">
        <v>115</v>
      </c>
      <c r="C378" s="380" t="s">
        <v>265</v>
      </c>
      <c r="D378" s="368">
        <v>40000000</v>
      </c>
      <c r="E378" s="20">
        <v>0.05</v>
      </c>
      <c r="F378" s="368">
        <f t="shared" si="21"/>
        <v>2000000</v>
      </c>
      <c r="G378" s="368">
        <v>2000000</v>
      </c>
      <c r="H378" s="368" t="s">
        <v>1898</v>
      </c>
      <c r="I378" s="374" t="s">
        <v>1939</v>
      </c>
      <c r="J378" s="21" t="s">
        <v>349</v>
      </c>
      <c r="K378" s="368">
        <f>G378</f>
        <v>2000000</v>
      </c>
      <c r="L378" s="368">
        <f t="shared" si="20"/>
        <v>0</v>
      </c>
      <c r="M378" s="45"/>
    </row>
    <row r="379" spans="1:15" ht="30" customHeight="1" x14ac:dyDescent="0.2">
      <c r="A379" s="4">
        <v>256</v>
      </c>
      <c r="B379" s="45" t="s">
        <v>116</v>
      </c>
      <c r="C379" s="380"/>
      <c r="D379" s="368">
        <v>100000000</v>
      </c>
      <c r="E379" s="20">
        <v>0.05</v>
      </c>
      <c r="F379" s="368">
        <f t="shared" si="21"/>
        <v>5000000</v>
      </c>
      <c r="G379" s="368">
        <v>5000000</v>
      </c>
      <c r="H379" s="368" t="s">
        <v>1898</v>
      </c>
      <c r="I379" s="374" t="s">
        <v>1946</v>
      </c>
      <c r="J379" s="21" t="s">
        <v>1947</v>
      </c>
      <c r="K379" s="368">
        <f>G379</f>
        <v>5000000</v>
      </c>
      <c r="L379" s="368">
        <f t="shared" si="20"/>
        <v>0</v>
      </c>
      <c r="M379" s="45"/>
    </row>
    <row r="380" spans="1:15" ht="30" customHeight="1" x14ac:dyDescent="0.2">
      <c r="A380" s="4">
        <v>257</v>
      </c>
      <c r="B380" s="45" t="s">
        <v>117</v>
      </c>
      <c r="C380" s="380" t="s">
        <v>1347</v>
      </c>
      <c r="D380" s="368">
        <v>30000000</v>
      </c>
      <c r="E380" s="20">
        <v>0.05</v>
      </c>
      <c r="F380" s="368">
        <f t="shared" si="21"/>
        <v>1500000</v>
      </c>
      <c r="G380" s="368"/>
      <c r="H380" s="368"/>
      <c r="I380" s="374"/>
      <c r="J380" s="24"/>
      <c r="K380" s="368"/>
      <c r="L380" s="368">
        <f t="shared" si="20"/>
        <v>1500000</v>
      </c>
      <c r="M380" s="45"/>
    </row>
    <row r="381" spans="1:15" ht="30" customHeight="1" x14ac:dyDescent="0.2">
      <c r="A381" s="4">
        <v>258</v>
      </c>
      <c r="B381" s="45" t="s">
        <v>876</v>
      </c>
      <c r="C381" s="380" t="s">
        <v>265</v>
      </c>
      <c r="D381" s="368">
        <v>12000000</v>
      </c>
      <c r="E381" s="20">
        <v>0.05</v>
      </c>
      <c r="F381" s="368">
        <f t="shared" si="21"/>
        <v>600000</v>
      </c>
      <c r="G381" s="2040">
        <v>1600000</v>
      </c>
      <c r="H381" s="2040" t="s">
        <v>2005</v>
      </c>
      <c r="I381" s="2159" t="s">
        <v>2010</v>
      </c>
      <c r="J381" s="2168" t="s">
        <v>485</v>
      </c>
      <c r="K381" s="2040">
        <f>G381</f>
        <v>1600000</v>
      </c>
      <c r="L381" s="2040">
        <f>(F381+F382)-K381</f>
        <v>0</v>
      </c>
      <c r="M381" s="2101"/>
    </row>
    <row r="382" spans="1:15" ht="30" customHeight="1" x14ac:dyDescent="0.2">
      <c r="A382" s="4">
        <v>259</v>
      </c>
      <c r="B382" s="45" t="s">
        <v>159</v>
      </c>
      <c r="C382" s="380" t="s">
        <v>265</v>
      </c>
      <c r="D382" s="368">
        <v>20000000</v>
      </c>
      <c r="E382" s="20">
        <v>0.05</v>
      </c>
      <c r="F382" s="368">
        <f>D382*E382</f>
        <v>1000000</v>
      </c>
      <c r="G382" s="2042"/>
      <c r="H382" s="2042"/>
      <c r="I382" s="2160"/>
      <c r="J382" s="2169"/>
      <c r="K382" s="2042"/>
      <c r="L382" s="2042"/>
      <c r="M382" s="2102"/>
    </row>
    <row r="383" spans="1:15" ht="30" customHeight="1" x14ac:dyDescent="0.2">
      <c r="A383" s="4">
        <v>261</v>
      </c>
      <c r="B383" s="45" t="s">
        <v>120</v>
      </c>
      <c r="C383" s="380"/>
      <c r="D383" s="597">
        <v>10500000</v>
      </c>
      <c r="E383" s="608">
        <v>0.05</v>
      </c>
      <c r="F383" s="597">
        <f t="shared" si="21"/>
        <v>525000</v>
      </c>
      <c r="G383" s="368">
        <v>525000</v>
      </c>
      <c r="H383" s="368" t="s">
        <v>2005</v>
      </c>
      <c r="I383" s="374" t="s">
        <v>2007</v>
      </c>
      <c r="J383" s="21" t="s">
        <v>423</v>
      </c>
      <c r="K383" s="368">
        <f>G383</f>
        <v>525000</v>
      </c>
      <c r="L383" s="368">
        <f t="shared" ref="L383:L445" si="24">F383-K383</f>
        <v>0</v>
      </c>
      <c r="M383" s="45"/>
    </row>
    <row r="384" spans="1:15" ht="30" customHeight="1" x14ac:dyDescent="0.2">
      <c r="A384" s="2031">
        <v>262</v>
      </c>
      <c r="B384" s="2029" t="s">
        <v>121</v>
      </c>
      <c r="C384" s="2149"/>
      <c r="D384" s="2040">
        <v>7000000</v>
      </c>
      <c r="E384" s="2037">
        <v>0.04</v>
      </c>
      <c r="F384" s="2040">
        <f t="shared" si="21"/>
        <v>280000</v>
      </c>
      <c r="G384" s="368">
        <v>5000000</v>
      </c>
      <c r="H384" s="368" t="s">
        <v>1431</v>
      </c>
      <c r="I384" s="374" t="s">
        <v>1460</v>
      </c>
      <c r="J384" s="24" t="s">
        <v>1461</v>
      </c>
      <c r="K384" s="368"/>
      <c r="L384" s="368"/>
      <c r="M384" s="2203" t="s">
        <v>1463</v>
      </c>
    </row>
    <row r="385" spans="1:13" ht="30" customHeight="1" x14ac:dyDescent="0.2">
      <c r="A385" s="2032"/>
      <c r="B385" s="2030"/>
      <c r="C385" s="2150"/>
      <c r="D385" s="2042"/>
      <c r="E385" s="2039"/>
      <c r="F385" s="2042"/>
      <c r="G385" s="411">
        <v>2000000</v>
      </c>
      <c r="H385" s="411" t="s">
        <v>1431</v>
      </c>
      <c r="I385" s="419" t="s">
        <v>1462</v>
      </c>
      <c r="J385" s="24" t="s">
        <v>1461</v>
      </c>
      <c r="K385" s="411"/>
      <c r="L385" s="411"/>
      <c r="M385" s="2204"/>
    </row>
    <row r="386" spans="1:13" ht="30" customHeight="1" x14ac:dyDescent="0.2">
      <c r="A386" s="4">
        <v>263</v>
      </c>
      <c r="B386" s="45" t="s">
        <v>586</v>
      </c>
      <c r="C386" s="380"/>
      <c r="D386" s="366"/>
      <c r="E386" s="44"/>
      <c r="F386" s="366">
        <f t="shared" si="21"/>
        <v>0</v>
      </c>
      <c r="G386" s="368">
        <v>4000000</v>
      </c>
      <c r="H386" s="368" t="s">
        <v>2068</v>
      </c>
      <c r="I386" s="374" t="s">
        <v>2071</v>
      </c>
      <c r="J386" s="24" t="s">
        <v>2072</v>
      </c>
      <c r="K386" s="368">
        <f>G386</f>
        <v>4000000</v>
      </c>
      <c r="L386" s="366">
        <f t="shared" si="24"/>
        <v>-4000000</v>
      </c>
      <c r="M386" s="171" t="s">
        <v>462</v>
      </c>
    </row>
    <row r="387" spans="1:13" ht="30" customHeight="1" x14ac:dyDescent="0.2">
      <c r="A387" s="4">
        <v>264</v>
      </c>
      <c r="B387" s="45" t="s">
        <v>122</v>
      </c>
      <c r="C387" s="380" t="s">
        <v>265</v>
      </c>
      <c r="D387" s="549"/>
      <c r="E387" s="44"/>
      <c r="F387" s="546">
        <v>2000000</v>
      </c>
      <c r="G387" s="368">
        <v>2000000</v>
      </c>
      <c r="H387" s="368" t="s">
        <v>2068</v>
      </c>
      <c r="I387" s="374" t="s">
        <v>2073</v>
      </c>
      <c r="J387" s="28" t="s">
        <v>2074</v>
      </c>
      <c r="K387" s="368">
        <f>G387</f>
        <v>2000000</v>
      </c>
      <c r="L387" s="368">
        <f t="shared" si="24"/>
        <v>0</v>
      </c>
      <c r="M387" s="377" t="s">
        <v>421</v>
      </c>
    </row>
    <row r="388" spans="1:13" ht="30" customHeight="1" x14ac:dyDescent="0.2">
      <c r="A388" s="2031">
        <v>265</v>
      </c>
      <c r="B388" s="2088" t="s">
        <v>124</v>
      </c>
      <c r="C388" s="2207"/>
      <c r="D388" s="2080">
        <v>800000000</v>
      </c>
      <c r="E388" s="2082">
        <v>7.0000000000000007E-2</v>
      </c>
      <c r="F388" s="2080">
        <f t="shared" ref="F388:F463" si="25">D388*E388</f>
        <v>56000000.000000007</v>
      </c>
      <c r="G388" s="852">
        <v>56000000</v>
      </c>
      <c r="H388" s="852" t="s">
        <v>1852</v>
      </c>
      <c r="I388" s="118" t="s">
        <v>1853</v>
      </c>
      <c r="J388" s="61" t="s">
        <v>512</v>
      </c>
      <c r="K388" s="2080">
        <f>G388+G389+G390+G391</f>
        <v>113000000</v>
      </c>
      <c r="L388" s="2080">
        <f t="shared" si="24"/>
        <v>-56999999.999999993</v>
      </c>
      <c r="M388" s="2188" t="s">
        <v>2470</v>
      </c>
    </row>
    <row r="389" spans="1:13" ht="30" customHeight="1" x14ac:dyDescent="0.2">
      <c r="A389" s="2034"/>
      <c r="B389" s="2132"/>
      <c r="C389" s="2208"/>
      <c r="D389" s="2126"/>
      <c r="E389" s="2127"/>
      <c r="F389" s="2126"/>
      <c r="G389" s="852">
        <v>50000000</v>
      </c>
      <c r="H389" s="852" t="s">
        <v>2124</v>
      </c>
      <c r="I389" s="118" t="s">
        <v>2137</v>
      </c>
      <c r="J389" s="61" t="s">
        <v>512</v>
      </c>
      <c r="K389" s="2126"/>
      <c r="L389" s="2126"/>
      <c r="M389" s="2189"/>
    </row>
    <row r="390" spans="1:13" ht="30" customHeight="1" x14ac:dyDescent="0.2">
      <c r="A390" s="2034"/>
      <c r="B390" s="2132"/>
      <c r="C390" s="2208"/>
      <c r="D390" s="2126"/>
      <c r="E390" s="2127"/>
      <c r="F390" s="2126"/>
      <c r="G390" s="852">
        <v>5000000</v>
      </c>
      <c r="H390" s="852" t="s">
        <v>2135</v>
      </c>
      <c r="I390" s="118" t="s">
        <v>2161</v>
      </c>
      <c r="J390" s="61" t="s">
        <v>512</v>
      </c>
      <c r="K390" s="2126"/>
      <c r="L390" s="2126"/>
      <c r="M390" s="2189"/>
    </row>
    <row r="391" spans="1:13" ht="30" customHeight="1" x14ac:dyDescent="0.2">
      <c r="A391" s="2034"/>
      <c r="B391" s="2132"/>
      <c r="C391" s="2208"/>
      <c r="D391" s="2126"/>
      <c r="E391" s="2083"/>
      <c r="F391" s="2081"/>
      <c r="G391" s="852">
        <v>2000000</v>
      </c>
      <c r="H391" s="852" t="s">
        <v>2135</v>
      </c>
      <c r="I391" s="118" t="s">
        <v>2162</v>
      </c>
      <c r="J391" s="61" t="s">
        <v>2163</v>
      </c>
      <c r="K391" s="2081"/>
      <c r="L391" s="2081"/>
      <c r="M391" s="2190"/>
    </row>
    <row r="392" spans="1:13" ht="30" customHeight="1" x14ac:dyDescent="0.2">
      <c r="A392" s="2032"/>
      <c r="B392" s="2089"/>
      <c r="C392" s="2209"/>
      <c r="D392" s="873">
        <v>961000000</v>
      </c>
      <c r="E392" s="872">
        <v>7.0000000000000007E-2</v>
      </c>
      <c r="F392" s="871">
        <f>D392*E392</f>
        <v>67270000</v>
      </c>
      <c r="G392" s="2200" t="s">
        <v>2492</v>
      </c>
      <c r="H392" s="2201"/>
      <c r="I392" s="2201"/>
      <c r="J392" s="2201"/>
      <c r="K392" s="2202"/>
      <c r="L392" s="871"/>
      <c r="M392" s="876" t="s">
        <v>2491</v>
      </c>
    </row>
    <row r="393" spans="1:13" ht="30" customHeight="1" x14ac:dyDescent="0.2">
      <c r="A393" s="4">
        <v>266</v>
      </c>
      <c r="B393" s="45" t="s">
        <v>2042</v>
      </c>
      <c r="C393" s="380"/>
      <c r="D393" s="368">
        <v>80000000</v>
      </c>
      <c r="E393" s="20">
        <v>4.4999999999999998E-2</v>
      </c>
      <c r="F393" s="368">
        <f t="shared" si="25"/>
        <v>3600000</v>
      </c>
      <c r="G393" s="368">
        <v>3600000</v>
      </c>
      <c r="H393" s="368" t="s">
        <v>2005</v>
      </c>
      <c r="I393" s="374" t="s">
        <v>2043</v>
      </c>
      <c r="J393" s="21" t="s">
        <v>2044</v>
      </c>
      <c r="K393" s="368">
        <f>G393</f>
        <v>3600000</v>
      </c>
      <c r="L393" s="368">
        <f t="shared" si="24"/>
        <v>0</v>
      </c>
      <c r="M393" s="45"/>
    </row>
    <row r="394" spans="1:13" ht="30" customHeight="1" x14ac:dyDescent="0.2">
      <c r="A394" s="4">
        <v>267</v>
      </c>
      <c r="B394" s="45" t="s">
        <v>508</v>
      </c>
      <c r="C394" s="380" t="s">
        <v>379</v>
      </c>
      <c r="D394" s="368">
        <v>250000000</v>
      </c>
      <c r="E394" s="20">
        <v>0.04</v>
      </c>
      <c r="F394" s="368">
        <f t="shared" si="25"/>
        <v>10000000</v>
      </c>
      <c r="G394" s="2154" t="s">
        <v>3033</v>
      </c>
      <c r="H394" s="2155"/>
      <c r="I394" s="2155"/>
      <c r="J394" s="2155"/>
      <c r="K394" s="2156"/>
      <c r="L394" s="368">
        <f t="shared" si="24"/>
        <v>10000000</v>
      </c>
      <c r="M394" s="45"/>
    </row>
    <row r="395" spans="1:13" ht="30" customHeight="1" x14ac:dyDescent="0.2">
      <c r="A395" s="4">
        <v>268</v>
      </c>
      <c r="B395" s="45" t="s">
        <v>400</v>
      </c>
      <c r="C395" s="380" t="s">
        <v>401</v>
      </c>
      <c r="D395" s="368">
        <v>130000000</v>
      </c>
      <c r="E395" s="20">
        <v>4.4999999999999998E-2</v>
      </c>
      <c r="F395" s="368">
        <f t="shared" si="25"/>
        <v>5850000</v>
      </c>
      <c r="G395" s="368">
        <v>5850000</v>
      </c>
      <c r="H395" s="368" t="s">
        <v>2184</v>
      </c>
      <c r="I395" s="374" t="s">
        <v>2185</v>
      </c>
      <c r="J395" s="21" t="s">
        <v>2186</v>
      </c>
      <c r="K395" s="368">
        <f>G395</f>
        <v>5850000</v>
      </c>
      <c r="L395" s="368">
        <f t="shared" si="24"/>
        <v>0</v>
      </c>
      <c r="M395" s="45"/>
    </row>
    <row r="396" spans="1:13" ht="30" customHeight="1" x14ac:dyDescent="0.2">
      <c r="A396" s="4">
        <v>269</v>
      </c>
      <c r="B396" s="45" t="s">
        <v>126</v>
      </c>
      <c r="C396" s="380"/>
      <c r="D396" s="368">
        <v>200000000</v>
      </c>
      <c r="E396" s="20">
        <v>0.05</v>
      </c>
      <c r="F396" s="368">
        <f t="shared" si="25"/>
        <v>10000000</v>
      </c>
      <c r="G396" s="368">
        <v>10000000</v>
      </c>
      <c r="H396" s="368" t="s">
        <v>1852</v>
      </c>
      <c r="I396" s="374" t="s">
        <v>1894</v>
      </c>
      <c r="J396" s="24" t="s">
        <v>1895</v>
      </c>
      <c r="K396" s="368">
        <f>G396</f>
        <v>10000000</v>
      </c>
      <c r="L396" s="368">
        <f t="shared" si="24"/>
        <v>0</v>
      </c>
      <c r="M396" s="45"/>
    </row>
    <row r="397" spans="1:13" ht="30" customHeight="1" x14ac:dyDescent="0.2">
      <c r="A397" s="4">
        <v>270</v>
      </c>
      <c r="B397" s="45" t="s">
        <v>127</v>
      </c>
      <c r="C397" s="380"/>
      <c r="D397" s="368">
        <v>20000000</v>
      </c>
      <c r="E397" s="20">
        <v>5.5E-2</v>
      </c>
      <c r="F397" s="368">
        <f t="shared" si="25"/>
        <v>1100000</v>
      </c>
      <c r="G397" s="368">
        <v>1100000</v>
      </c>
      <c r="H397" s="368" t="s">
        <v>2005</v>
      </c>
      <c r="I397" s="374" t="s">
        <v>2006</v>
      </c>
      <c r="J397" s="24" t="s">
        <v>503</v>
      </c>
      <c r="K397" s="368">
        <f>G397</f>
        <v>1100000</v>
      </c>
      <c r="L397" s="368">
        <f t="shared" si="24"/>
        <v>0</v>
      </c>
      <c r="M397" s="45"/>
    </row>
    <row r="398" spans="1:13" ht="30" customHeight="1" x14ac:dyDescent="0.2">
      <c r="A398" s="4">
        <v>271</v>
      </c>
      <c r="B398" s="22" t="s">
        <v>128</v>
      </c>
      <c r="C398" s="422" t="s">
        <v>367</v>
      </c>
      <c r="D398" s="399">
        <v>40000000</v>
      </c>
      <c r="E398" s="20">
        <v>5.5E-2</v>
      </c>
      <c r="F398" s="399">
        <f t="shared" si="25"/>
        <v>2200000</v>
      </c>
      <c r="G398" s="399">
        <v>2200000</v>
      </c>
      <c r="H398" s="399" t="s">
        <v>1898</v>
      </c>
      <c r="I398" s="424" t="s">
        <v>1953</v>
      </c>
      <c r="J398" s="21" t="s">
        <v>514</v>
      </c>
      <c r="K398" s="584">
        <f>G398</f>
        <v>2200000</v>
      </c>
      <c r="L398" s="399">
        <f t="shared" si="24"/>
        <v>0</v>
      </c>
      <c r="M398" s="45"/>
    </row>
    <row r="399" spans="1:13" ht="30" customHeight="1" x14ac:dyDescent="0.2">
      <c r="A399" s="2031">
        <v>272</v>
      </c>
      <c r="B399" s="2029" t="s">
        <v>129</v>
      </c>
      <c r="C399" s="2149" t="s">
        <v>1342</v>
      </c>
      <c r="D399" s="897">
        <v>560000000</v>
      </c>
      <c r="E399" s="393">
        <v>5.5E-2</v>
      </c>
      <c r="F399" s="565">
        <f t="shared" si="25"/>
        <v>30800000</v>
      </c>
      <c r="G399" s="368">
        <v>5000000</v>
      </c>
      <c r="H399" s="368" t="s">
        <v>1477</v>
      </c>
      <c r="I399" s="36" t="s">
        <v>1616</v>
      </c>
      <c r="J399" s="24" t="s">
        <v>1617</v>
      </c>
      <c r="K399" s="2157">
        <f>G399+G400</f>
        <v>35000000</v>
      </c>
      <c r="L399" s="2157">
        <f>(F399+F400+F401+F402)-K399-3400000</f>
        <v>0</v>
      </c>
      <c r="M399" s="385" t="s">
        <v>2558</v>
      </c>
    </row>
    <row r="400" spans="1:13" ht="30" customHeight="1" x14ac:dyDescent="0.2">
      <c r="A400" s="2034"/>
      <c r="B400" s="2033"/>
      <c r="C400" s="2158"/>
      <c r="D400" s="897">
        <v>65000000</v>
      </c>
      <c r="E400" s="566">
        <v>0.06</v>
      </c>
      <c r="F400" s="565">
        <f>D400*E400</f>
        <v>3900000</v>
      </c>
      <c r="G400" s="564">
        <v>30000000</v>
      </c>
      <c r="H400" s="564" t="s">
        <v>2124</v>
      </c>
      <c r="I400" s="568" t="s">
        <v>2139</v>
      </c>
      <c r="J400" s="24" t="s">
        <v>2140</v>
      </c>
      <c r="K400" s="2157"/>
      <c r="L400" s="2157"/>
      <c r="M400" s="793" t="s">
        <v>2557</v>
      </c>
    </row>
    <row r="401" spans="1:13" ht="30" customHeight="1" x14ac:dyDescent="0.2">
      <c r="A401" s="2034"/>
      <c r="B401" s="2033"/>
      <c r="C401" s="2158"/>
      <c r="D401" s="914">
        <v>40000000</v>
      </c>
      <c r="E401" s="913">
        <v>0.06</v>
      </c>
      <c r="F401" s="914">
        <f>D401*E401</f>
        <v>2400000</v>
      </c>
      <c r="G401" s="912">
        <v>40000000</v>
      </c>
      <c r="H401" s="912" t="s">
        <v>2344</v>
      </c>
      <c r="I401" s="920" t="s">
        <v>2345</v>
      </c>
      <c r="J401" s="24" t="s">
        <v>2346</v>
      </c>
      <c r="K401" s="915">
        <f>G401</f>
        <v>40000000</v>
      </c>
      <c r="L401" s="915">
        <f>D401-K401</f>
        <v>0</v>
      </c>
      <c r="M401" s="793"/>
    </row>
    <row r="402" spans="1:13" ht="30" customHeight="1" x14ac:dyDescent="0.2">
      <c r="A402" s="2034"/>
      <c r="B402" s="2033"/>
      <c r="C402" s="2158"/>
      <c r="D402" s="1947" t="s">
        <v>1903</v>
      </c>
      <c r="E402" s="1949"/>
      <c r="F402" s="565">
        <v>1300000</v>
      </c>
      <c r="G402" s="567"/>
      <c r="H402" s="589"/>
      <c r="I402" s="590"/>
      <c r="J402" s="591"/>
      <c r="K402" s="187"/>
      <c r="L402" s="187"/>
      <c r="M402" s="793"/>
    </row>
    <row r="403" spans="1:13" ht="30" customHeight="1" x14ac:dyDescent="0.2">
      <c r="A403" s="2034"/>
      <c r="B403" s="2033"/>
      <c r="C403" s="2158"/>
      <c r="D403" s="1947" t="s">
        <v>2561</v>
      </c>
      <c r="E403" s="1948"/>
      <c r="F403" s="1948"/>
      <c r="G403" s="1948"/>
      <c r="H403" s="1948"/>
      <c r="I403" s="1948"/>
      <c r="J403" s="1949"/>
      <c r="K403" s="187"/>
      <c r="L403" s="187"/>
      <c r="M403" s="793"/>
    </row>
    <row r="404" spans="1:13" ht="30" customHeight="1" x14ac:dyDescent="0.2">
      <c r="A404" s="2034"/>
      <c r="B404" s="2033"/>
      <c r="C404" s="2158"/>
      <c r="D404" s="368">
        <v>45000000</v>
      </c>
      <c r="E404" s="367">
        <v>0.06</v>
      </c>
      <c r="F404" s="368">
        <f>D404*E404</f>
        <v>2700000</v>
      </c>
      <c r="G404" s="2192" t="s">
        <v>2132</v>
      </c>
      <c r="H404" s="2193"/>
      <c r="I404" s="2193"/>
      <c r="J404" s="2194"/>
      <c r="K404" s="7"/>
      <c r="L404" s="7"/>
      <c r="M404" s="759"/>
    </row>
    <row r="405" spans="1:13" ht="30" customHeight="1" x14ac:dyDescent="0.2">
      <c r="A405" s="2032"/>
      <c r="B405" s="2030"/>
      <c r="C405" s="2150"/>
      <c r="D405" s="896">
        <v>100000000</v>
      </c>
      <c r="E405" s="895">
        <v>0.06</v>
      </c>
      <c r="F405" s="896">
        <f>D405*E405</f>
        <v>6000000</v>
      </c>
      <c r="G405" s="2192" t="s">
        <v>2559</v>
      </c>
      <c r="H405" s="2193"/>
      <c r="I405" s="2193"/>
      <c r="J405" s="2194"/>
      <c r="K405" s="7"/>
      <c r="L405" s="7"/>
      <c r="M405" s="759" t="s">
        <v>2564</v>
      </c>
    </row>
    <row r="406" spans="1:13" ht="30" customHeight="1" x14ac:dyDescent="0.2">
      <c r="A406" s="2031"/>
      <c r="B406" s="2029" t="s">
        <v>2560</v>
      </c>
      <c r="C406" s="2149" t="s">
        <v>1342</v>
      </c>
      <c r="D406" s="926">
        <v>520000000</v>
      </c>
      <c r="E406" s="927">
        <v>5.5E-2</v>
      </c>
      <c r="F406" s="926">
        <f>D406*E406</f>
        <v>28600000</v>
      </c>
      <c r="G406" s="928">
        <f>F406+F407+F408+F409+F410</f>
        <v>44900000</v>
      </c>
      <c r="H406" s="928"/>
      <c r="I406" s="928"/>
      <c r="J406" s="928"/>
      <c r="K406" s="929"/>
      <c r="L406" s="929"/>
      <c r="M406" s="2216" t="s">
        <v>2562</v>
      </c>
    </row>
    <row r="407" spans="1:13" ht="30" customHeight="1" x14ac:dyDescent="0.2">
      <c r="A407" s="2034"/>
      <c r="B407" s="2033"/>
      <c r="C407" s="2158"/>
      <c r="D407" s="926">
        <v>65000000</v>
      </c>
      <c r="E407" s="927">
        <v>0.06</v>
      </c>
      <c r="F407" s="926">
        <f>D407*E407</f>
        <v>3900000</v>
      </c>
      <c r="G407" s="928"/>
      <c r="H407" s="928"/>
      <c r="I407" s="928"/>
      <c r="J407" s="928"/>
      <c r="K407" s="929"/>
      <c r="L407" s="929"/>
      <c r="M407" s="2217"/>
    </row>
    <row r="408" spans="1:13" ht="30" customHeight="1" x14ac:dyDescent="0.2">
      <c r="A408" s="2034"/>
      <c r="B408" s="2033"/>
      <c r="C408" s="2158"/>
      <c r="D408" s="926">
        <v>85000000</v>
      </c>
      <c r="E408" s="927">
        <v>0.06</v>
      </c>
      <c r="F408" s="926">
        <f>D408*E408</f>
        <v>5100000</v>
      </c>
      <c r="G408" s="928"/>
      <c r="H408" s="928"/>
      <c r="I408" s="928"/>
      <c r="J408" s="928"/>
      <c r="K408" s="929"/>
      <c r="L408" s="929"/>
      <c r="M408" s="2217"/>
    </row>
    <row r="409" spans="1:13" ht="30" customHeight="1" x14ac:dyDescent="0.2">
      <c r="A409" s="2034"/>
      <c r="B409" s="2033"/>
      <c r="C409" s="2158"/>
      <c r="D409" s="2277" t="s">
        <v>1903</v>
      </c>
      <c r="E409" s="2278"/>
      <c r="F409" s="926">
        <v>1300000</v>
      </c>
      <c r="G409" s="928"/>
      <c r="H409" s="928"/>
      <c r="I409" s="928"/>
      <c r="J409" s="928"/>
      <c r="K409" s="929"/>
      <c r="L409" s="929"/>
      <c r="M409" s="2218"/>
    </row>
    <row r="410" spans="1:13" ht="30" customHeight="1" x14ac:dyDescent="0.2">
      <c r="A410" s="2032"/>
      <c r="B410" s="2030"/>
      <c r="C410" s="2150"/>
      <c r="D410" s="930">
        <v>100000000</v>
      </c>
      <c r="E410" s="931">
        <v>0.06</v>
      </c>
      <c r="F410" s="930">
        <f>D410*E410</f>
        <v>6000000</v>
      </c>
      <c r="G410" s="932"/>
      <c r="H410" s="932"/>
      <c r="I410" s="932"/>
      <c r="J410" s="932"/>
      <c r="K410" s="933"/>
      <c r="L410" s="933"/>
      <c r="M410" s="934" t="s">
        <v>2563</v>
      </c>
    </row>
    <row r="411" spans="1:13" ht="30" customHeight="1" x14ac:dyDescent="0.2">
      <c r="A411" s="4">
        <v>273</v>
      </c>
      <c r="B411" s="45" t="s">
        <v>130</v>
      </c>
      <c r="C411" s="380" t="s">
        <v>1346</v>
      </c>
      <c r="D411" s="368">
        <v>20000000</v>
      </c>
      <c r="E411" s="20">
        <v>0.05</v>
      </c>
      <c r="F411" s="368">
        <f t="shared" si="25"/>
        <v>1000000</v>
      </c>
      <c r="G411" s="368">
        <v>1000000</v>
      </c>
      <c r="H411" s="368" t="s">
        <v>2184</v>
      </c>
      <c r="I411" s="374" t="s">
        <v>2194</v>
      </c>
      <c r="J411" s="24" t="s">
        <v>490</v>
      </c>
      <c r="K411" s="368">
        <f t="shared" ref="K411:K416" si="26">G411</f>
        <v>1000000</v>
      </c>
      <c r="L411" s="368">
        <f t="shared" si="24"/>
        <v>0</v>
      </c>
      <c r="M411" s="45"/>
    </row>
    <row r="412" spans="1:13" ht="30" customHeight="1" x14ac:dyDescent="0.2">
      <c r="A412" s="4">
        <v>274</v>
      </c>
      <c r="B412" s="45" t="s">
        <v>131</v>
      </c>
      <c r="C412" s="380"/>
      <c r="D412" s="368">
        <v>8000000</v>
      </c>
      <c r="E412" s="20">
        <v>0.05</v>
      </c>
      <c r="F412" s="368">
        <f t="shared" si="25"/>
        <v>400000</v>
      </c>
      <c r="G412" s="368">
        <v>400000</v>
      </c>
      <c r="H412" s="368" t="s">
        <v>2068</v>
      </c>
      <c r="I412" s="374" t="s">
        <v>2116</v>
      </c>
      <c r="J412" s="24" t="s">
        <v>397</v>
      </c>
      <c r="K412" s="368">
        <f t="shared" si="26"/>
        <v>400000</v>
      </c>
      <c r="L412" s="368">
        <f t="shared" si="24"/>
        <v>0</v>
      </c>
      <c r="M412" s="45"/>
    </row>
    <row r="413" spans="1:13" ht="30" customHeight="1" x14ac:dyDescent="0.2">
      <c r="A413" s="4">
        <v>275</v>
      </c>
      <c r="B413" s="45" t="s">
        <v>132</v>
      </c>
      <c r="C413" s="380" t="s">
        <v>1346</v>
      </c>
      <c r="D413" s="368">
        <v>130000000</v>
      </c>
      <c r="E413" s="20">
        <v>0.05</v>
      </c>
      <c r="F413" s="368">
        <f t="shared" si="25"/>
        <v>6500000</v>
      </c>
      <c r="G413" s="368">
        <v>6500000</v>
      </c>
      <c r="H413" s="368" t="s">
        <v>2295</v>
      </c>
      <c r="I413" s="374" t="s">
        <v>2313</v>
      </c>
      <c r="J413" s="24" t="s">
        <v>2314</v>
      </c>
      <c r="K413" s="368">
        <f t="shared" si="26"/>
        <v>6500000</v>
      </c>
      <c r="L413" s="368">
        <f t="shared" si="24"/>
        <v>0</v>
      </c>
      <c r="M413" s="45"/>
    </row>
    <row r="414" spans="1:13" ht="30" customHeight="1" x14ac:dyDescent="0.2">
      <c r="A414" s="4">
        <v>276</v>
      </c>
      <c r="B414" s="45" t="s">
        <v>133</v>
      </c>
      <c r="C414" s="380"/>
      <c r="D414" s="368">
        <v>95000000</v>
      </c>
      <c r="E414" s="20">
        <v>5.2999999999999999E-2</v>
      </c>
      <c r="F414" s="368">
        <v>5000000</v>
      </c>
      <c r="G414" s="368">
        <v>5000000</v>
      </c>
      <c r="H414" s="368" t="s">
        <v>2184</v>
      </c>
      <c r="I414" s="374" t="s">
        <v>2197</v>
      </c>
      <c r="J414" s="24" t="s">
        <v>2198</v>
      </c>
      <c r="K414" s="368">
        <f t="shared" si="26"/>
        <v>5000000</v>
      </c>
      <c r="L414" s="368">
        <f t="shared" si="24"/>
        <v>0</v>
      </c>
      <c r="M414" s="45"/>
    </row>
    <row r="415" spans="1:13" ht="30" customHeight="1" x14ac:dyDescent="0.2">
      <c r="A415" s="4">
        <v>277</v>
      </c>
      <c r="B415" s="45" t="s">
        <v>134</v>
      </c>
      <c r="C415" s="380"/>
      <c r="D415" s="368">
        <v>200000000</v>
      </c>
      <c r="E415" s="20">
        <v>0.05</v>
      </c>
      <c r="F415" s="368">
        <f t="shared" si="25"/>
        <v>10000000</v>
      </c>
      <c r="G415" s="368">
        <v>10000000</v>
      </c>
      <c r="H415" s="368" t="s">
        <v>2277</v>
      </c>
      <c r="I415" s="374" t="s">
        <v>2281</v>
      </c>
      <c r="J415" s="24" t="s">
        <v>2282</v>
      </c>
      <c r="K415" s="368">
        <f t="shared" si="26"/>
        <v>10000000</v>
      </c>
      <c r="L415" s="368">
        <f t="shared" si="24"/>
        <v>0</v>
      </c>
      <c r="M415" s="45"/>
    </row>
    <row r="416" spans="1:13" ht="30" customHeight="1" x14ac:dyDescent="0.2">
      <c r="A416" s="2031">
        <v>278</v>
      </c>
      <c r="B416" s="2029" t="s">
        <v>634</v>
      </c>
      <c r="C416" s="2149"/>
      <c r="D416" s="717">
        <v>30000000</v>
      </c>
      <c r="E416" s="724">
        <v>4.4999999999999998E-2</v>
      </c>
      <c r="F416" s="717">
        <f>D416*E416</f>
        <v>1350000</v>
      </c>
      <c r="G416" s="2040">
        <v>1750000</v>
      </c>
      <c r="H416" s="2040" t="s">
        <v>2184</v>
      </c>
      <c r="I416" s="2159" t="s">
        <v>2195</v>
      </c>
      <c r="J416" s="2128" t="s">
        <v>2196</v>
      </c>
      <c r="K416" s="2040">
        <f t="shared" si="26"/>
        <v>1750000</v>
      </c>
      <c r="L416" s="2040">
        <f>(F416+F417)-K416</f>
        <v>0</v>
      </c>
      <c r="M416" s="2101"/>
    </row>
    <row r="417" spans="1:13" ht="30" customHeight="1" x14ac:dyDescent="0.2">
      <c r="A417" s="2032"/>
      <c r="B417" s="2030"/>
      <c r="C417" s="2150"/>
      <c r="D417" s="717">
        <v>10000000</v>
      </c>
      <c r="E417" s="724">
        <v>0.04</v>
      </c>
      <c r="F417" s="717">
        <f>D417*E417</f>
        <v>400000</v>
      </c>
      <c r="G417" s="2042"/>
      <c r="H417" s="2042"/>
      <c r="I417" s="2160"/>
      <c r="J417" s="2129"/>
      <c r="K417" s="2042"/>
      <c r="L417" s="2042"/>
      <c r="M417" s="2102"/>
    </row>
    <row r="418" spans="1:13" ht="30" customHeight="1" x14ac:dyDescent="0.2">
      <c r="A418" s="4">
        <v>279</v>
      </c>
      <c r="B418" s="45" t="s">
        <v>135</v>
      </c>
      <c r="C418" s="380"/>
      <c r="D418" s="368">
        <v>11000000</v>
      </c>
      <c r="E418" s="20">
        <v>4.4999999999999998E-2</v>
      </c>
      <c r="F418" s="368">
        <v>500000</v>
      </c>
      <c r="G418" s="368">
        <v>500000</v>
      </c>
      <c r="H418" s="368" t="s">
        <v>1691</v>
      </c>
      <c r="I418" s="374" t="s">
        <v>1705</v>
      </c>
      <c r="J418" s="24" t="s">
        <v>751</v>
      </c>
      <c r="K418" s="368">
        <f>G418</f>
        <v>500000</v>
      </c>
      <c r="L418" s="368">
        <f t="shared" si="24"/>
        <v>0</v>
      </c>
      <c r="M418" s="45"/>
    </row>
    <row r="419" spans="1:13" ht="30" customHeight="1" x14ac:dyDescent="0.2">
      <c r="A419" s="4">
        <v>280</v>
      </c>
      <c r="B419" s="2029" t="s">
        <v>468</v>
      </c>
      <c r="C419" s="2149"/>
      <c r="D419" s="2080"/>
      <c r="E419" s="2082"/>
      <c r="F419" s="2080">
        <f t="shared" si="25"/>
        <v>0</v>
      </c>
      <c r="G419" s="368">
        <v>1000000</v>
      </c>
      <c r="H419" s="368" t="s">
        <v>2295</v>
      </c>
      <c r="I419" s="374" t="s">
        <v>2306</v>
      </c>
      <c r="J419" s="28" t="s">
        <v>2307</v>
      </c>
      <c r="K419" s="2040">
        <f>G419+G420</f>
        <v>3000000</v>
      </c>
      <c r="L419" s="2080">
        <f t="shared" si="24"/>
        <v>-3000000</v>
      </c>
      <c r="M419" s="2101"/>
    </row>
    <row r="420" spans="1:13" ht="30" customHeight="1" x14ac:dyDescent="0.2">
      <c r="A420" s="737"/>
      <c r="B420" s="2030"/>
      <c r="C420" s="2150"/>
      <c r="D420" s="2081"/>
      <c r="E420" s="2083"/>
      <c r="F420" s="2081"/>
      <c r="G420" s="738">
        <v>2000000</v>
      </c>
      <c r="H420" s="738" t="s">
        <v>2295</v>
      </c>
      <c r="I420" s="748" t="s">
        <v>2308</v>
      </c>
      <c r="J420" s="28" t="s">
        <v>2307</v>
      </c>
      <c r="K420" s="2042"/>
      <c r="L420" s="2081"/>
      <c r="M420" s="2102"/>
    </row>
    <row r="421" spans="1:13" ht="30" customHeight="1" x14ac:dyDescent="0.2">
      <c r="A421" s="716">
        <v>281</v>
      </c>
      <c r="B421" s="188" t="s">
        <v>136</v>
      </c>
      <c r="C421" s="719" t="s">
        <v>1345</v>
      </c>
      <c r="D421" s="368">
        <v>40000000</v>
      </c>
      <c r="E421" s="20">
        <v>0.05</v>
      </c>
      <c r="F421" s="368">
        <f t="shared" si="25"/>
        <v>2000000</v>
      </c>
      <c r="G421" s="717">
        <v>1600000</v>
      </c>
      <c r="H421" s="717" t="s">
        <v>2202</v>
      </c>
      <c r="I421" s="721" t="s">
        <v>2214</v>
      </c>
      <c r="J421" s="247" t="s">
        <v>651</v>
      </c>
      <c r="K421" s="720">
        <f>G421</f>
        <v>1600000</v>
      </c>
      <c r="L421" s="368">
        <f>F421-K421</f>
        <v>400000</v>
      </c>
      <c r="M421" s="13" t="s">
        <v>1296</v>
      </c>
    </row>
    <row r="422" spans="1:13" ht="30" customHeight="1" x14ac:dyDescent="0.2">
      <c r="A422" s="4">
        <v>282</v>
      </c>
      <c r="B422" s="45" t="s">
        <v>1054</v>
      </c>
      <c r="C422" s="380"/>
      <c r="D422" s="368">
        <v>20000000</v>
      </c>
      <c r="E422" s="20">
        <v>0.04</v>
      </c>
      <c r="F422" s="368">
        <f t="shared" si="25"/>
        <v>800000</v>
      </c>
      <c r="G422" s="368">
        <v>800000</v>
      </c>
      <c r="H422" s="368" t="s">
        <v>2577</v>
      </c>
      <c r="I422" s="374" t="s">
        <v>2588</v>
      </c>
      <c r="J422" s="36" t="s">
        <v>2589</v>
      </c>
      <c r="K422" s="368">
        <f>G422</f>
        <v>800000</v>
      </c>
      <c r="L422" s="368">
        <f t="shared" si="24"/>
        <v>0</v>
      </c>
      <c r="M422" s="45"/>
    </row>
    <row r="423" spans="1:13" ht="30" customHeight="1" x14ac:dyDescent="0.2">
      <c r="A423" s="2031">
        <v>283</v>
      </c>
      <c r="B423" s="2029" t="s">
        <v>137</v>
      </c>
      <c r="C423" s="2149" t="s">
        <v>1349</v>
      </c>
      <c r="D423" s="819">
        <v>31000000</v>
      </c>
      <c r="E423" s="821">
        <v>0.05</v>
      </c>
      <c r="F423" s="399">
        <f>D423*E423</f>
        <v>1550000</v>
      </c>
      <c r="G423" s="368">
        <v>1505000</v>
      </c>
      <c r="H423" s="368" t="s">
        <v>2202</v>
      </c>
      <c r="I423" s="374" t="s">
        <v>2275</v>
      </c>
      <c r="J423" s="24" t="s">
        <v>2276</v>
      </c>
      <c r="K423" s="240">
        <f>G423</f>
        <v>1505000</v>
      </c>
      <c r="L423" s="389">
        <f>F423-K423</f>
        <v>45000</v>
      </c>
      <c r="M423" s="823" t="s">
        <v>2406</v>
      </c>
    </row>
    <row r="424" spans="1:13" ht="30" customHeight="1" x14ac:dyDescent="0.2">
      <c r="A424" s="2032"/>
      <c r="B424" s="2030"/>
      <c r="C424" s="2150"/>
      <c r="D424" s="816">
        <v>37093000</v>
      </c>
      <c r="E424" s="814">
        <v>0.05</v>
      </c>
      <c r="F424" s="816">
        <f>D424*E424</f>
        <v>1854650</v>
      </c>
      <c r="G424" s="2279" t="s">
        <v>2333</v>
      </c>
      <c r="H424" s="2280"/>
      <c r="I424" s="2280"/>
      <c r="J424" s="2280"/>
      <c r="K424" s="2280"/>
      <c r="L424" s="2281"/>
      <c r="M424" s="569" t="s">
        <v>2407</v>
      </c>
    </row>
    <row r="425" spans="1:13" ht="30" customHeight="1" x14ac:dyDescent="0.2">
      <c r="A425" s="2031">
        <v>284</v>
      </c>
      <c r="B425" s="2259" t="s">
        <v>1197</v>
      </c>
      <c r="C425" s="2149" t="s">
        <v>379</v>
      </c>
      <c r="D425" s="368">
        <v>115000000</v>
      </c>
      <c r="E425" s="393">
        <v>4.4999999999999998E-2</v>
      </c>
      <c r="F425" s="368">
        <f t="shared" si="25"/>
        <v>5175000</v>
      </c>
      <c r="G425" s="2040">
        <v>8175000</v>
      </c>
      <c r="H425" s="2040" t="s">
        <v>2344</v>
      </c>
      <c r="I425" s="2159" t="s">
        <v>2348</v>
      </c>
      <c r="J425" s="2128" t="s">
        <v>2349</v>
      </c>
      <c r="K425" s="2157">
        <f>G425</f>
        <v>8175000</v>
      </c>
      <c r="L425" s="2040">
        <f>(F425+F426)-K425</f>
        <v>0</v>
      </c>
      <c r="M425" s="2068"/>
    </row>
    <row r="426" spans="1:13" ht="30" customHeight="1" x14ac:dyDescent="0.2">
      <c r="A426" s="2032"/>
      <c r="B426" s="2260"/>
      <c r="C426" s="2158"/>
      <c r="D426" s="368">
        <v>60000000</v>
      </c>
      <c r="E426" s="20">
        <v>0.05</v>
      </c>
      <c r="F426" s="368">
        <f t="shared" si="25"/>
        <v>3000000</v>
      </c>
      <c r="G426" s="2042"/>
      <c r="H426" s="2041"/>
      <c r="I426" s="2170"/>
      <c r="J426" s="2237"/>
      <c r="K426" s="2157"/>
      <c r="L426" s="2042"/>
      <c r="M426" s="2069"/>
    </row>
    <row r="427" spans="1:13" ht="30" customHeight="1" x14ac:dyDescent="0.2">
      <c r="A427" s="771"/>
      <c r="B427" s="2261"/>
      <c r="C427" s="2150"/>
      <c r="D427" s="1947" t="s">
        <v>1284</v>
      </c>
      <c r="E427" s="1948"/>
      <c r="F427" s="1949"/>
      <c r="G427" s="773">
        <v>5000000</v>
      </c>
      <c r="H427" s="2042"/>
      <c r="I427" s="2160"/>
      <c r="J427" s="2129"/>
      <c r="K427" s="773">
        <f>G427</f>
        <v>5000000</v>
      </c>
      <c r="L427" s="773"/>
      <c r="M427" s="777" t="s">
        <v>2405</v>
      </c>
    </row>
    <row r="428" spans="1:13" ht="30" customHeight="1" x14ac:dyDescent="0.2">
      <c r="A428" s="4">
        <v>285</v>
      </c>
      <c r="B428" s="45" t="s">
        <v>138</v>
      </c>
      <c r="C428" s="380" t="s">
        <v>2413</v>
      </c>
      <c r="D428" s="368">
        <v>100000000</v>
      </c>
      <c r="E428" s="20">
        <v>7.0000000000000007E-2</v>
      </c>
      <c r="F428" s="368">
        <f t="shared" si="25"/>
        <v>7000000.0000000009</v>
      </c>
      <c r="G428" s="368">
        <v>7000000</v>
      </c>
      <c r="H428" s="368" t="s">
        <v>2295</v>
      </c>
      <c r="I428" s="374" t="s">
        <v>2339</v>
      </c>
      <c r="J428" s="24" t="s">
        <v>2340</v>
      </c>
      <c r="K428" s="368">
        <f>G428</f>
        <v>7000000</v>
      </c>
      <c r="L428" s="368">
        <f t="shared" si="24"/>
        <v>0</v>
      </c>
      <c r="M428" s="45"/>
    </row>
    <row r="429" spans="1:13" ht="30" customHeight="1" x14ac:dyDescent="0.2">
      <c r="A429" s="2031">
        <v>286</v>
      </c>
      <c r="B429" s="2029" t="s">
        <v>1719</v>
      </c>
      <c r="C429" s="2149"/>
      <c r="D429" s="2040">
        <v>35000000</v>
      </c>
      <c r="E429" s="2037">
        <v>0.04</v>
      </c>
      <c r="F429" s="2040">
        <f t="shared" si="25"/>
        <v>1400000</v>
      </c>
      <c r="G429" s="368">
        <v>400000</v>
      </c>
      <c r="H429" s="368" t="s">
        <v>1713</v>
      </c>
      <c r="I429" s="374" t="s">
        <v>1720</v>
      </c>
      <c r="J429" s="21" t="s">
        <v>312</v>
      </c>
      <c r="K429" s="2040">
        <f>G429+G430</f>
        <v>1400000</v>
      </c>
      <c r="L429" s="2040">
        <f t="shared" si="24"/>
        <v>0</v>
      </c>
      <c r="M429" s="2101"/>
    </row>
    <row r="430" spans="1:13" ht="30" customHeight="1" x14ac:dyDescent="0.2">
      <c r="A430" s="2032"/>
      <c r="B430" s="2030"/>
      <c r="C430" s="2150"/>
      <c r="D430" s="2042"/>
      <c r="E430" s="2039"/>
      <c r="F430" s="2042"/>
      <c r="G430" s="500">
        <v>1000000</v>
      </c>
      <c r="H430" s="500" t="s">
        <v>1713</v>
      </c>
      <c r="I430" s="505" t="s">
        <v>1724</v>
      </c>
      <c r="J430" s="102" t="s">
        <v>1725</v>
      </c>
      <c r="K430" s="2042"/>
      <c r="L430" s="2042"/>
      <c r="M430" s="2102"/>
    </row>
    <row r="431" spans="1:13" ht="30" customHeight="1" x14ac:dyDescent="0.2">
      <c r="A431" s="2031">
        <v>287</v>
      </c>
      <c r="B431" s="2029" t="s">
        <v>140</v>
      </c>
      <c r="C431" s="2149"/>
      <c r="D431" s="368">
        <v>15000000</v>
      </c>
      <c r="E431" s="20">
        <v>0.05</v>
      </c>
      <c r="F431" s="368">
        <f t="shared" si="25"/>
        <v>750000</v>
      </c>
      <c r="G431" s="368">
        <v>2475000</v>
      </c>
      <c r="H431" s="368" t="s">
        <v>2277</v>
      </c>
      <c r="I431" s="374" t="s">
        <v>2300</v>
      </c>
      <c r="J431" s="24" t="s">
        <v>2301</v>
      </c>
      <c r="K431" s="368">
        <f t="shared" ref="K431:K437" si="27">G431</f>
        <v>2475000</v>
      </c>
      <c r="L431" s="2040">
        <f>2475000-G431</f>
        <v>0</v>
      </c>
      <c r="M431" s="2046"/>
    </row>
    <row r="432" spans="1:13" ht="30" customHeight="1" x14ac:dyDescent="0.2">
      <c r="A432" s="2032"/>
      <c r="B432" s="2030"/>
      <c r="C432" s="2150"/>
      <c r="D432" s="1300">
        <v>45000000</v>
      </c>
      <c r="E432" s="1305">
        <v>0.05</v>
      </c>
      <c r="F432" s="1300">
        <f>D432*E432</f>
        <v>2250000</v>
      </c>
      <c r="G432" s="2154" t="s">
        <v>3124</v>
      </c>
      <c r="H432" s="2155"/>
      <c r="I432" s="2155"/>
      <c r="J432" s="2155"/>
      <c r="K432" s="2156"/>
      <c r="L432" s="2042"/>
      <c r="M432" s="2048"/>
    </row>
    <row r="433" spans="1:13" ht="30" customHeight="1" x14ac:dyDescent="0.2">
      <c r="A433" s="4">
        <v>288</v>
      </c>
      <c r="B433" s="45" t="s">
        <v>141</v>
      </c>
      <c r="C433" s="380" t="s">
        <v>1344</v>
      </c>
      <c r="D433" s="368">
        <v>50000000</v>
      </c>
      <c r="E433" s="20">
        <v>4.4999999999999998E-2</v>
      </c>
      <c r="F433" s="368">
        <f t="shared" si="25"/>
        <v>2250000</v>
      </c>
      <c r="G433" s="368">
        <v>2250000</v>
      </c>
      <c r="H433" s="368" t="s">
        <v>2202</v>
      </c>
      <c r="I433" s="374" t="s">
        <v>2212</v>
      </c>
      <c r="J433" s="24" t="s">
        <v>2213</v>
      </c>
      <c r="K433" s="368">
        <f t="shared" si="27"/>
        <v>2250000</v>
      </c>
      <c r="L433" s="368">
        <f t="shared" si="24"/>
        <v>0</v>
      </c>
      <c r="M433" s="45"/>
    </row>
    <row r="434" spans="1:13" ht="30" customHeight="1" x14ac:dyDescent="0.2">
      <c r="A434" s="4">
        <v>289</v>
      </c>
      <c r="B434" s="45" t="s">
        <v>653</v>
      </c>
      <c r="C434" s="380"/>
      <c r="D434" s="366"/>
      <c r="E434" s="44"/>
      <c r="F434" s="366">
        <f t="shared" si="25"/>
        <v>0</v>
      </c>
      <c r="G434" s="368">
        <v>1350000</v>
      </c>
      <c r="H434" s="368" t="s">
        <v>2277</v>
      </c>
      <c r="I434" s="374" t="s">
        <v>2285</v>
      </c>
      <c r="J434" s="21" t="s">
        <v>654</v>
      </c>
      <c r="K434" s="368">
        <f t="shared" si="27"/>
        <v>1350000</v>
      </c>
      <c r="L434" s="366">
        <f t="shared" si="24"/>
        <v>-1350000</v>
      </c>
      <c r="M434" s="45"/>
    </row>
    <row r="435" spans="1:13" ht="30" customHeight="1" x14ac:dyDescent="0.2">
      <c r="A435" s="4">
        <v>290</v>
      </c>
      <c r="B435" s="45" t="s">
        <v>652</v>
      </c>
      <c r="C435" s="380" t="s">
        <v>1343</v>
      </c>
      <c r="D435" s="368">
        <v>800000000</v>
      </c>
      <c r="E435" s="20">
        <v>5.5E-2</v>
      </c>
      <c r="F435" s="368">
        <f t="shared" si="25"/>
        <v>44000000</v>
      </c>
      <c r="G435" s="368">
        <v>44000000</v>
      </c>
      <c r="H435" s="368" t="s">
        <v>2202</v>
      </c>
      <c r="I435" s="374" t="s">
        <v>2205</v>
      </c>
      <c r="J435" s="24" t="s">
        <v>2206</v>
      </c>
      <c r="K435" s="368">
        <f t="shared" si="27"/>
        <v>44000000</v>
      </c>
      <c r="L435" s="368">
        <f t="shared" si="24"/>
        <v>0</v>
      </c>
      <c r="M435" s="171" t="s">
        <v>639</v>
      </c>
    </row>
    <row r="436" spans="1:13" ht="30" customHeight="1" x14ac:dyDescent="0.2">
      <c r="A436" s="2031">
        <v>291</v>
      </c>
      <c r="B436" s="2101" t="s">
        <v>1904</v>
      </c>
      <c r="C436" s="2149"/>
      <c r="D436" s="717">
        <v>15000000</v>
      </c>
      <c r="E436" s="724">
        <v>0.05</v>
      </c>
      <c r="F436" s="717">
        <f t="shared" si="25"/>
        <v>750000</v>
      </c>
      <c r="G436" s="368">
        <v>850000</v>
      </c>
      <c r="H436" s="368" t="s">
        <v>2184</v>
      </c>
      <c r="I436" s="374" t="s">
        <v>2187</v>
      </c>
      <c r="J436" s="24" t="s">
        <v>2188</v>
      </c>
      <c r="K436" s="368">
        <f t="shared" si="27"/>
        <v>850000</v>
      </c>
      <c r="L436" s="368">
        <f t="shared" si="24"/>
        <v>-100000</v>
      </c>
      <c r="M436" s="171" t="s">
        <v>2189</v>
      </c>
    </row>
    <row r="437" spans="1:13" ht="30" customHeight="1" x14ac:dyDescent="0.2">
      <c r="A437" s="2034"/>
      <c r="B437" s="2222"/>
      <c r="C437" s="2158"/>
      <c r="D437" s="2040">
        <v>15000000</v>
      </c>
      <c r="E437" s="2115" t="s">
        <v>884</v>
      </c>
      <c r="F437" s="2116"/>
      <c r="G437" s="2040">
        <v>15000000</v>
      </c>
      <c r="H437" s="2040" t="s">
        <v>2135</v>
      </c>
      <c r="I437" s="2159" t="s">
        <v>2155</v>
      </c>
      <c r="J437" s="2128" t="s">
        <v>2156</v>
      </c>
      <c r="K437" s="2040">
        <f t="shared" si="27"/>
        <v>15000000</v>
      </c>
      <c r="L437" s="2040">
        <f>D437-K437</f>
        <v>0</v>
      </c>
      <c r="M437" s="2068" t="s">
        <v>2157</v>
      </c>
    </row>
    <row r="438" spans="1:13" ht="30" customHeight="1" x14ac:dyDescent="0.2">
      <c r="A438" s="2034"/>
      <c r="B438" s="2222"/>
      <c r="C438" s="2158"/>
      <c r="D438" s="2042"/>
      <c r="E438" s="2117"/>
      <c r="F438" s="2118"/>
      <c r="G438" s="2042"/>
      <c r="H438" s="2042"/>
      <c r="I438" s="2160"/>
      <c r="J438" s="2129"/>
      <c r="K438" s="2042"/>
      <c r="L438" s="2042"/>
      <c r="M438" s="2069"/>
    </row>
    <row r="439" spans="1:13" ht="30" customHeight="1" x14ac:dyDescent="0.2">
      <c r="A439" s="4">
        <v>292</v>
      </c>
      <c r="B439" s="45" t="s">
        <v>143</v>
      </c>
      <c r="C439" s="981" t="s">
        <v>1354</v>
      </c>
      <c r="D439" s="974">
        <v>100000000</v>
      </c>
      <c r="E439" s="982">
        <v>0.05</v>
      </c>
      <c r="F439" s="974">
        <f t="shared" si="25"/>
        <v>5000000</v>
      </c>
      <c r="G439" s="974">
        <v>5000000</v>
      </c>
      <c r="H439" s="974" t="s">
        <v>2295</v>
      </c>
      <c r="I439" s="979" t="s">
        <v>2316</v>
      </c>
      <c r="J439" s="70">
        <f>G439</f>
        <v>5000000</v>
      </c>
      <c r="K439" s="974">
        <f>G439</f>
        <v>5000000</v>
      </c>
      <c r="L439" s="974">
        <f t="shared" si="24"/>
        <v>0</v>
      </c>
      <c r="M439" s="45"/>
    </row>
    <row r="440" spans="1:13" ht="30" customHeight="1" x14ac:dyDescent="0.2">
      <c r="A440" s="4">
        <v>293</v>
      </c>
      <c r="B440" s="45" t="s">
        <v>144</v>
      </c>
      <c r="C440" s="380"/>
      <c r="D440" s="368">
        <v>75000000</v>
      </c>
      <c r="E440" s="20">
        <v>0.04</v>
      </c>
      <c r="F440" s="368">
        <f>D440*E440</f>
        <v>3000000</v>
      </c>
      <c r="G440" s="368">
        <v>3000000</v>
      </c>
      <c r="H440" s="368" t="s">
        <v>2295</v>
      </c>
      <c r="I440" s="374" t="s">
        <v>2310</v>
      </c>
      <c r="J440" s="21" t="s">
        <v>2311</v>
      </c>
      <c r="K440" s="368">
        <f>G440</f>
        <v>3000000</v>
      </c>
      <c r="L440" s="368">
        <f t="shared" si="24"/>
        <v>0</v>
      </c>
      <c r="M440" s="45"/>
    </row>
    <row r="441" spans="1:13" ht="30" customHeight="1" x14ac:dyDescent="0.2">
      <c r="A441" s="762"/>
      <c r="B441" s="188" t="s">
        <v>145</v>
      </c>
      <c r="C441" s="764" t="s">
        <v>1354</v>
      </c>
      <c r="D441" s="368">
        <v>100000000</v>
      </c>
      <c r="E441" s="20">
        <v>0.05</v>
      </c>
      <c r="F441" s="368">
        <f t="shared" si="25"/>
        <v>5000000</v>
      </c>
      <c r="G441" s="2040">
        <v>5500000</v>
      </c>
      <c r="H441" s="2097" t="s">
        <v>2623</v>
      </c>
      <c r="I441" s="2195"/>
      <c r="J441" s="2195"/>
      <c r="K441" s="2098"/>
      <c r="L441" s="2040">
        <f>(F441+F442)-G441</f>
        <v>0</v>
      </c>
      <c r="M441" s="2068" t="s">
        <v>2624</v>
      </c>
    </row>
    <row r="442" spans="1:13" ht="30" customHeight="1" x14ac:dyDescent="0.2">
      <c r="A442" s="4">
        <v>295</v>
      </c>
      <c r="B442" s="45" t="s">
        <v>727</v>
      </c>
      <c r="C442" s="380" t="s">
        <v>1354</v>
      </c>
      <c r="D442" s="368">
        <v>10000000</v>
      </c>
      <c r="E442" s="20">
        <v>0.05</v>
      </c>
      <c r="F442" s="368">
        <f>D442*E442</f>
        <v>500000</v>
      </c>
      <c r="G442" s="2042"/>
      <c r="H442" s="2099"/>
      <c r="I442" s="2196"/>
      <c r="J442" s="2196"/>
      <c r="K442" s="2100"/>
      <c r="L442" s="2042"/>
      <c r="M442" s="2069"/>
    </row>
    <row r="443" spans="1:13" ht="30" customHeight="1" x14ac:dyDescent="0.2">
      <c r="A443" s="4">
        <v>296</v>
      </c>
      <c r="B443" s="45" t="s">
        <v>146</v>
      </c>
      <c r="C443" s="380" t="s">
        <v>1378</v>
      </c>
      <c r="D443" s="368">
        <v>35000000</v>
      </c>
      <c r="E443" s="20">
        <v>0.04</v>
      </c>
      <c r="F443" s="368">
        <f t="shared" si="25"/>
        <v>1400000</v>
      </c>
      <c r="G443" s="368">
        <v>1400000</v>
      </c>
      <c r="H443" s="368" t="s">
        <v>2503</v>
      </c>
      <c r="I443" s="374" t="s">
        <v>2515</v>
      </c>
      <c r="J443" s="24" t="s">
        <v>2516</v>
      </c>
      <c r="K443" s="368">
        <f>G443</f>
        <v>1400000</v>
      </c>
      <c r="L443" s="368">
        <f t="shared" si="24"/>
        <v>0</v>
      </c>
      <c r="M443" s="45"/>
    </row>
    <row r="444" spans="1:13" ht="30" customHeight="1" x14ac:dyDescent="0.2">
      <c r="A444" s="4">
        <v>297</v>
      </c>
      <c r="B444" s="45" t="s">
        <v>147</v>
      </c>
      <c r="C444" s="380"/>
      <c r="D444" s="368">
        <v>50000000</v>
      </c>
      <c r="E444" s="44"/>
      <c r="F444" s="366">
        <f t="shared" si="25"/>
        <v>0</v>
      </c>
      <c r="G444" s="368"/>
      <c r="H444" s="368"/>
      <c r="I444" s="374"/>
      <c r="J444" s="377"/>
      <c r="K444" s="368"/>
      <c r="L444" s="366">
        <f t="shared" si="24"/>
        <v>0</v>
      </c>
      <c r="M444" s="45"/>
    </row>
    <row r="445" spans="1:13" ht="30" customHeight="1" x14ac:dyDescent="0.2">
      <c r="A445" s="4">
        <v>298</v>
      </c>
      <c r="B445" s="45" t="s">
        <v>148</v>
      </c>
      <c r="C445" s="380" t="s">
        <v>1165</v>
      </c>
      <c r="D445" s="368">
        <v>40000000</v>
      </c>
      <c r="E445" s="20">
        <v>5.1999999999999998E-2</v>
      </c>
      <c r="F445" s="368">
        <v>2000000</v>
      </c>
      <c r="G445" s="368">
        <v>2000000</v>
      </c>
      <c r="H445" s="368" t="s">
        <v>2396</v>
      </c>
      <c r="I445" s="374" t="s">
        <v>2399</v>
      </c>
      <c r="J445" s="24" t="s">
        <v>2400</v>
      </c>
      <c r="K445" s="368">
        <f>G445</f>
        <v>2000000</v>
      </c>
      <c r="L445" s="368">
        <f t="shared" si="24"/>
        <v>0</v>
      </c>
      <c r="M445" s="45"/>
    </row>
    <row r="446" spans="1:13" ht="30" customHeight="1" x14ac:dyDescent="0.2">
      <c r="A446" s="4">
        <v>299</v>
      </c>
      <c r="B446" s="45" t="s">
        <v>149</v>
      </c>
      <c r="C446" s="380"/>
      <c r="D446" s="368">
        <v>10000000</v>
      </c>
      <c r="E446" s="20">
        <v>0.05</v>
      </c>
      <c r="F446" s="368">
        <f t="shared" si="25"/>
        <v>500000</v>
      </c>
      <c r="G446" s="368">
        <v>10500000</v>
      </c>
      <c r="H446" s="368" t="s">
        <v>2135</v>
      </c>
      <c r="I446" s="374" t="s">
        <v>2167</v>
      </c>
      <c r="J446" s="24" t="s">
        <v>2168</v>
      </c>
      <c r="K446" s="368">
        <f>G446</f>
        <v>10500000</v>
      </c>
      <c r="L446" s="368">
        <f>(F446+D446)-K446</f>
        <v>0</v>
      </c>
      <c r="M446" s="168" t="s">
        <v>2169</v>
      </c>
    </row>
    <row r="447" spans="1:13" ht="30" customHeight="1" x14ac:dyDescent="0.2">
      <c r="A447" s="4">
        <v>300</v>
      </c>
      <c r="B447" s="188" t="s">
        <v>150</v>
      </c>
      <c r="C447" s="422" t="s">
        <v>917</v>
      </c>
      <c r="D447" s="399">
        <v>178000000</v>
      </c>
      <c r="E447" s="20">
        <v>5.8999999999999997E-2</v>
      </c>
      <c r="F447" s="399">
        <v>10500000</v>
      </c>
      <c r="G447" s="368">
        <v>10500000</v>
      </c>
      <c r="H447" s="368" t="s">
        <v>2431</v>
      </c>
      <c r="I447" s="374" t="s">
        <v>2431</v>
      </c>
      <c r="J447" s="24" t="s">
        <v>2453</v>
      </c>
      <c r="K447" s="839">
        <f>G447</f>
        <v>10500000</v>
      </c>
      <c r="L447" s="394">
        <f>F447-K447</f>
        <v>0</v>
      </c>
      <c r="M447" s="45"/>
    </row>
    <row r="448" spans="1:13" ht="30" customHeight="1" x14ac:dyDescent="0.2">
      <c r="A448" s="4">
        <v>301</v>
      </c>
      <c r="B448" s="45" t="s">
        <v>2482</v>
      </c>
      <c r="C448" s="380"/>
      <c r="D448" s="368">
        <v>10000000</v>
      </c>
      <c r="E448" s="393">
        <v>0.04</v>
      </c>
      <c r="F448" s="368">
        <f>D448*E448</f>
        <v>400000</v>
      </c>
      <c r="G448" s="368">
        <v>400000</v>
      </c>
      <c r="H448" s="368" t="s">
        <v>2480</v>
      </c>
      <c r="I448" s="374" t="s">
        <v>2484</v>
      </c>
      <c r="J448" s="862" t="s">
        <v>2483</v>
      </c>
      <c r="K448" s="368">
        <f>G448</f>
        <v>400000</v>
      </c>
      <c r="L448" s="368">
        <f t="shared" ref="L448:L481" si="28">F448-K448</f>
        <v>0</v>
      </c>
      <c r="M448" s="103"/>
    </row>
    <row r="449" spans="1:13" ht="30" customHeight="1" x14ac:dyDescent="0.2">
      <c r="A449" s="4">
        <v>302</v>
      </c>
      <c r="B449" s="45" t="s">
        <v>152</v>
      </c>
      <c r="C449" s="380"/>
      <c r="D449" s="368">
        <v>60000000</v>
      </c>
      <c r="E449" s="20">
        <v>4.4999999999999998E-2</v>
      </c>
      <c r="F449" s="368">
        <f t="shared" si="25"/>
        <v>2700000</v>
      </c>
      <c r="G449" s="368"/>
      <c r="H449" s="368"/>
      <c r="I449" s="374"/>
      <c r="J449" s="24"/>
      <c r="K449" s="368"/>
      <c r="L449" s="368">
        <f t="shared" si="28"/>
        <v>2700000</v>
      </c>
      <c r="M449" s="45"/>
    </row>
    <row r="450" spans="1:13" ht="30" customHeight="1" x14ac:dyDescent="0.2">
      <c r="A450" s="2031">
        <v>303</v>
      </c>
      <c r="B450" s="2029" t="s">
        <v>153</v>
      </c>
      <c r="C450" s="2149" t="s">
        <v>1913</v>
      </c>
      <c r="D450" s="2040">
        <v>1776000000</v>
      </c>
      <c r="E450" s="2037">
        <v>7.0999999999999994E-2</v>
      </c>
      <c r="F450" s="2040">
        <v>127140000</v>
      </c>
      <c r="G450" s="941">
        <v>80000000</v>
      </c>
      <c r="H450" s="941" t="s">
        <v>2503</v>
      </c>
      <c r="I450" s="946" t="s">
        <v>2519</v>
      </c>
      <c r="J450" s="947" t="s">
        <v>1115</v>
      </c>
      <c r="K450" s="2040">
        <f>G450+G451</f>
        <v>127140000</v>
      </c>
      <c r="L450" s="2040">
        <f t="shared" si="28"/>
        <v>0</v>
      </c>
      <c r="M450" s="945" t="s">
        <v>2115</v>
      </c>
    </row>
    <row r="451" spans="1:13" ht="30" customHeight="1" x14ac:dyDescent="0.2">
      <c r="A451" s="2034"/>
      <c r="B451" s="2033"/>
      <c r="C451" s="2158"/>
      <c r="D451" s="2042"/>
      <c r="E451" s="2039"/>
      <c r="F451" s="2042"/>
      <c r="G451" s="935">
        <v>47140000</v>
      </c>
      <c r="H451" s="2154" t="s">
        <v>2539</v>
      </c>
      <c r="I451" s="2155"/>
      <c r="J451" s="2156"/>
      <c r="K451" s="2042"/>
      <c r="L451" s="2042"/>
      <c r="M451" s="793" t="s">
        <v>2573</v>
      </c>
    </row>
    <row r="452" spans="1:13" ht="30" customHeight="1" x14ac:dyDescent="0.2">
      <c r="A452" s="2034"/>
      <c r="B452" s="2033"/>
      <c r="C452" s="2158"/>
      <c r="D452" s="935">
        <v>1876000000</v>
      </c>
      <c r="E452" s="939"/>
      <c r="F452" s="935">
        <v>137480000</v>
      </c>
      <c r="G452" s="2154" t="s">
        <v>2574</v>
      </c>
      <c r="H452" s="2155"/>
      <c r="I452" s="2155"/>
      <c r="J452" s="2156"/>
      <c r="K452" s="935"/>
      <c r="L452" s="935"/>
      <c r="M452" s="793"/>
    </row>
    <row r="453" spans="1:13" ht="30" customHeight="1" x14ac:dyDescent="0.2">
      <c r="A453" s="2034"/>
      <c r="B453" s="2033"/>
      <c r="C453" s="2158"/>
      <c r="D453" s="240">
        <v>1816000000</v>
      </c>
      <c r="E453" s="1001">
        <f>F453/D453</f>
        <v>7.306167400881057E-2</v>
      </c>
      <c r="F453" s="240">
        <v>132680000</v>
      </c>
      <c r="G453" s="2274" t="s">
        <v>2572</v>
      </c>
      <c r="H453" s="2275"/>
      <c r="I453" s="2275"/>
      <c r="J453" s="2275"/>
      <c r="K453" s="2275"/>
      <c r="L453" s="2276"/>
      <c r="M453" s="759"/>
    </row>
    <row r="454" spans="1:13" ht="30" customHeight="1" x14ac:dyDescent="0.2">
      <c r="A454" s="2034"/>
      <c r="B454" s="2033"/>
      <c r="C454" s="2158"/>
      <c r="D454" s="2157" t="s">
        <v>2638</v>
      </c>
      <c r="E454" s="2157"/>
      <c r="F454" s="2157"/>
      <c r="G454" s="954">
        <v>5000000</v>
      </c>
      <c r="H454" s="954" t="s">
        <v>2577</v>
      </c>
      <c r="I454" s="955" t="s">
        <v>2595</v>
      </c>
      <c r="J454" s="956" t="s">
        <v>2596</v>
      </c>
      <c r="K454" s="2040">
        <f>G454+G455</f>
        <v>8400000</v>
      </c>
      <c r="L454" s="2040">
        <f>(G454+G455)-K454</f>
        <v>0</v>
      </c>
      <c r="M454" s="793" t="s">
        <v>884</v>
      </c>
    </row>
    <row r="455" spans="1:13" ht="30" customHeight="1" x14ac:dyDescent="0.2">
      <c r="A455" s="2032"/>
      <c r="B455" s="2030"/>
      <c r="C455" s="2150"/>
      <c r="D455" s="2157"/>
      <c r="E455" s="2157"/>
      <c r="F455" s="2157"/>
      <c r="G455" s="986">
        <v>3400000</v>
      </c>
      <c r="H455" s="986" t="s">
        <v>2626</v>
      </c>
      <c r="I455" s="1000" t="s">
        <v>2639</v>
      </c>
      <c r="J455" s="24" t="s">
        <v>2640</v>
      </c>
      <c r="K455" s="2042"/>
      <c r="L455" s="2042"/>
      <c r="M455" s="793"/>
    </row>
    <row r="456" spans="1:13" ht="30" customHeight="1" x14ac:dyDescent="0.2">
      <c r="A456" s="2031">
        <v>304</v>
      </c>
      <c r="B456" s="2029" t="s">
        <v>154</v>
      </c>
      <c r="C456" s="2149"/>
      <c r="D456" s="740">
        <v>10000000</v>
      </c>
      <c r="E456" s="741">
        <v>0.06</v>
      </c>
      <c r="F456" s="740">
        <f t="shared" si="25"/>
        <v>600000</v>
      </c>
      <c r="G456" s="740">
        <v>10000000</v>
      </c>
      <c r="H456" s="740" t="s">
        <v>926</v>
      </c>
      <c r="I456" s="761">
        <v>421552</v>
      </c>
      <c r="J456" s="61" t="s">
        <v>1123</v>
      </c>
      <c r="K456" s="740">
        <f>G456</f>
        <v>10000000</v>
      </c>
      <c r="L456" s="740">
        <f t="shared" si="28"/>
        <v>-9400000</v>
      </c>
      <c r="M456" s="2051" t="s">
        <v>2209</v>
      </c>
    </row>
    <row r="457" spans="1:13" ht="30" customHeight="1" x14ac:dyDescent="0.2">
      <c r="A457" s="2032"/>
      <c r="B457" s="2030"/>
      <c r="C457" s="2150"/>
      <c r="D457" s="740">
        <v>10000000</v>
      </c>
      <c r="E457" s="44">
        <v>0.06</v>
      </c>
      <c r="F457" s="740">
        <f t="shared" si="25"/>
        <v>600000</v>
      </c>
      <c r="G457" s="740">
        <v>600000</v>
      </c>
      <c r="H457" s="740" t="s">
        <v>2295</v>
      </c>
      <c r="I457" s="761">
        <v>122445983965</v>
      </c>
      <c r="J457" s="61" t="s">
        <v>2320</v>
      </c>
      <c r="K457" s="740">
        <f>G457</f>
        <v>600000</v>
      </c>
      <c r="L457" s="740">
        <f>F457-K457</f>
        <v>0</v>
      </c>
      <c r="M457" s="2052"/>
    </row>
    <row r="458" spans="1:13" ht="30" customHeight="1" x14ac:dyDescent="0.2">
      <c r="A458" s="2031">
        <v>305</v>
      </c>
      <c r="B458" s="2029" t="s">
        <v>155</v>
      </c>
      <c r="C458" s="2149"/>
      <c r="D458" s="2040">
        <v>650000000</v>
      </c>
      <c r="E458" s="2262">
        <f>F458/D458</f>
        <v>5.7692307692307696E-2</v>
      </c>
      <c r="F458" s="2157">
        <v>37500000</v>
      </c>
      <c r="G458" s="368">
        <v>8000000</v>
      </c>
      <c r="H458" s="368" t="s">
        <v>2277</v>
      </c>
      <c r="I458" s="376" t="s">
        <v>2302</v>
      </c>
      <c r="J458" s="24" t="s">
        <v>2303</v>
      </c>
      <c r="K458" s="2040">
        <f>G458+G459</f>
        <v>18000000</v>
      </c>
      <c r="L458" s="2040">
        <f t="shared" si="28"/>
        <v>19500000</v>
      </c>
      <c r="M458" s="2212" t="s">
        <v>1548</v>
      </c>
    </row>
    <row r="459" spans="1:13" ht="30" customHeight="1" x14ac:dyDescent="0.2">
      <c r="A459" s="2032"/>
      <c r="B459" s="2030"/>
      <c r="C459" s="2150"/>
      <c r="D459" s="2042"/>
      <c r="E459" s="2262"/>
      <c r="F459" s="2157"/>
      <c r="G459" s="879">
        <v>10000000</v>
      </c>
      <c r="H459" s="879" t="s">
        <v>2503</v>
      </c>
      <c r="I459" s="888" t="s">
        <v>2528</v>
      </c>
      <c r="J459" s="24" t="s">
        <v>2529</v>
      </c>
      <c r="K459" s="2042"/>
      <c r="L459" s="2042"/>
      <c r="M459" s="2213"/>
    </row>
    <row r="460" spans="1:13" ht="30" customHeight="1" x14ac:dyDescent="0.2">
      <c r="A460" s="2031">
        <v>306</v>
      </c>
      <c r="B460" s="2029" t="s">
        <v>156</v>
      </c>
      <c r="C460" s="2149"/>
      <c r="D460" s="2040">
        <v>30000000</v>
      </c>
      <c r="E460" s="2097" t="s">
        <v>1398</v>
      </c>
      <c r="F460" s="2098"/>
      <c r="G460" s="368">
        <v>20000000</v>
      </c>
      <c r="H460" s="390" t="s">
        <v>926</v>
      </c>
      <c r="I460" s="376" t="s">
        <v>1399</v>
      </c>
      <c r="J460" s="401" t="s">
        <v>1323</v>
      </c>
      <c r="K460" s="2040">
        <f>G460+G461</f>
        <v>30000000</v>
      </c>
      <c r="L460" s="2040">
        <f>D460-K460</f>
        <v>0</v>
      </c>
      <c r="M460" s="2051" t="s">
        <v>1428</v>
      </c>
    </row>
    <row r="461" spans="1:13" ht="30" customHeight="1" x14ac:dyDescent="0.2">
      <c r="A461" s="2032"/>
      <c r="B461" s="2030"/>
      <c r="C461" s="2150"/>
      <c r="D461" s="2042"/>
      <c r="E461" s="2099"/>
      <c r="F461" s="2100"/>
      <c r="G461" s="368">
        <v>10000000</v>
      </c>
      <c r="H461" s="368" t="s">
        <v>1052</v>
      </c>
      <c r="I461" s="403" t="s">
        <v>1427</v>
      </c>
      <c r="J461" s="401" t="s">
        <v>1323</v>
      </c>
      <c r="K461" s="2042"/>
      <c r="L461" s="2042"/>
      <c r="M461" s="2052"/>
    </row>
    <row r="462" spans="1:13" ht="30" customHeight="1" x14ac:dyDescent="0.2">
      <c r="A462" s="4">
        <v>307</v>
      </c>
      <c r="B462" s="45" t="s">
        <v>157</v>
      </c>
      <c r="C462" s="380" t="s">
        <v>1378</v>
      </c>
      <c r="D462" s="368">
        <v>260000000</v>
      </c>
      <c r="E462" s="20">
        <v>0.05</v>
      </c>
      <c r="F462" s="368">
        <f t="shared" si="25"/>
        <v>13000000</v>
      </c>
      <c r="G462" s="368">
        <v>13000000</v>
      </c>
      <c r="H462" s="368" t="s">
        <v>2503</v>
      </c>
      <c r="I462" s="374" t="s">
        <v>2543</v>
      </c>
      <c r="J462" s="24" t="s">
        <v>2544</v>
      </c>
      <c r="K462" s="368">
        <f>G462</f>
        <v>13000000</v>
      </c>
      <c r="L462" s="368">
        <f t="shared" si="28"/>
        <v>0</v>
      </c>
      <c r="M462" s="45"/>
    </row>
    <row r="463" spans="1:13" ht="30" customHeight="1" x14ac:dyDescent="0.2">
      <c r="A463" s="386">
        <v>308</v>
      </c>
      <c r="B463" s="188" t="s">
        <v>158</v>
      </c>
      <c r="C463" s="671" t="s">
        <v>1349</v>
      </c>
      <c r="D463" s="664">
        <v>300000000</v>
      </c>
      <c r="E463" s="670">
        <v>0.05</v>
      </c>
      <c r="F463" s="664">
        <f t="shared" si="25"/>
        <v>15000000</v>
      </c>
      <c r="G463" s="2040">
        <v>24000000</v>
      </c>
      <c r="H463" s="2040" t="s">
        <v>1898</v>
      </c>
      <c r="I463" s="2159" t="s">
        <v>1996</v>
      </c>
      <c r="J463" s="2168" t="s">
        <v>1997</v>
      </c>
      <c r="K463" s="2040">
        <f>G463</f>
        <v>24000000</v>
      </c>
      <c r="L463" s="2040">
        <f>(F463+F464)-K463</f>
        <v>0</v>
      </c>
      <c r="M463" s="2101"/>
    </row>
    <row r="464" spans="1:13" ht="30" customHeight="1" x14ac:dyDescent="0.2">
      <c r="A464" s="4">
        <v>309</v>
      </c>
      <c r="B464" s="188" t="s">
        <v>1998</v>
      </c>
      <c r="C464" s="671" t="s">
        <v>380</v>
      </c>
      <c r="D464" s="658">
        <v>180000000</v>
      </c>
      <c r="E464" s="656">
        <v>0.05</v>
      </c>
      <c r="F464" s="658">
        <f>D464*E464</f>
        <v>9000000</v>
      </c>
      <c r="G464" s="2042"/>
      <c r="H464" s="2042"/>
      <c r="I464" s="2160"/>
      <c r="J464" s="2169"/>
      <c r="K464" s="2042"/>
      <c r="L464" s="2042"/>
      <c r="M464" s="2102"/>
    </row>
    <row r="465" spans="1:13" ht="30" customHeight="1" x14ac:dyDescent="0.2">
      <c r="A465" s="689">
        <v>310</v>
      </c>
      <c r="B465" s="45" t="s">
        <v>160</v>
      </c>
      <c r="C465" s="380" t="s">
        <v>401</v>
      </c>
      <c r="D465" s="460">
        <v>100000000</v>
      </c>
      <c r="E465" s="462">
        <v>0.05</v>
      </c>
      <c r="F465" s="460">
        <f t="shared" ref="F465:F480" si="29">D465*E465</f>
        <v>5000000</v>
      </c>
      <c r="G465" s="460">
        <v>5000000</v>
      </c>
      <c r="H465" s="460" t="s">
        <v>1566</v>
      </c>
      <c r="I465" s="475" t="s">
        <v>1628</v>
      </c>
      <c r="J465" s="24" t="s">
        <v>1629</v>
      </c>
      <c r="K465" s="460">
        <f>G465</f>
        <v>5000000</v>
      </c>
      <c r="L465" s="460">
        <f t="shared" si="28"/>
        <v>0</v>
      </c>
      <c r="M465" s="45"/>
    </row>
    <row r="466" spans="1:13" ht="30" customHeight="1" x14ac:dyDescent="0.2">
      <c r="A466" s="4">
        <v>311</v>
      </c>
      <c r="B466" s="45" t="s">
        <v>161</v>
      </c>
      <c r="C466" s="380" t="s">
        <v>916</v>
      </c>
      <c r="D466" s="368">
        <v>55000000</v>
      </c>
      <c r="E466" s="20">
        <v>0.05</v>
      </c>
      <c r="F466" s="368">
        <f t="shared" si="29"/>
        <v>2750000</v>
      </c>
      <c r="G466" s="368">
        <v>2750000</v>
      </c>
      <c r="H466" s="368" t="s">
        <v>1713</v>
      </c>
      <c r="I466" s="373" t="s">
        <v>1715</v>
      </c>
      <c r="J466" s="373" t="s">
        <v>391</v>
      </c>
      <c r="K466" s="368">
        <f>G466</f>
        <v>2750000</v>
      </c>
      <c r="L466" s="546">
        <f t="shared" si="28"/>
        <v>0</v>
      </c>
      <c r="M466" s="169"/>
    </row>
    <row r="467" spans="1:13" ht="30" customHeight="1" x14ac:dyDescent="0.2">
      <c r="A467" s="689">
        <v>312</v>
      </c>
      <c r="B467" s="45" t="s">
        <v>162</v>
      </c>
      <c r="C467" s="380"/>
      <c r="D467" s="366"/>
      <c r="E467" s="44"/>
      <c r="F467" s="366">
        <f t="shared" si="29"/>
        <v>0</v>
      </c>
      <c r="G467" s="368"/>
      <c r="H467" s="368"/>
      <c r="I467" s="374"/>
      <c r="J467" s="24"/>
      <c r="K467" s="368"/>
      <c r="L467" s="366">
        <f t="shared" si="28"/>
        <v>0</v>
      </c>
      <c r="M467" s="45"/>
    </row>
    <row r="468" spans="1:13" ht="30" customHeight="1" x14ac:dyDescent="0.2">
      <c r="A468" s="4">
        <v>313</v>
      </c>
      <c r="B468" s="22" t="s">
        <v>164</v>
      </c>
      <c r="C468" s="421"/>
      <c r="D468" s="399">
        <v>152000000</v>
      </c>
      <c r="E468" s="20">
        <v>0.05</v>
      </c>
      <c r="F468" s="368">
        <f>D468*E468</f>
        <v>7600000</v>
      </c>
      <c r="G468" s="368">
        <v>7600000</v>
      </c>
      <c r="H468" s="368" t="s">
        <v>1835</v>
      </c>
      <c r="I468" s="374" t="s">
        <v>1847</v>
      </c>
      <c r="J468" s="24" t="s">
        <v>1848</v>
      </c>
      <c r="K468" s="368">
        <f>G468</f>
        <v>7600000</v>
      </c>
      <c r="L468" s="368">
        <f t="shared" si="28"/>
        <v>0</v>
      </c>
      <c r="M468" s="45"/>
    </row>
    <row r="469" spans="1:13" ht="30" customHeight="1" x14ac:dyDescent="0.2">
      <c r="A469" s="689">
        <v>314</v>
      </c>
      <c r="B469" s="388" t="s">
        <v>165</v>
      </c>
      <c r="C469" s="380"/>
      <c r="D469" s="368">
        <v>20000000</v>
      </c>
      <c r="E469" s="20">
        <v>0.04</v>
      </c>
      <c r="F469" s="368">
        <f t="shared" si="29"/>
        <v>800000</v>
      </c>
      <c r="G469" s="368"/>
      <c r="H469" s="368"/>
      <c r="I469" s="374"/>
      <c r="J469" s="24"/>
      <c r="K469" s="368"/>
      <c r="L469" s="368">
        <f t="shared" si="28"/>
        <v>800000</v>
      </c>
      <c r="M469" s="103" t="s">
        <v>749</v>
      </c>
    </row>
    <row r="470" spans="1:13" ht="30" customHeight="1" x14ac:dyDescent="0.2">
      <c r="A470" s="2031">
        <v>315</v>
      </c>
      <c r="B470" s="2029" t="s">
        <v>166</v>
      </c>
      <c r="C470" s="2149" t="s">
        <v>1219</v>
      </c>
      <c r="D470" s="2040">
        <v>400000000</v>
      </c>
      <c r="E470" s="2037">
        <v>6.3E-2</v>
      </c>
      <c r="F470" s="2040">
        <v>25000000</v>
      </c>
      <c r="G470" s="575">
        <v>20000000</v>
      </c>
      <c r="H470" s="575" t="s">
        <v>1804</v>
      </c>
      <c r="I470" s="585" t="s">
        <v>1832</v>
      </c>
      <c r="J470" s="24" t="s">
        <v>455</v>
      </c>
      <c r="K470" s="2040">
        <f>G470+G471</f>
        <v>25000000</v>
      </c>
      <c r="L470" s="2040">
        <f t="shared" si="28"/>
        <v>0</v>
      </c>
      <c r="M470" s="2101"/>
    </row>
    <row r="471" spans="1:13" ht="30" customHeight="1" x14ac:dyDescent="0.2">
      <c r="A471" s="2032"/>
      <c r="B471" s="2030"/>
      <c r="C471" s="2150"/>
      <c r="D471" s="2042"/>
      <c r="E471" s="2039"/>
      <c r="F471" s="2042"/>
      <c r="G471" s="575">
        <v>5000000</v>
      </c>
      <c r="H471" s="575" t="s">
        <v>1852</v>
      </c>
      <c r="I471" s="585" t="s">
        <v>1922</v>
      </c>
      <c r="J471" s="24" t="s">
        <v>1923</v>
      </c>
      <c r="K471" s="2042"/>
      <c r="L471" s="2042"/>
      <c r="M471" s="2102"/>
    </row>
    <row r="472" spans="1:13" ht="30" customHeight="1" x14ac:dyDescent="0.2">
      <c r="A472" s="4">
        <v>316</v>
      </c>
      <c r="B472" s="45" t="s">
        <v>167</v>
      </c>
      <c r="C472" s="380"/>
      <c r="D472" s="1218">
        <v>35000000</v>
      </c>
      <c r="E472" s="1231">
        <v>0.04</v>
      </c>
      <c r="F472" s="1218">
        <f>D472*E472</f>
        <v>1400000</v>
      </c>
      <c r="G472" s="1218">
        <v>1400000</v>
      </c>
      <c r="H472" s="1218" t="s">
        <v>1804</v>
      </c>
      <c r="I472" s="1228" t="s">
        <v>1826</v>
      </c>
      <c r="J472" s="21" t="s">
        <v>1827</v>
      </c>
      <c r="K472" s="1218">
        <f>G472</f>
        <v>1400000</v>
      </c>
      <c r="L472" s="1218">
        <f t="shared" si="28"/>
        <v>0</v>
      </c>
      <c r="M472" s="45"/>
    </row>
    <row r="473" spans="1:13" ht="30" customHeight="1" x14ac:dyDescent="0.2">
      <c r="A473" s="4">
        <v>317</v>
      </c>
      <c r="B473" s="45" t="s">
        <v>168</v>
      </c>
      <c r="C473" s="380"/>
      <c r="D473" s="366"/>
      <c r="E473" s="44"/>
      <c r="F473" s="366">
        <f t="shared" si="29"/>
        <v>0</v>
      </c>
      <c r="G473" s="368">
        <v>13500000</v>
      </c>
      <c r="H473" s="368" t="s">
        <v>2184</v>
      </c>
      <c r="I473" s="36" t="s">
        <v>2190</v>
      </c>
      <c r="J473" s="24" t="s">
        <v>2191</v>
      </c>
      <c r="K473" s="368">
        <f>G473</f>
        <v>13500000</v>
      </c>
      <c r="L473" s="366">
        <f t="shared" si="28"/>
        <v>-13500000</v>
      </c>
      <c r="M473" s="45"/>
    </row>
    <row r="474" spans="1:13" ht="30" customHeight="1" x14ac:dyDescent="0.2">
      <c r="A474" s="4">
        <v>318</v>
      </c>
      <c r="B474" s="45" t="s">
        <v>170</v>
      </c>
      <c r="C474" s="380"/>
      <c r="D474" s="366"/>
      <c r="E474" s="44"/>
      <c r="F474" s="366">
        <f t="shared" si="29"/>
        <v>0</v>
      </c>
      <c r="G474" s="368">
        <v>4000000</v>
      </c>
      <c r="H474" s="368" t="s">
        <v>1852</v>
      </c>
      <c r="I474" s="374" t="s">
        <v>1930</v>
      </c>
      <c r="J474" s="21" t="s">
        <v>1931</v>
      </c>
      <c r="K474" s="368">
        <f>G474</f>
        <v>4000000</v>
      </c>
      <c r="L474" s="366">
        <f t="shared" si="28"/>
        <v>-4000000</v>
      </c>
      <c r="M474" s="45"/>
    </row>
    <row r="475" spans="1:13" ht="30" customHeight="1" x14ac:dyDescent="0.2">
      <c r="A475" s="4">
        <v>319</v>
      </c>
      <c r="B475" s="45" t="s">
        <v>171</v>
      </c>
      <c r="C475" s="380" t="s">
        <v>1342</v>
      </c>
      <c r="D475" s="368">
        <v>200000000</v>
      </c>
      <c r="E475" s="20">
        <v>5.5E-2</v>
      </c>
      <c r="F475" s="368">
        <f t="shared" si="29"/>
        <v>11000000</v>
      </c>
      <c r="G475" s="368"/>
      <c r="H475" s="368"/>
      <c r="I475" s="376"/>
      <c r="J475" s="24"/>
      <c r="K475" s="368"/>
      <c r="L475" s="368">
        <f t="shared" si="28"/>
        <v>11000000</v>
      </c>
      <c r="M475" s="103" t="s">
        <v>1613</v>
      </c>
    </row>
    <row r="476" spans="1:13" ht="30" customHeight="1" x14ac:dyDescent="0.2">
      <c r="A476" s="4">
        <v>320</v>
      </c>
      <c r="B476" s="45" t="s">
        <v>172</v>
      </c>
      <c r="C476" s="380"/>
      <c r="D476" s="368">
        <v>135000000</v>
      </c>
      <c r="E476" s="20">
        <v>4.8000000000000001E-2</v>
      </c>
      <c r="F476" s="368">
        <v>6500000</v>
      </c>
      <c r="G476" s="368">
        <v>8000000</v>
      </c>
      <c r="H476" s="368" t="s">
        <v>2202</v>
      </c>
      <c r="I476" s="374" t="s">
        <v>2207</v>
      </c>
      <c r="J476" s="24" t="s">
        <v>2208</v>
      </c>
      <c r="K476" s="368">
        <f>G476</f>
        <v>8000000</v>
      </c>
      <c r="L476" s="718">
        <f t="shared" si="28"/>
        <v>-1500000</v>
      </c>
      <c r="M476" s="103" t="s">
        <v>2209</v>
      </c>
    </row>
    <row r="477" spans="1:13" ht="30" customHeight="1" x14ac:dyDescent="0.2">
      <c r="A477" s="4">
        <v>321</v>
      </c>
      <c r="B477" s="45" t="s">
        <v>174</v>
      </c>
      <c r="C477" s="380"/>
      <c r="D477" s="368">
        <v>5000000</v>
      </c>
      <c r="E477" s="20">
        <v>0.04</v>
      </c>
      <c r="F477" s="368">
        <f t="shared" si="29"/>
        <v>200000</v>
      </c>
      <c r="G477" s="368">
        <v>200000</v>
      </c>
      <c r="H477" s="368" t="s">
        <v>2454</v>
      </c>
      <c r="I477" s="374" t="s">
        <v>2464</v>
      </c>
      <c r="J477" s="24" t="s">
        <v>2465</v>
      </c>
      <c r="K477" s="368">
        <f>G477</f>
        <v>200000</v>
      </c>
      <c r="L477" s="368">
        <f t="shared" si="28"/>
        <v>0</v>
      </c>
      <c r="M477" s="45"/>
    </row>
    <row r="478" spans="1:13" ht="30" customHeight="1" x14ac:dyDescent="0.2">
      <c r="A478" s="2031">
        <v>322</v>
      </c>
      <c r="B478" s="2101" t="s">
        <v>1450</v>
      </c>
      <c r="C478" s="2149" t="s">
        <v>1112</v>
      </c>
      <c r="D478" s="368">
        <v>10000000</v>
      </c>
      <c r="E478" s="20">
        <v>0.05</v>
      </c>
      <c r="F478" s="368">
        <f t="shared" si="29"/>
        <v>500000</v>
      </c>
      <c r="G478" s="368">
        <v>500000</v>
      </c>
      <c r="H478" s="368" t="s">
        <v>1431</v>
      </c>
      <c r="I478" s="432" t="s">
        <v>1448</v>
      </c>
      <c r="J478" s="432" t="s">
        <v>1448</v>
      </c>
      <c r="K478" s="368">
        <f>G478</f>
        <v>500000</v>
      </c>
      <c r="L478" s="368">
        <f t="shared" si="28"/>
        <v>0</v>
      </c>
      <c r="M478" s="45" t="s">
        <v>2392</v>
      </c>
    </row>
    <row r="479" spans="1:13" ht="30" customHeight="1" x14ac:dyDescent="0.2">
      <c r="A479" s="2032"/>
      <c r="B479" s="2102"/>
      <c r="C479" s="2150"/>
      <c r="D479" s="912">
        <v>10000000</v>
      </c>
      <c r="E479" s="916">
        <v>0.05</v>
      </c>
      <c r="F479" s="912">
        <f t="shared" ref="F479" si="30">D479*E479</f>
        <v>500000</v>
      </c>
      <c r="G479" s="912"/>
      <c r="H479" s="912"/>
      <c r="I479" s="920"/>
      <c r="J479" s="920"/>
      <c r="K479" s="912"/>
      <c r="L479" s="912"/>
      <c r="M479" s="918"/>
    </row>
    <row r="480" spans="1:13" ht="30" customHeight="1" x14ac:dyDescent="0.2">
      <c r="A480" s="4">
        <v>323</v>
      </c>
      <c r="B480" s="45" t="s">
        <v>175</v>
      </c>
      <c r="C480" s="380"/>
      <c r="D480" s="368">
        <v>60000000</v>
      </c>
      <c r="E480" s="20">
        <v>4.4999999999999998E-2</v>
      </c>
      <c r="F480" s="368">
        <f t="shared" si="29"/>
        <v>2700000</v>
      </c>
      <c r="G480" s="368">
        <v>2700000</v>
      </c>
      <c r="H480" s="368" t="s">
        <v>2454</v>
      </c>
      <c r="I480" s="374" t="s">
        <v>2472</v>
      </c>
      <c r="J480" s="862" t="s">
        <v>497</v>
      </c>
      <c r="K480" s="368">
        <f>G480</f>
        <v>2700000</v>
      </c>
      <c r="L480" s="368">
        <f t="shared" si="28"/>
        <v>0</v>
      </c>
      <c r="M480" s="45"/>
    </row>
    <row r="481" spans="1:13" ht="30" customHeight="1" x14ac:dyDescent="0.2">
      <c r="A481" s="4">
        <v>324</v>
      </c>
      <c r="B481" s="45" t="s">
        <v>176</v>
      </c>
      <c r="C481" s="380" t="s">
        <v>916</v>
      </c>
      <c r="D481" s="368">
        <v>20000000</v>
      </c>
      <c r="E481" s="20">
        <v>0.05</v>
      </c>
      <c r="F481" s="368">
        <f>D481*E481</f>
        <v>1000000</v>
      </c>
      <c r="G481" s="368">
        <v>1000000</v>
      </c>
      <c r="H481" s="368" t="s">
        <v>1835</v>
      </c>
      <c r="I481" s="371">
        <v>656285875953</v>
      </c>
      <c r="J481" s="24" t="s">
        <v>1843</v>
      </c>
      <c r="K481" s="368">
        <f>G481</f>
        <v>1000000</v>
      </c>
      <c r="L481" s="368">
        <f t="shared" si="28"/>
        <v>0</v>
      </c>
      <c r="M481" s="45"/>
    </row>
    <row r="482" spans="1:13" ht="30" customHeight="1" x14ac:dyDescent="0.2">
      <c r="A482" s="2031">
        <v>325</v>
      </c>
      <c r="B482" s="2029" t="s">
        <v>273</v>
      </c>
      <c r="C482" s="2149"/>
      <c r="D482" s="368">
        <v>300000000</v>
      </c>
      <c r="E482" s="586">
        <v>0.1</v>
      </c>
      <c r="F482" s="368">
        <v>30750000</v>
      </c>
      <c r="G482" s="368">
        <v>15600000</v>
      </c>
      <c r="H482" s="368" t="s">
        <v>1052</v>
      </c>
      <c r="I482" s="403" t="s">
        <v>1427</v>
      </c>
      <c r="J482" s="24" t="s">
        <v>1323</v>
      </c>
      <c r="K482" s="247"/>
      <c r="L482" s="247"/>
      <c r="M482" s="421" t="s">
        <v>1910</v>
      </c>
    </row>
    <row r="483" spans="1:13" ht="30" customHeight="1" x14ac:dyDescent="0.2">
      <c r="A483" s="2032"/>
      <c r="B483" s="2030"/>
      <c r="C483" s="2150"/>
      <c r="D483" s="368">
        <v>140000000</v>
      </c>
      <c r="E483" s="586">
        <v>7.0000000000000007E-2</v>
      </c>
      <c r="F483" s="368">
        <v>9800000</v>
      </c>
      <c r="G483" s="368">
        <v>40550000</v>
      </c>
      <c r="H483" s="368" t="s">
        <v>1898</v>
      </c>
      <c r="I483" s="374" t="s">
        <v>1898</v>
      </c>
      <c r="J483" s="24">
        <v>166056</v>
      </c>
      <c r="K483" s="584">
        <f>G483</f>
        <v>40550000</v>
      </c>
      <c r="L483" s="584">
        <f>(F482+F483)-K483</f>
        <v>0</v>
      </c>
      <c r="M483" s="421"/>
    </row>
    <row r="484" spans="1:13" ht="30" customHeight="1" x14ac:dyDescent="0.2">
      <c r="A484" s="386">
        <v>326</v>
      </c>
      <c r="B484" s="22" t="s">
        <v>179</v>
      </c>
      <c r="C484" s="421"/>
      <c r="D484" s="394"/>
      <c r="E484" s="44"/>
      <c r="F484" s="394">
        <v>25000000</v>
      </c>
      <c r="G484" s="390"/>
      <c r="H484" s="390"/>
      <c r="I484" s="36"/>
      <c r="J484" s="24"/>
      <c r="K484" s="399"/>
      <c r="L484" s="394">
        <f>F484-K484</f>
        <v>25000000</v>
      </c>
      <c r="M484" s="398"/>
    </row>
    <row r="485" spans="1:13" ht="30" customHeight="1" x14ac:dyDescent="0.2">
      <c r="A485" s="4">
        <v>327</v>
      </c>
      <c r="B485" s="1003" t="s">
        <v>1280</v>
      </c>
      <c r="C485" s="1004"/>
      <c r="D485" s="1005">
        <v>60000000</v>
      </c>
      <c r="E485" s="1006">
        <v>0.05</v>
      </c>
      <c r="F485" s="1005">
        <f t="shared" ref="F485:F488" si="31">D485*E485</f>
        <v>3000000</v>
      </c>
      <c r="G485" s="1005">
        <v>3000000</v>
      </c>
      <c r="H485" s="1005" t="s">
        <v>2650</v>
      </c>
      <c r="I485" s="1007" t="s">
        <v>2651</v>
      </c>
      <c r="J485" s="1008" t="s">
        <v>2652</v>
      </c>
      <c r="K485" s="1005">
        <f>G485</f>
        <v>3000000</v>
      </c>
      <c r="L485" s="1005">
        <f t="shared" ref="L485:L488" si="32">F485-K485</f>
        <v>0</v>
      </c>
      <c r="M485" s="103"/>
    </row>
    <row r="486" spans="1:13" ht="30" customHeight="1" x14ac:dyDescent="0.2">
      <c r="A486" s="2031">
        <v>328</v>
      </c>
      <c r="B486" s="2029" t="s">
        <v>2817</v>
      </c>
      <c r="C486" s="2149" t="s">
        <v>971</v>
      </c>
      <c r="D486" s="368">
        <v>685000000</v>
      </c>
      <c r="E486" s="20">
        <v>0.06</v>
      </c>
      <c r="F486" s="368">
        <f>D486*E486</f>
        <v>41100000</v>
      </c>
      <c r="G486" s="368">
        <v>41100000</v>
      </c>
      <c r="H486" s="368" t="s">
        <v>1477</v>
      </c>
      <c r="I486" s="376" t="s">
        <v>1505</v>
      </c>
      <c r="J486" s="24" t="s">
        <v>1506</v>
      </c>
      <c r="K486" s="368">
        <f>G486</f>
        <v>41100000</v>
      </c>
      <c r="L486" s="368">
        <f>F486-K486</f>
        <v>0</v>
      </c>
      <c r="M486" s="686" t="s">
        <v>2556</v>
      </c>
    </row>
    <row r="487" spans="1:13" ht="30" customHeight="1" x14ac:dyDescent="0.2">
      <c r="A487" s="2032"/>
      <c r="B487" s="2030"/>
      <c r="C487" s="2150"/>
      <c r="D487" s="1176">
        <f>D486+F486</f>
        <v>726100000</v>
      </c>
      <c r="E487" s="1180"/>
      <c r="F487" s="1176"/>
      <c r="G487" s="2154" t="s">
        <v>2819</v>
      </c>
      <c r="H487" s="2155"/>
      <c r="I487" s="2155"/>
      <c r="J487" s="2155"/>
      <c r="K487" s="2156"/>
      <c r="L487" s="1176"/>
      <c r="M487" s="33" t="s">
        <v>2573</v>
      </c>
    </row>
    <row r="488" spans="1:13" ht="30" customHeight="1" x14ac:dyDescent="0.2">
      <c r="A488" s="386">
        <v>329</v>
      </c>
      <c r="B488" s="188" t="s">
        <v>184</v>
      </c>
      <c r="C488" s="421"/>
      <c r="D488" s="394"/>
      <c r="E488" s="44"/>
      <c r="F488" s="394">
        <f t="shared" si="31"/>
        <v>0</v>
      </c>
      <c r="G488" s="399"/>
      <c r="H488" s="399"/>
      <c r="I488" s="424"/>
      <c r="J488" s="37"/>
      <c r="K488" s="247"/>
      <c r="L488" s="394">
        <f t="shared" si="32"/>
        <v>0</v>
      </c>
      <c r="M488" s="396"/>
    </row>
    <row r="489" spans="1:13" ht="30" customHeight="1" x14ac:dyDescent="0.2">
      <c r="A489" s="4">
        <v>330</v>
      </c>
      <c r="B489" s="45" t="s">
        <v>1211</v>
      </c>
      <c r="C489" s="380" t="s">
        <v>1175</v>
      </c>
      <c r="D489" s="935">
        <v>30000000</v>
      </c>
      <c r="E489" s="393">
        <f>F489/D489</f>
        <v>0.05</v>
      </c>
      <c r="F489" s="368">
        <v>1500000</v>
      </c>
      <c r="G489" s="368">
        <v>1500000</v>
      </c>
      <c r="H489" s="368" t="s">
        <v>2577</v>
      </c>
      <c r="I489" s="374" t="s">
        <v>2584</v>
      </c>
      <c r="J489" s="24" t="s">
        <v>2585</v>
      </c>
      <c r="K489" s="368">
        <f>G489</f>
        <v>1500000</v>
      </c>
      <c r="L489" s="368">
        <f>F489-K489</f>
        <v>0</v>
      </c>
      <c r="M489" s="45"/>
    </row>
    <row r="490" spans="1:13" ht="30" customHeight="1" x14ac:dyDescent="0.2">
      <c r="A490" s="4">
        <v>331</v>
      </c>
      <c r="B490" s="45" t="s">
        <v>345</v>
      </c>
      <c r="C490" s="380" t="s">
        <v>379</v>
      </c>
      <c r="D490" s="368">
        <v>280000000</v>
      </c>
      <c r="E490" s="20">
        <v>0.06</v>
      </c>
      <c r="F490" s="368">
        <f t="shared" ref="F490:F495" si="33">D490*E490</f>
        <v>16800000</v>
      </c>
      <c r="G490" s="368">
        <v>16800000</v>
      </c>
      <c r="H490" s="368" t="s">
        <v>1898</v>
      </c>
      <c r="I490" s="374" t="s">
        <v>1957</v>
      </c>
      <c r="J490" s="24" t="s">
        <v>1958</v>
      </c>
      <c r="K490" s="368">
        <f>F490</f>
        <v>16800000</v>
      </c>
      <c r="L490" s="368">
        <f>F490-K490</f>
        <v>0</v>
      </c>
      <c r="M490" s="45"/>
    </row>
    <row r="491" spans="1:13" ht="30" customHeight="1" x14ac:dyDescent="0.2">
      <c r="A491" s="4">
        <v>332</v>
      </c>
      <c r="B491" s="45" t="s">
        <v>378</v>
      </c>
      <c r="C491" s="579" t="s">
        <v>379</v>
      </c>
      <c r="D491" s="575">
        <v>30000000</v>
      </c>
      <c r="E491" s="586">
        <v>0.05</v>
      </c>
      <c r="F491" s="575">
        <f t="shared" si="33"/>
        <v>1500000</v>
      </c>
      <c r="G491" s="575">
        <v>1500000</v>
      </c>
      <c r="H491" s="575" t="s">
        <v>1898</v>
      </c>
      <c r="I491" s="585" t="s">
        <v>1951</v>
      </c>
      <c r="J491" s="24" t="s">
        <v>1952</v>
      </c>
      <c r="K491" s="574">
        <f>G491</f>
        <v>1500000</v>
      </c>
      <c r="L491" s="574">
        <f>F491-K491</f>
        <v>0</v>
      </c>
      <c r="M491" s="45"/>
    </row>
    <row r="492" spans="1:13" ht="30" customHeight="1" x14ac:dyDescent="0.2">
      <c r="A492" s="2031">
        <v>333</v>
      </c>
      <c r="B492" s="2029" t="s">
        <v>915</v>
      </c>
      <c r="C492" s="380" t="s">
        <v>916</v>
      </c>
      <c r="D492" s="368">
        <v>320000000</v>
      </c>
      <c r="E492" s="20">
        <v>0.05</v>
      </c>
      <c r="F492" s="368">
        <f t="shared" si="33"/>
        <v>16000000</v>
      </c>
      <c r="G492" s="368">
        <v>16000000</v>
      </c>
      <c r="H492" s="368" t="s">
        <v>926</v>
      </c>
      <c r="I492" s="36" t="s">
        <v>1394</v>
      </c>
      <c r="J492" s="24" t="s">
        <v>1395</v>
      </c>
      <c r="K492" s="2157"/>
      <c r="L492" s="2157"/>
      <c r="M492" s="2101"/>
    </row>
    <row r="493" spans="1:13" ht="30" customHeight="1" x14ac:dyDescent="0.2">
      <c r="A493" s="2032"/>
      <c r="B493" s="2030"/>
      <c r="C493" s="380" t="s">
        <v>917</v>
      </c>
      <c r="D493" s="368">
        <v>100000000</v>
      </c>
      <c r="E493" s="20">
        <v>0.05</v>
      </c>
      <c r="F493" s="368">
        <f t="shared" si="33"/>
        <v>5000000</v>
      </c>
      <c r="G493" s="368"/>
      <c r="H493" s="368"/>
      <c r="I493" s="374"/>
      <c r="J493" s="24"/>
      <c r="K493" s="2157"/>
      <c r="L493" s="2157"/>
      <c r="M493" s="2102"/>
    </row>
    <row r="494" spans="1:13" ht="30" customHeight="1" x14ac:dyDescent="0.2">
      <c r="A494" s="4">
        <v>334</v>
      </c>
      <c r="B494" s="364" t="s">
        <v>1312</v>
      </c>
      <c r="C494" s="380" t="s">
        <v>916</v>
      </c>
      <c r="D494" s="368">
        <v>100000000</v>
      </c>
      <c r="E494" s="20">
        <v>0.05</v>
      </c>
      <c r="F494" s="368">
        <f t="shared" si="33"/>
        <v>5000000</v>
      </c>
      <c r="G494" s="368"/>
      <c r="H494" s="368"/>
      <c r="I494" s="374"/>
      <c r="J494" s="24"/>
      <c r="K494" s="368"/>
      <c r="L494" s="368"/>
      <c r="M494" s="45"/>
    </row>
    <row r="495" spans="1:13" ht="30" customHeight="1" x14ac:dyDescent="0.2">
      <c r="A495" s="4">
        <v>335</v>
      </c>
      <c r="B495" s="364" t="s">
        <v>1328</v>
      </c>
      <c r="C495" s="380" t="s">
        <v>916</v>
      </c>
      <c r="D495" s="368">
        <v>10000000</v>
      </c>
      <c r="E495" s="20">
        <v>0.05</v>
      </c>
      <c r="F495" s="368">
        <f t="shared" si="33"/>
        <v>500000</v>
      </c>
      <c r="G495" s="368"/>
      <c r="H495" s="368"/>
      <c r="I495" s="374"/>
      <c r="J495" s="24"/>
      <c r="K495" s="368"/>
      <c r="L495" s="368"/>
      <c r="M495" s="45"/>
    </row>
    <row r="496" spans="1:13" ht="30" customHeight="1" x14ac:dyDescent="0.2">
      <c r="A496" s="4">
        <v>336</v>
      </c>
      <c r="B496" s="364" t="s">
        <v>1339</v>
      </c>
      <c r="C496" s="380"/>
      <c r="D496" s="391"/>
      <c r="E496" s="44"/>
      <c r="F496" s="368">
        <v>10500000</v>
      </c>
      <c r="G496" s="368">
        <v>10500000</v>
      </c>
      <c r="H496" s="368" t="s">
        <v>926</v>
      </c>
      <c r="I496" s="403" t="s">
        <v>1388</v>
      </c>
      <c r="J496" s="24" t="s">
        <v>1389</v>
      </c>
      <c r="K496" s="368">
        <f>G496</f>
        <v>10500000</v>
      </c>
      <c r="L496" s="368">
        <f>F496-K496</f>
        <v>0</v>
      </c>
      <c r="M496" s="45"/>
    </row>
    <row r="497" spans="1:18" ht="30" customHeight="1" x14ac:dyDescent="0.2">
      <c r="A497" s="4">
        <v>337</v>
      </c>
      <c r="B497" s="364" t="s">
        <v>1376</v>
      </c>
      <c r="C497" s="380" t="s">
        <v>916</v>
      </c>
      <c r="D497" s="368">
        <v>80000000</v>
      </c>
      <c r="E497" s="20">
        <v>7.0000000000000007E-2</v>
      </c>
      <c r="F497" s="368">
        <f t="shared" ref="F497:F507" si="34">D497*E497</f>
        <v>5600000.0000000009</v>
      </c>
      <c r="G497" s="368">
        <v>5600000</v>
      </c>
      <c r="H497" s="368" t="s">
        <v>1566</v>
      </c>
      <c r="I497" s="374" t="s">
        <v>1669</v>
      </c>
      <c r="J497" s="24" t="s">
        <v>1670</v>
      </c>
      <c r="K497" s="368">
        <f>G497</f>
        <v>5600000</v>
      </c>
      <c r="L497" s="368">
        <f>G497-K497</f>
        <v>0</v>
      </c>
      <c r="M497" s="45"/>
    </row>
    <row r="498" spans="1:18" ht="30" customHeight="1" x14ac:dyDescent="0.2">
      <c r="A498" s="2031">
        <v>338</v>
      </c>
      <c r="B498" s="2029" t="s">
        <v>1780</v>
      </c>
      <c r="C498" s="2149"/>
      <c r="D498" s="368">
        <v>235500000</v>
      </c>
      <c r="E498" s="20">
        <v>0.05</v>
      </c>
      <c r="F498" s="471">
        <f t="shared" si="34"/>
        <v>11775000</v>
      </c>
      <c r="G498" s="368">
        <v>20000000</v>
      </c>
      <c r="H498" s="2154" t="s">
        <v>1582</v>
      </c>
      <c r="I498" s="2155"/>
      <c r="J498" s="2155"/>
      <c r="K498" s="2156"/>
      <c r="L498" s="2040">
        <f>(F498+F499)-K499</f>
        <v>0</v>
      </c>
      <c r="M498" s="2101"/>
    </row>
    <row r="499" spans="1:18" ht="30" customHeight="1" x14ac:dyDescent="0.2">
      <c r="A499" s="2034"/>
      <c r="B499" s="2033"/>
      <c r="C499" s="2158"/>
      <c r="D499" s="460">
        <v>300000000</v>
      </c>
      <c r="E499" s="20">
        <v>7.0000000000000007E-2</v>
      </c>
      <c r="F499" s="471">
        <f t="shared" ref="F499:F500" si="35">D499*E499</f>
        <v>21000000.000000004</v>
      </c>
      <c r="G499" s="531">
        <v>12775000</v>
      </c>
      <c r="H499" s="535" t="s">
        <v>1804</v>
      </c>
      <c r="I499" s="535">
        <v>15630</v>
      </c>
      <c r="J499" s="535" t="s">
        <v>1823</v>
      </c>
      <c r="K499" s="535">
        <f>G498+G499</f>
        <v>32775000</v>
      </c>
      <c r="L499" s="2042"/>
      <c r="M499" s="2102"/>
    </row>
    <row r="500" spans="1:18" ht="30" customHeight="1" x14ac:dyDescent="0.2">
      <c r="A500" s="2034"/>
      <c r="B500" s="2033"/>
      <c r="C500" s="2158"/>
      <c r="D500" s="368">
        <v>30000000</v>
      </c>
      <c r="E500" s="20">
        <v>7.0000000000000007E-2</v>
      </c>
      <c r="F500" s="483">
        <f t="shared" si="35"/>
        <v>2100000</v>
      </c>
      <c r="G500" s="2154" t="s">
        <v>1578</v>
      </c>
      <c r="H500" s="2155"/>
      <c r="I500" s="2155"/>
      <c r="J500" s="2155"/>
      <c r="K500" s="2156"/>
      <c r="L500" s="368"/>
      <c r="M500" s="45"/>
    </row>
    <row r="501" spans="1:18" ht="30" customHeight="1" x14ac:dyDescent="0.2">
      <c r="A501" s="2034"/>
      <c r="B501" s="2033"/>
      <c r="C501" s="2158"/>
      <c r="D501" s="552">
        <v>20000000</v>
      </c>
      <c r="E501" s="547">
        <v>7.0000000000000007E-2</v>
      </c>
      <c r="F501" s="563">
        <f>D501*E501</f>
        <v>1400000.0000000002</v>
      </c>
      <c r="G501" s="2154" t="s">
        <v>1580</v>
      </c>
      <c r="H501" s="2155"/>
      <c r="I501" s="2155"/>
      <c r="J501" s="2155"/>
      <c r="K501" s="2156"/>
      <c r="L501" s="545"/>
      <c r="M501" s="45"/>
    </row>
    <row r="502" spans="1:18" ht="30" customHeight="1" x14ac:dyDescent="0.2">
      <c r="A502" s="2032"/>
      <c r="B502" s="2030"/>
      <c r="C502" s="2150"/>
      <c r="D502" s="467">
        <v>12000000</v>
      </c>
      <c r="E502" s="461">
        <v>7.0000000000000007E-2</v>
      </c>
      <c r="F502" s="484">
        <f>D502*E502</f>
        <v>840000.00000000012</v>
      </c>
      <c r="G502" s="2154" t="s">
        <v>1578</v>
      </c>
      <c r="H502" s="2155"/>
      <c r="I502" s="2155"/>
      <c r="J502" s="2155"/>
      <c r="K502" s="2156"/>
      <c r="L502" s="467"/>
      <c r="M502" s="428" t="s">
        <v>1581</v>
      </c>
    </row>
    <row r="503" spans="1:18" ht="30" customHeight="1" x14ac:dyDescent="0.2">
      <c r="A503" s="2031">
        <v>339</v>
      </c>
      <c r="B503" s="2029" t="s">
        <v>173</v>
      </c>
      <c r="C503" s="2149" t="s">
        <v>1378</v>
      </c>
      <c r="D503" s="2040">
        <v>300000000</v>
      </c>
      <c r="E503" s="2037">
        <v>7.0000000000000007E-2</v>
      </c>
      <c r="F503" s="2040">
        <f t="shared" si="34"/>
        <v>21000000.000000004</v>
      </c>
      <c r="G503" s="399">
        <v>50000000</v>
      </c>
      <c r="H503" s="399" t="s">
        <v>1052</v>
      </c>
      <c r="I503" s="399">
        <v>2293</v>
      </c>
      <c r="J503" s="399" t="s">
        <v>1414</v>
      </c>
      <c r="K503" s="2040">
        <f>G503+G504+G505</f>
        <v>125000000</v>
      </c>
      <c r="L503" s="2040">
        <f>125000000-K503</f>
        <v>0</v>
      </c>
      <c r="M503" s="2214" t="s">
        <v>1500</v>
      </c>
      <c r="N503" s="264"/>
      <c r="O503" s="264"/>
      <c r="P503" s="264"/>
      <c r="Q503" s="264"/>
      <c r="R503" s="264"/>
    </row>
    <row r="504" spans="1:18" ht="30" customHeight="1" x14ac:dyDescent="0.2">
      <c r="A504" s="2034"/>
      <c r="B504" s="2033"/>
      <c r="C504" s="2158"/>
      <c r="D504" s="2041"/>
      <c r="E504" s="2038"/>
      <c r="F504" s="2041"/>
      <c r="G504" s="416">
        <v>50000000</v>
      </c>
      <c r="H504" s="416" t="s">
        <v>1431</v>
      </c>
      <c r="I504" s="416">
        <v>173</v>
      </c>
      <c r="J504" s="416" t="s">
        <v>1414</v>
      </c>
      <c r="K504" s="2041"/>
      <c r="L504" s="2042"/>
      <c r="M504" s="2215"/>
      <c r="N504" s="264"/>
      <c r="O504" s="264"/>
      <c r="P504" s="264"/>
      <c r="Q504" s="264"/>
      <c r="R504" s="264"/>
    </row>
    <row r="505" spans="1:18" ht="30" customHeight="1" x14ac:dyDescent="0.2">
      <c r="A505" s="2034"/>
      <c r="B505" s="2033"/>
      <c r="C505" s="2158"/>
      <c r="D505" s="2042"/>
      <c r="E505" s="2039"/>
      <c r="F505" s="2042"/>
      <c r="G505" s="416">
        <v>25000000</v>
      </c>
      <c r="H505" s="416" t="s">
        <v>1477</v>
      </c>
      <c r="I505" s="434">
        <v>3010</v>
      </c>
      <c r="J505" s="416" t="s">
        <v>1499</v>
      </c>
      <c r="K505" s="2042"/>
      <c r="L505" s="411"/>
      <c r="M505" s="441"/>
      <c r="N505" s="264"/>
      <c r="O505" s="264"/>
      <c r="P505" s="264"/>
      <c r="Q505" s="264"/>
      <c r="R505" s="264"/>
    </row>
    <row r="506" spans="1:18" ht="30" customHeight="1" x14ac:dyDescent="0.2">
      <c r="A506" s="2032"/>
      <c r="B506" s="2030"/>
      <c r="C506" s="2150"/>
      <c r="D506" s="368">
        <v>200000000</v>
      </c>
      <c r="E506" s="20">
        <v>7.0000000000000007E-2</v>
      </c>
      <c r="F506" s="368">
        <f t="shared" si="34"/>
        <v>14000000.000000002</v>
      </c>
      <c r="G506" s="430"/>
      <c r="H506" s="430"/>
      <c r="I506" s="430"/>
      <c r="J506" s="430"/>
      <c r="K506" s="430"/>
      <c r="L506" s="430"/>
      <c r="M506" s="428" t="s">
        <v>1379</v>
      </c>
      <c r="N506" s="429"/>
      <c r="O506" s="429"/>
      <c r="P506" s="429"/>
      <c r="Q506" s="429"/>
      <c r="R506" s="429"/>
    </row>
    <row r="507" spans="1:18" ht="30" customHeight="1" x14ac:dyDescent="0.2">
      <c r="A507" s="2031">
        <v>340</v>
      </c>
      <c r="B507" s="2029" t="s">
        <v>68</v>
      </c>
      <c r="C507" s="2149" t="s">
        <v>1175</v>
      </c>
      <c r="D507" s="2040">
        <v>40000000</v>
      </c>
      <c r="E507" s="2037">
        <v>0.05</v>
      </c>
      <c r="F507" s="2040">
        <f t="shared" si="34"/>
        <v>2000000</v>
      </c>
      <c r="G507" s="390">
        <v>2000000</v>
      </c>
      <c r="H507" s="390" t="s">
        <v>926</v>
      </c>
      <c r="I507" s="434">
        <v>653586300720</v>
      </c>
      <c r="J507" s="399" t="s">
        <v>1392</v>
      </c>
      <c r="K507" s="390">
        <f t="shared" ref="K507:K519" si="36">G507</f>
        <v>2000000</v>
      </c>
      <c r="L507" s="433">
        <f>F507-K507</f>
        <v>0</v>
      </c>
      <c r="M507" s="948" t="s">
        <v>2392</v>
      </c>
      <c r="N507" s="429"/>
      <c r="O507" s="429"/>
      <c r="P507" s="429"/>
      <c r="Q507" s="429"/>
      <c r="R507" s="429"/>
    </row>
    <row r="508" spans="1:18" ht="30" customHeight="1" x14ac:dyDescent="0.2">
      <c r="A508" s="2034"/>
      <c r="B508" s="2033"/>
      <c r="C508" s="2158"/>
      <c r="D508" s="2042"/>
      <c r="E508" s="2039"/>
      <c r="F508" s="2042"/>
      <c r="G508" s="2154" t="s">
        <v>2575</v>
      </c>
      <c r="H508" s="2155"/>
      <c r="I508" s="2155"/>
      <c r="J508" s="2155"/>
      <c r="K508" s="2156"/>
      <c r="L508" s="944"/>
      <c r="M508" s="908"/>
      <c r="N508" s="429"/>
      <c r="O508" s="429"/>
      <c r="P508" s="429"/>
      <c r="Q508" s="429"/>
      <c r="R508" s="429"/>
    </row>
    <row r="509" spans="1:18" ht="30" customHeight="1" x14ac:dyDescent="0.2">
      <c r="A509" s="2032"/>
      <c r="B509" s="2030"/>
      <c r="C509" s="2150"/>
      <c r="D509" s="935">
        <v>60000000</v>
      </c>
      <c r="E509" s="943">
        <v>0.05</v>
      </c>
      <c r="F509" s="935">
        <f>D509*E509</f>
        <v>3000000</v>
      </c>
      <c r="G509" s="2192" t="s">
        <v>2337</v>
      </c>
      <c r="H509" s="2193"/>
      <c r="I509" s="2193"/>
      <c r="J509" s="2193"/>
      <c r="K509" s="2194"/>
      <c r="L509" s="944"/>
      <c r="M509" s="961"/>
      <c r="N509" s="429"/>
      <c r="O509" s="429"/>
      <c r="P509" s="429"/>
      <c r="Q509" s="429"/>
      <c r="R509" s="429"/>
    </row>
    <row r="510" spans="1:18" ht="30" customHeight="1" x14ac:dyDescent="0.2">
      <c r="A510" s="387">
        <v>341</v>
      </c>
      <c r="B510" s="388" t="s">
        <v>1429</v>
      </c>
      <c r="C510" s="400"/>
      <c r="D510" s="410"/>
      <c r="E510" s="44"/>
      <c r="F510" s="410"/>
      <c r="G510" s="390">
        <v>4300000</v>
      </c>
      <c r="H510" s="390" t="s">
        <v>1052</v>
      </c>
      <c r="I510" s="434">
        <v>938651</v>
      </c>
      <c r="J510" s="395" t="s">
        <v>1430</v>
      </c>
      <c r="K510" s="390">
        <f t="shared" si="36"/>
        <v>4300000</v>
      </c>
      <c r="L510" s="433">
        <f>G510-K510</f>
        <v>0</v>
      </c>
      <c r="M510" s="428"/>
      <c r="N510" s="429"/>
      <c r="O510" s="429"/>
      <c r="P510" s="429"/>
      <c r="Q510" s="429"/>
      <c r="R510" s="429"/>
    </row>
    <row r="511" spans="1:18" ht="30" customHeight="1" x14ac:dyDescent="0.2">
      <c r="A511" s="690">
        <v>342</v>
      </c>
      <c r="B511" s="409" t="s">
        <v>72</v>
      </c>
      <c r="C511" s="418" t="s">
        <v>2498</v>
      </c>
      <c r="D511" s="411">
        <v>110000000</v>
      </c>
      <c r="E511" s="20">
        <v>0.05</v>
      </c>
      <c r="F511" s="411">
        <f>D511*E511</f>
        <v>5500000</v>
      </c>
      <c r="G511" s="411">
        <v>5500000</v>
      </c>
      <c r="H511" s="411" t="s">
        <v>1431</v>
      </c>
      <c r="I511" s="434">
        <v>160320</v>
      </c>
      <c r="J511" s="417" t="s">
        <v>1433</v>
      </c>
      <c r="K511" s="411">
        <f t="shared" si="36"/>
        <v>5500000</v>
      </c>
      <c r="L511" s="433">
        <f>F511-K511</f>
        <v>0</v>
      </c>
      <c r="M511" s="428"/>
      <c r="N511" s="429"/>
      <c r="O511" s="429"/>
      <c r="P511" s="429"/>
      <c r="Q511" s="429"/>
      <c r="R511" s="429"/>
    </row>
    <row r="512" spans="1:18" ht="30" customHeight="1" x14ac:dyDescent="0.2">
      <c r="A512" s="2031">
        <v>343</v>
      </c>
      <c r="B512" s="2029" t="s">
        <v>1437</v>
      </c>
      <c r="C512" s="2149"/>
      <c r="D512" s="2080"/>
      <c r="E512" s="2082"/>
      <c r="F512" s="2080"/>
      <c r="G512" s="411">
        <v>320000</v>
      </c>
      <c r="H512" s="411" t="s">
        <v>1431</v>
      </c>
      <c r="I512" s="434">
        <v>544031</v>
      </c>
      <c r="J512" s="417" t="s">
        <v>1438</v>
      </c>
      <c r="K512" s="411">
        <f t="shared" si="36"/>
        <v>320000</v>
      </c>
      <c r="L512" s="440">
        <f>F512-K512</f>
        <v>-320000</v>
      </c>
      <c r="M512" s="2210"/>
      <c r="N512" s="429"/>
      <c r="O512" s="429"/>
      <c r="P512" s="429"/>
      <c r="Q512" s="429"/>
      <c r="R512" s="429"/>
    </row>
    <row r="513" spans="1:18" ht="30" customHeight="1" x14ac:dyDescent="0.2">
      <c r="A513" s="2032"/>
      <c r="B513" s="2030"/>
      <c r="C513" s="2150"/>
      <c r="D513" s="2081"/>
      <c r="E513" s="2083"/>
      <c r="F513" s="2081"/>
      <c r="G513" s="986">
        <v>320000</v>
      </c>
      <c r="H513" s="986" t="s">
        <v>2626</v>
      </c>
      <c r="I513" s="434">
        <v>657949149020</v>
      </c>
      <c r="J513" s="993" t="s">
        <v>1438</v>
      </c>
      <c r="K513" s="986">
        <f>G513</f>
        <v>320000</v>
      </c>
      <c r="L513" s="996">
        <f>F513-K513</f>
        <v>-320000</v>
      </c>
      <c r="M513" s="2211"/>
      <c r="N513" s="429"/>
      <c r="O513" s="429"/>
      <c r="P513" s="429"/>
      <c r="Q513" s="429"/>
      <c r="R513" s="429"/>
    </row>
    <row r="514" spans="1:18" ht="30" customHeight="1" x14ac:dyDescent="0.2">
      <c r="A514" s="690">
        <v>344</v>
      </c>
      <c r="B514" s="409" t="s">
        <v>1445</v>
      </c>
      <c r="C514" s="418"/>
      <c r="D514" s="410"/>
      <c r="E514" s="44"/>
      <c r="F514" s="410"/>
      <c r="G514" s="411">
        <v>6500000</v>
      </c>
      <c r="H514" s="411" t="s">
        <v>1431</v>
      </c>
      <c r="I514" s="434">
        <v>884418440</v>
      </c>
      <c r="J514" s="417" t="s">
        <v>1446</v>
      </c>
      <c r="K514" s="411">
        <f t="shared" si="36"/>
        <v>6500000</v>
      </c>
      <c r="L514" s="440">
        <f>F514-K514</f>
        <v>-6500000</v>
      </c>
      <c r="M514" s="428"/>
      <c r="N514" s="429"/>
      <c r="O514" s="429"/>
      <c r="P514" s="429"/>
      <c r="Q514" s="429"/>
      <c r="R514" s="429"/>
    </row>
    <row r="515" spans="1:18" ht="30" customHeight="1" x14ac:dyDescent="0.2">
      <c r="A515" s="690">
        <v>345</v>
      </c>
      <c r="B515" s="409" t="s">
        <v>2210</v>
      </c>
      <c r="C515" s="418" t="s">
        <v>1354</v>
      </c>
      <c r="D515" s="411">
        <v>60000000</v>
      </c>
      <c r="E515" s="20">
        <v>7.0000000000000007E-2</v>
      </c>
      <c r="F515" s="411">
        <f>D515*E515</f>
        <v>4200000</v>
      </c>
      <c r="G515" s="411">
        <v>4200000</v>
      </c>
      <c r="H515" s="411" t="s">
        <v>2202</v>
      </c>
      <c r="I515" s="434">
        <v>122385850637</v>
      </c>
      <c r="J515" s="417" t="s">
        <v>2211</v>
      </c>
      <c r="K515" s="411">
        <f t="shared" si="36"/>
        <v>4200000</v>
      </c>
      <c r="L515" s="722">
        <f>G515-K515</f>
        <v>0</v>
      </c>
      <c r="M515" s="428"/>
      <c r="N515" s="429"/>
      <c r="O515" s="429"/>
      <c r="P515" s="429"/>
      <c r="Q515" s="429"/>
      <c r="R515" s="429"/>
    </row>
    <row r="516" spans="1:18" ht="30" customHeight="1" x14ac:dyDescent="0.2">
      <c r="A516" s="690">
        <v>346</v>
      </c>
      <c r="B516" s="409" t="s">
        <v>1452</v>
      </c>
      <c r="C516" s="418"/>
      <c r="D516" s="410"/>
      <c r="E516" s="44"/>
      <c r="F516" s="410"/>
      <c r="G516" s="411">
        <v>250000</v>
      </c>
      <c r="H516" s="411" t="s">
        <v>1431</v>
      </c>
      <c r="I516" s="434">
        <v>551577</v>
      </c>
      <c r="J516" s="417" t="s">
        <v>1453</v>
      </c>
      <c r="K516" s="411">
        <f t="shared" si="36"/>
        <v>250000</v>
      </c>
      <c r="L516" s="440">
        <f>F516-K516</f>
        <v>-250000</v>
      </c>
      <c r="M516" s="428"/>
      <c r="N516" s="429"/>
      <c r="O516" s="429"/>
      <c r="P516" s="429"/>
      <c r="Q516" s="429"/>
      <c r="R516" s="429"/>
    </row>
    <row r="517" spans="1:18" ht="30" customHeight="1" x14ac:dyDescent="0.2">
      <c r="A517" s="690">
        <v>347</v>
      </c>
      <c r="B517" s="409" t="s">
        <v>181</v>
      </c>
      <c r="C517" s="418"/>
      <c r="D517" s="411">
        <v>130000000</v>
      </c>
      <c r="E517" s="20">
        <v>0.05</v>
      </c>
      <c r="F517" s="411">
        <f>D517*E517</f>
        <v>6500000</v>
      </c>
      <c r="G517" s="411">
        <v>6500000</v>
      </c>
      <c r="H517" s="411" t="s">
        <v>1431</v>
      </c>
      <c r="I517" s="434">
        <v>525106</v>
      </c>
      <c r="J517" s="417" t="s">
        <v>1458</v>
      </c>
      <c r="K517" s="411">
        <f t="shared" si="36"/>
        <v>6500000</v>
      </c>
      <c r="L517" s="433">
        <f>F517-K517</f>
        <v>0</v>
      </c>
      <c r="M517" s="428"/>
      <c r="N517" s="429"/>
      <c r="O517" s="429"/>
      <c r="P517" s="429"/>
      <c r="Q517" s="429"/>
      <c r="R517" s="429"/>
    </row>
    <row r="518" spans="1:18" ht="30" customHeight="1" x14ac:dyDescent="0.2">
      <c r="A518" s="2031">
        <v>348</v>
      </c>
      <c r="B518" s="2029" t="s">
        <v>1480</v>
      </c>
      <c r="C518" s="2149" t="s">
        <v>1378</v>
      </c>
      <c r="D518" s="2040">
        <v>50000000</v>
      </c>
      <c r="E518" s="2037">
        <v>0.04</v>
      </c>
      <c r="F518" s="2040">
        <f>D518*E518</f>
        <v>2000000</v>
      </c>
      <c r="G518" s="411">
        <v>2000000</v>
      </c>
      <c r="H518" s="411" t="s">
        <v>1477</v>
      </c>
      <c r="I518" s="434">
        <v>731008</v>
      </c>
      <c r="J518" s="417" t="s">
        <v>1481</v>
      </c>
      <c r="K518" s="411">
        <f t="shared" si="36"/>
        <v>2000000</v>
      </c>
      <c r="L518" s="433">
        <f>F518-K518</f>
        <v>0</v>
      </c>
      <c r="M518" s="428" t="s">
        <v>2362</v>
      </c>
      <c r="N518" s="429"/>
      <c r="O518" s="429"/>
      <c r="P518" s="429"/>
      <c r="Q518" s="429"/>
      <c r="R518" s="429"/>
    </row>
    <row r="519" spans="1:18" ht="30" customHeight="1" x14ac:dyDescent="0.2">
      <c r="A519" s="2032"/>
      <c r="B519" s="2030"/>
      <c r="C519" s="2150"/>
      <c r="D519" s="2042"/>
      <c r="E519" s="2039"/>
      <c r="F519" s="2042"/>
      <c r="G519" s="738">
        <v>2000000</v>
      </c>
      <c r="H519" s="738" t="s">
        <v>2295</v>
      </c>
      <c r="I519" s="434">
        <v>890776915</v>
      </c>
      <c r="J519" s="743" t="s">
        <v>1481</v>
      </c>
      <c r="K519" s="738">
        <f t="shared" si="36"/>
        <v>2000000</v>
      </c>
      <c r="L519" s="750">
        <f>G519-K519</f>
        <v>0</v>
      </c>
      <c r="M519" s="428"/>
      <c r="N519" s="429"/>
      <c r="O519" s="429"/>
      <c r="P519" s="429"/>
      <c r="Q519" s="429"/>
      <c r="R519" s="429"/>
    </row>
    <row r="520" spans="1:18" ht="30" customHeight="1" x14ac:dyDescent="0.2">
      <c r="A520" s="690">
        <v>349</v>
      </c>
      <c r="B520" s="436" t="s">
        <v>1619</v>
      </c>
      <c r="C520" s="439"/>
      <c r="D520" s="437">
        <v>80000000</v>
      </c>
      <c r="E520" s="20">
        <v>0.04</v>
      </c>
      <c r="F520" s="437">
        <f>D520*E520</f>
        <v>3200000</v>
      </c>
      <c r="G520" s="437"/>
      <c r="H520" s="437"/>
      <c r="I520" s="434"/>
      <c r="J520" s="438"/>
      <c r="K520" s="437"/>
      <c r="L520" s="433">
        <f t="shared" ref="L520:L527" si="37">F520-K520</f>
        <v>3200000</v>
      </c>
      <c r="M520" s="428"/>
      <c r="N520" s="429"/>
      <c r="O520" s="429"/>
      <c r="P520" s="429"/>
      <c r="Q520" s="429"/>
      <c r="R520" s="429"/>
    </row>
    <row r="521" spans="1:18" ht="30" customHeight="1" x14ac:dyDescent="0.2">
      <c r="A521" s="690">
        <v>350</v>
      </c>
      <c r="B521" s="458" t="s">
        <v>1650</v>
      </c>
      <c r="C521" s="459"/>
      <c r="D521" s="460">
        <v>110000000</v>
      </c>
      <c r="E521" s="2271" t="s">
        <v>1652</v>
      </c>
      <c r="F521" s="2272"/>
      <c r="G521" s="460">
        <v>9000000</v>
      </c>
      <c r="H521" s="460" t="s">
        <v>1566</v>
      </c>
      <c r="I521" s="434">
        <v>792864814515</v>
      </c>
      <c r="J521" s="470" t="s">
        <v>1651</v>
      </c>
      <c r="K521" s="460">
        <f>G521</f>
        <v>9000000</v>
      </c>
      <c r="L521" s="440">
        <f t="shared" si="37"/>
        <v>-9000000</v>
      </c>
      <c r="M521" s="428"/>
      <c r="N521" s="429"/>
      <c r="O521" s="429"/>
      <c r="P521" s="429"/>
      <c r="Q521" s="429"/>
      <c r="R521" s="429"/>
    </row>
    <row r="522" spans="1:18" ht="30" customHeight="1" x14ac:dyDescent="0.2">
      <c r="A522" s="690">
        <v>351</v>
      </c>
      <c r="B522" s="458" t="s">
        <v>1654</v>
      </c>
      <c r="C522" s="459"/>
      <c r="D522" s="460">
        <v>560000000</v>
      </c>
      <c r="E522" s="20">
        <v>7.0000000000000007E-2</v>
      </c>
      <c r="F522" s="460">
        <f>D522*E522</f>
        <v>39200000.000000007</v>
      </c>
      <c r="G522" s="460">
        <v>39200000</v>
      </c>
      <c r="H522" s="460" t="s">
        <v>1566</v>
      </c>
      <c r="I522" s="434">
        <v>10165</v>
      </c>
      <c r="J522" s="470" t="s">
        <v>1655</v>
      </c>
      <c r="K522" s="460">
        <f>G522</f>
        <v>39200000</v>
      </c>
      <c r="L522" s="433">
        <f t="shared" si="37"/>
        <v>0</v>
      </c>
      <c r="M522" s="428"/>
      <c r="N522" s="429"/>
      <c r="O522" s="429"/>
      <c r="P522" s="429"/>
      <c r="Q522" s="429"/>
      <c r="R522" s="429"/>
    </row>
    <row r="523" spans="1:18" ht="30" customHeight="1" x14ac:dyDescent="0.2">
      <c r="A523" s="690">
        <v>352</v>
      </c>
      <c r="B523" s="458" t="s">
        <v>1657</v>
      </c>
      <c r="C523" s="459"/>
      <c r="D523" s="1193">
        <v>50000000</v>
      </c>
      <c r="E523" s="1196">
        <v>7.0000000000000007E-2</v>
      </c>
      <c r="F523" s="1193">
        <f>D523*E523</f>
        <v>3500000.0000000005</v>
      </c>
      <c r="G523" s="1193">
        <v>3500000</v>
      </c>
      <c r="H523" s="1193" t="s">
        <v>1566</v>
      </c>
      <c r="I523" s="434">
        <v>885318080</v>
      </c>
      <c r="J523" s="1194" t="s">
        <v>1658</v>
      </c>
      <c r="K523" s="1193">
        <f>G523</f>
        <v>3500000</v>
      </c>
      <c r="L523" s="1195">
        <f t="shared" si="37"/>
        <v>0</v>
      </c>
      <c r="M523" s="428"/>
      <c r="N523" s="429"/>
      <c r="O523" s="429"/>
      <c r="P523" s="429"/>
      <c r="Q523" s="429"/>
      <c r="R523" s="429"/>
    </row>
    <row r="524" spans="1:18" ht="30" customHeight="1" x14ac:dyDescent="0.2">
      <c r="A524" s="690">
        <v>353</v>
      </c>
      <c r="B524" s="458" t="s">
        <v>1661</v>
      </c>
      <c r="C524" s="459"/>
      <c r="D524" s="460">
        <v>50000000</v>
      </c>
      <c r="E524" s="44"/>
      <c r="F524" s="463"/>
      <c r="G524" s="460"/>
      <c r="H524" s="460"/>
      <c r="I524" s="434"/>
      <c r="J524" s="470"/>
      <c r="K524" s="460"/>
      <c r="L524" s="433">
        <f t="shared" si="37"/>
        <v>0</v>
      </c>
      <c r="M524" s="428" t="s">
        <v>1662</v>
      </c>
      <c r="N524" s="429"/>
      <c r="O524" s="429"/>
      <c r="P524" s="429"/>
      <c r="Q524" s="429"/>
      <c r="R524" s="429"/>
    </row>
    <row r="525" spans="1:18" ht="30" customHeight="1" x14ac:dyDescent="0.2">
      <c r="A525" s="690">
        <v>354</v>
      </c>
      <c r="B525" s="476" t="s">
        <v>1674</v>
      </c>
      <c r="C525" s="478"/>
      <c r="D525" s="477">
        <v>70000000</v>
      </c>
      <c r="E525" s="20">
        <v>0.04</v>
      </c>
      <c r="F525" s="477">
        <f>D525*E525</f>
        <v>2800000</v>
      </c>
      <c r="G525" s="477">
        <v>2800000</v>
      </c>
      <c r="H525" s="477" t="s">
        <v>1566</v>
      </c>
      <c r="I525" s="434">
        <v>885369253</v>
      </c>
      <c r="J525" s="434" t="s">
        <v>1675</v>
      </c>
      <c r="K525" s="477">
        <f>G525</f>
        <v>2800000</v>
      </c>
      <c r="L525" s="433">
        <f t="shared" si="37"/>
        <v>0</v>
      </c>
      <c r="M525" s="428"/>
      <c r="N525" s="429"/>
      <c r="O525" s="429"/>
      <c r="P525" s="429"/>
      <c r="Q525" s="429"/>
      <c r="R525" s="429"/>
    </row>
    <row r="526" spans="1:18" ht="30" customHeight="1" x14ac:dyDescent="0.2">
      <c r="A526" s="690">
        <v>355</v>
      </c>
      <c r="B526" s="501" t="s">
        <v>1679</v>
      </c>
      <c r="C526" s="503"/>
      <c r="D526" s="1156">
        <v>115000000</v>
      </c>
      <c r="E526" s="1167">
        <v>0.05</v>
      </c>
      <c r="F526" s="1156">
        <f>D526*E526</f>
        <v>5750000</v>
      </c>
      <c r="G526" s="1156">
        <v>5000000</v>
      </c>
      <c r="H526" s="1156" t="s">
        <v>1566</v>
      </c>
      <c r="I526" s="434">
        <v>121954245813</v>
      </c>
      <c r="J526" s="518" t="s">
        <v>1680</v>
      </c>
      <c r="K526" s="1156">
        <f>G526</f>
        <v>5000000</v>
      </c>
      <c r="L526" s="1165">
        <f t="shared" si="37"/>
        <v>750000</v>
      </c>
      <c r="M526" s="428"/>
      <c r="N526" s="429"/>
      <c r="O526" s="429"/>
      <c r="P526" s="429"/>
      <c r="Q526" s="429"/>
      <c r="R526" s="429"/>
    </row>
    <row r="527" spans="1:18" ht="30" customHeight="1" x14ac:dyDescent="0.2">
      <c r="A527" s="690">
        <v>356</v>
      </c>
      <c r="B527" s="501" t="s">
        <v>1687</v>
      </c>
      <c r="C527" s="503"/>
      <c r="D527" s="504"/>
      <c r="E527" s="44"/>
      <c r="F527" s="504"/>
      <c r="G527" s="500">
        <v>2800000</v>
      </c>
      <c r="H527" s="500" t="s">
        <v>1566</v>
      </c>
      <c r="I527" s="434">
        <v>885445016</v>
      </c>
      <c r="J527" s="518" t="s">
        <v>1688</v>
      </c>
      <c r="K527" s="500">
        <f>G527</f>
        <v>2800000</v>
      </c>
      <c r="L527" s="440">
        <f t="shared" si="37"/>
        <v>-2800000</v>
      </c>
      <c r="M527" s="428"/>
      <c r="N527" s="429"/>
      <c r="O527" s="429"/>
      <c r="P527" s="429"/>
      <c r="Q527" s="429"/>
      <c r="R527" s="429"/>
    </row>
    <row r="528" spans="1:18" ht="30" customHeight="1" x14ac:dyDescent="0.2">
      <c r="A528" s="690">
        <v>357</v>
      </c>
      <c r="B528" s="501" t="s">
        <v>1689</v>
      </c>
      <c r="C528" s="503"/>
      <c r="D528" s="500">
        <v>70000000</v>
      </c>
      <c r="E528" s="44"/>
      <c r="F528" s="504"/>
      <c r="G528" s="500"/>
      <c r="H528" s="500"/>
      <c r="I528" s="434"/>
      <c r="J528" s="518"/>
      <c r="K528" s="500"/>
      <c r="L528" s="440"/>
      <c r="M528" s="428" t="s">
        <v>1690</v>
      </c>
      <c r="N528" s="429"/>
      <c r="O528" s="429"/>
      <c r="P528" s="429"/>
      <c r="Q528" s="429"/>
      <c r="R528" s="429"/>
    </row>
    <row r="529" spans="1:18" ht="30" customHeight="1" x14ac:dyDescent="0.2">
      <c r="A529" s="690">
        <v>358</v>
      </c>
      <c r="B529" s="501" t="s">
        <v>1694</v>
      </c>
      <c r="C529" s="503"/>
      <c r="D529" s="504"/>
      <c r="E529" s="44"/>
      <c r="F529" s="504"/>
      <c r="G529" s="500">
        <v>6000000</v>
      </c>
      <c r="H529" s="500" t="s">
        <v>1691</v>
      </c>
      <c r="I529" s="434">
        <v>885556634</v>
      </c>
      <c r="J529" s="518" t="s">
        <v>1695</v>
      </c>
      <c r="K529" s="500">
        <f t="shared" ref="K529:K543" si="38">G529</f>
        <v>6000000</v>
      </c>
      <c r="L529" s="440">
        <f t="shared" ref="L529:L543" si="39">F529-K529</f>
        <v>-6000000</v>
      </c>
      <c r="M529" s="428"/>
      <c r="N529" s="429"/>
      <c r="O529" s="429"/>
      <c r="P529" s="429"/>
      <c r="Q529" s="429"/>
      <c r="R529" s="429"/>
    </row>
    <row r="530" spans="1:18" ht="30" customHeight="1" x14ac:dyDescent="0.2">
      <c r="A530" s="2031">
        <v>359</v>
      </c>
      <c r="B530" s="2029" t="s">
        <v>1696</v>
      </c>
      <c r="C530" s="2149"/>
      <c r="D530" s="2080"/>
      <c r="E530" s="2082"/>
      <c r="F530" s="2080"/>
      <c r="G530" s="500">
        <v>500000</v>
      </c>
      <c r="H530" s="500" t="s">
        <v>1691</v>
      </c>
      <c r="I530" s="434">
        <v>489571</v>
      </c>
      <c r="J530" s="518" t="s">
        <v>1697</v>
      </c>
      <c r="K530" s="2040">
        <f>G530+G531</f>
        <v>1500000</v>
      </c>
      <c r="L530" s="2238">
        <f t="shared" si="39"/>
        <v>-1500000</v>
      </c>
      <c r="M530" s="2210"/>
      <c r="N530" s="429"/>
      <c r="O530" s="429"/>
      <c r="P530" s="429"/>
      <c r="Q530" s="429"/>
      <c r="R530" s="429"/>
    </row>
    <row r="531" spans="1:18" ht="30" customHeight="1" x14ac:dyDescent="0.2">
      <c r="A531" s="2032"/>
      <c r="B531" s="2030"/>
      <c r="C531" s="2150"/>
      <c r="D531" s="2081"/>
      <c r="E531" s="2083"/>
      <c r="F531" s="2081"/>
      <c r="G531" s="738">
        <v>1000000</v>
      </c>
      <c r="H531" s="738" t="s">
        <v>2277</v>
      </c>
      <c r="I531" s="434">
        <v>122423409278</v>
      </c>
      <c r="J531" s="518" t="s">
        <v>1697</v>
      </c>
      <c r="K531" s="2042"/>
      <c r="L531" s="2239"/>
      <c r="M531" s="2211"/>
      <c r="N531" s="429"/>
      <c r="O531" s="429"/>
      <c r="P531" s="429"/>
      <c r="Q531" s="429"/>
      <c r="R531" s="429"/>
    </row>
    <row r="532" spans="1:18" ht="30" customHeight="1" x14ac:dyDescent="0.2">
      <c r="A532" s="690">
        <v>360</v>
      </c>
      <c r="B532" s="501" t="s">
        <v>1711</v>
      </c>
      <c r="C532" s="503"/>
      <c r="D532" s="658">
        <v>500000000</v>
      </c>
      <c r="E532" s="670">
        <f>F532/D532</f>
        <v>5.4199999999999998E-2</v>
      </c>
      <c r="F532" s="658">
        <v>27100000</v>
      </c>
      <c r="G532" s="658">
        <v>27100000</v>
      </c>
      <c r="H532" s="658" t="s">
        <v>1691</v>
      </c>
      <c r="I532" s="434">
        <v>1.4010406054200199E+19</v>
      </c>
      <c r="J532" s="518" t="s">
        <v>1708</v>
      </c>
      <c r="K532" s="658">
        <f t="shared" si="38"/>
        <v>27100000</v>
      </c>
      <c r="L532" s="669">
        <f t="shared" si="39"/>
        <v>0</v>
      </c>
      <c r="M532" s="428"/>
      <c r="N532" s="429"/>
      <c r="O532" s="429"/>
      <c r="P532" s="429"/>
      <c r="Q532" s="429"/>
      <c r="R532" s="429"/>
    </row>
    <row r="533" spans="1:18" ht="30" customHeight="1" x14ac:dyDescent="0.2">
      <c r="A533" s="2031">
        <v>361</v>
      </c>
      <c r="B533" s="2029" t="s">
        <v>1709</v>
      </c>
      <c r="C533" s="2149"/>
      <c r="D533" s="2040"/>
      <c r="E533" s="2037"/>
      <c r="F533" s="2040">
        <v>103600000</v>
      </c>
      <c r="G533" s="500">
        <v>15000000</v>
      </c>
      <c r="H533" s="500" t="s">
        <v>1691</v>
      </c>
      <c r="I533" s="434">
        <v>1.4010406054200199E+19</v>
      </c>
      <c r="J533" s="518" t="s">
        <v>1710</v>
      </c>
      <c r="K533" s="2040">
        <f>G533+G534+G535+G536+G537</f>
        <v>103600000</v>
      </c>
      <c r="L533" s="2210">
        <f>F533-K533</f>
        <v>0</v>
      </c>
      <c r="M533" s="907"/>
      <c r="N533" s="429"/>
      <c r="O533" s="429"/>
      <c r="P533" s="429"/>
      <c r="Q533" s="429"/>
      <c r="R533" s="429"/>
    </row>
    <row r="534" spans="1:18" ht="30" customHeight="1" x14ac:dyDescent="0.2">
      <c r="A534" s="2034"/>
      <c r="B534" s="2033"/>
      <c r="C534" s="2158"/>
      <c r="D534" s="2041"/>
      <c r="E534" s="2038"/>
      <c r="F534" s="2041"/>
      <c r="G534" s="691">
        <v>20000000</v>
      </c>
      <c r="H534" s="691" t="s">
        <v>2124</v>
      </c>
      <c r="I534" s="434">
        <v>1.40104150162812E+17</v>
      </c>
      <c r="J534" s="518" t="s">
        <v>1710</v>
      </c>
      <c r="K534" s="2041"/>
      <c r="L534" s="2273"/>
      <c r="M534" s="908"/>
      <c r="N534" s="429"/>
      <c r="O534" s="429"/>
      <c r="P534" s="429"/>
      <c r="Q534" s="429"/>
      <c r="R534" s="429"/>
    </row>
    <row r="535" spans="1:18" ht="30" customHeight="1" x14ac:dyDescent="0.2">
      <c r="A535" s="2034"/>
      <c r="B535" s="2033"/>
      <c r="C535" s="2158"/>
      <c r="D535" s="2041"/>
      <c r="E535" s="2038"/>
      <c r="F535" s="2041"/>
      <c r="G535" s="785">
        <v>18000000</v>
      </c>
      <c r="H535" s="785"/>
      <c r="I535" s="434"/>
      <c r="J535" s="518"/>
      <c r="K535" s="2041"/>
      <c r="L535" s="2273"/>
      <c r="M535" s="908"/>
      <c r="N535" s="429"/>
      <c r="O535" s="429"/>
      <c r="P535" s="429"/>
      <c r="Q535" s="429"/>
      <c r="R535" s="429"/>
    </row>
    <row r="536" spans="1:18" ht="30" customHeight="1" x14ac:dyDescent="0.2">
      <c r="A536" s="2034"/>
      <c r="B536" s="2033"/>
      <c r="C536" s="2158"/>
      <c r="D536" s="2041"/>
      <c r="E536" s="2038"/>
      <c r="F536" s="2041"/>
      <c r="G536" s="785">
        <v>40000000</v>
      </c>
      <c r="H536" s="785"/>
      <c r="I536" s="434"/>
      <c r="J536" s="518"/>
      <c r="K536" s="2041"/>
      <c r="L536" s="2273"/>
      <c r="M536" s="908"/>
      <c r="N536" s="429"/>
      <c r="O536" s="429"/>
      <c r="P536" s="429"/>
      <c r="Q536" s="429"/>
      <c r="R536" s="429"/>
    </row>
    <row r="537" spans="1:18" ht="30" customHeight="1" x14ac:dyDescent="0.2">
      <c r="A537" s="2034"/>
      <c r="B537" s="2033"/>
      <c r="C537" s="2158"/>
      <c r="D537" s="2041"/>
      <c r="E537" s="2038"/>
      <c r="F537" s="2041"/>
      <c r="G537" s="879">
        <v>10600000</v>
      </c>
      <c r="H537" s="879" t="s">
        <v>2396</v>
      </c>
      <c r="I537" s="434">
        <v>891695712</v>
      </c>
      <c r="J537" s="518" t="s">
        <v>2426</v>
      </c>
      <c r="K537" s="2042"/>
      <c r="L537" s="2211"/>
      <c r="M537" s="909" t="s">
        <v>2505</v>
      </c>
      <c r="N537" s="429"/>
      <c r="O537" s="429"/>
      <c r="P537" s="429"/>
      <c r="Q537" s="429"/>
      <c r="R537" s="429"/>
    </row>
    <row r="538" spans="1:18" ht="30" customHeight="1" x14ac:dyDescent="0.2">
      <c r="A538" s="2034"/>
      <c r="B538" s="2033"/>
      <c r="C538" s="2158"/>
      <c r="D538" s="2041"/>
      <c r="E538" s="2038"/>
      <c r="F538" s="2041"/>
      <c r="G538" s="980">
        <v>5000000</v>
      </c>
      <c r="H538" s="980" t="s">
        <v>2503</v>
      </c>
      <c r="I538" s="984">
        <v>942173</v>
      </c>
      <c r="J538" s="985" t="s">
        <v>2504</v>
      </c>
      <c r="K538" s="2197">
        <f>G538+G539</f>
        <v>10000000</v>
      </c>
      <c r="L538" s="2238"/>
      <c r="M538" s="428" t="s">
        <v>2522</v>
      </c>
      <c r="N538" s="429"/>
      <c r="O538" s="429"/>
      <c r="P538" s="429"/>
      <c r="Q538" s="429"/>
      <c r="R538" s="429"/>
    </row>
    <row r="539" spans="1:18" ht="30" customHeight="1" x14ac:dyDescent="0.2">
      <c r="A539" s="2032"/>
      <c r="B539" s="2030"/>
      <c r="C539" s="2150"/>
      <c r="D539" s="2042"/>
      <c r="E539" s="2039"/>
      <c r="F539" s="2042"/>
      <c r="G539" s="980">
        <v>5000000</v>
      </c>
      <c r="H539" s="980" t="s">
        <v>2063</v>
      </c>
      <c r="I539" s="984">
        <v>657945629243</v>
      </c>
      <c r="J539" s="985" t="s">
        <v>2603</v>
      </c>
      <c r="K539" s="2199"/>
      <c r="L539" s="2239"/>
      <c r="M539" s="428" t="s">
        <v>2604</v>
      </c>
      <c r="N539" s="429"/>
      <c r="O539" s="429"/>
      <c r="P539" s="429"/>
      <c r="Q539" s="429"/>
      <c r="R539" s="429"/>
    </row>
    <row r="540" spans="1:18" ht="30" customHeight="1" x14ac:dyDescent="0.2">
      <c r="A540" s="502">
        <v>362</v>
      </c>
      <c r="B540" s="501" t="s">
        <v>1716</v>
      </c>
      <c r="C540" s="503" t="s">
        <v>1750</v>
      </c>
      <c r="D540" s="500">
        <v>300000000</v>
      </c>
      <c r="E540" s="20">
        <v>4.4999999999999998E-2</v>
      </c>
      <c r="F540" s="500">
        <f>D540*E540</f>
        <v>13500000</v>
      </c>
      <c r="G540" s="500">
        <v>13500000</v>
      </c>
      <c r="H540" s="500" t="s">
        <v>1713</v>
      </c>
      <c r="I540" s="434">
        <v>1.4010407054200001E+19</v>
      </c>
      <c r="J540" s="518" t="s">
        <v>1717</v>
      </c>
      <c r="K540" s="500">
        <f t="shared" si="38"/>
        <v>13500000</v>
      </c>
      <c r="L540" s="433">
        <f t="shared" si="39"/>
        <v>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502">
        <v>363</v>
      </c>
      <c r="B541" s="501" t="s">
        <v>1738</v>
      </c>
      <c r="C541" s="503"/>
      <c r="D541" s="500"/>
      <c r="E541" s="20"/>
      <c r="F541" s="500"/>
      <c r="G541" s="500">
        <v>1060000</v>
      </c>
      <c r="H541" s="500" t="s">
        <v>1713</v>
      </c>
      <c r="I541" s="434">
        <v>456199</v>
      </c>
      <c r="J541" s="518" t="s">
        <v>1718</v>
      </c>
      <c r="K541" s="500">
        <f t="shared" si="38"/>
        <v>1060000</v>
      </c>
      <c r="L541" s="433">
        <f t="shared" si="39"/>
        <v>-1060000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690">
        <v>364</v>
      </c>
      <c r="B542" s="501" t="s">
        <v>1734</v>
      </c>
      <c r="C542" s="503"/>
      <c r="D542" s="504"/>
      <c r="E542" s="44"/>
      <c r="F542" s="504"/>
      <c r="G542" s="500">
        <v>6600000</v>
      </c>
      <c r="H542" s="500" t="s">
        <v>1713</v>
      </c>
      <c r="I542" s="434">
        <v>1.4010407054200001E+19</v>
      </c>
      <c r="J542" s="518" t="s">
        <v>1735</v>
      </c>
      <c r="K542" s="500">
        <f t="shared" si="38"/>
        <v>6600000</v>
      </c>
      <c r="L542" s="440">
        <f t="shared" si="39"/>
        <v>-6600000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690">
        <v>365</v>
      </c>
      <c r="B543" s="501" t="s">
        <v>1736</v>
      </c>
      <c r="C543" s="503"/>
      <c r="D543" s="504"/>
      <c r="E543" s="44"/>
      <c r="F543" s="504"/>
      <c r="G543" s="500">
        <v>19000000</v>
      </c>
      <c r="H543" s="500" t="s">
        <v>1713</v>
      </c>
      <c r="I543" s="434">
        <v>17114</v>
      </c>
      <c r="J543" s="518" t="s">
        <v>1737</v>
      </c>
      <c r="K543" s="500">
        <f t="shared" si="38"/>
        <v>19000000</v>
      </c>
      <c r="L543" s="440">
        <f t="shared" si="39"/>
        <v>-19000000</v>
      </c>
      <c r="M543" s="428" t="s">
        <v>2881</v>
      </c>
      <c r="N543" s="429"/>
      <c r="O543" s="429"/>
      <c r="P543" s="429"/>
      <c r="Q543" s="429"/>
      <c r="R543" s="429"/>
    </row>
    <row r="544" spans="1:18" ht="30" customHeight="1" x14ac:dyDescent="0.2">
      <c r="A544" s="690">
        <v>366</v>
      </c>
      <c r="B544" s="507" t="s">
        <v>1822</v>
      </c>
      <c r="C544" s="514" t="s">
        <v>1138</v>
      </c>
      <c r="D544" s="510">
        <v>70000000</v>
      </c>
      <c r="E544" s="519">
        <v>6.3E-2</v>
      </c>
      <c r="F544" s="510">
        <v>4400000</v>
      </c>
      <c r="G544" s="530">
        <v>8800000</v>
      </c>
      <c r="H544" s="530" t="s">
        <v>1804</v>
      </c>
      <c r="I544" s="434">
        <v>886869894</v>
      </c>
      <c r="J544" s="518" t="s">
        <v>1806</v>
      </c>
      <c r="K544" s="530">
        <f>G544</f>
        <v>8800000</v>
      </c>
      <c r="L544" s="433">
        <f>F544-K544</f>
        <v>-4400000</v>
      </c>
      <c r="M544" s="428" t="s">
        <v>1805</v>
      </c>
      <c r="N544" s="429"/>
      <c r="O544" s="429"/>
      <c r="P544" s="429"/>
      <c r="Q544" s="429"/>
      <c r="R544" s="429"/>
    </row>
    <row r="545" spans="1:18" ht="30" customHeight="1" x14ac:dyDescent="0.2">
      <c r="A545" s="690">
        <v>367</v>
      </c>
      <c r="B545" s="507" t="s">
        <v>1764</v>
      </c>
      <c r="C545" s="514"/>
      <c r="D545" s="512"/>
      <c r="E545" s="44"/>
      <c r="F545" s="512">
        <f>D545*E545</f>
        <v>0</v>
      </c>
      <c r="G545" s="510">
        <v>1250000</v>
      </c>
      <c r="H545" s="510" t="s">
        <v>1756</v>
      </c>
      <c r="I545" s="434">
        <v>122048261797</v>
      </c>
      <c r="J545" s="518" t="s">
        <v>1765</v>
      </c>
      <c r="K545" s="510">
        <f>G545</f>
        <v>1250000</v>
      </c>
      <c r="L545" s="440">
        <f>F545-K545</f>
        <v>-1250000</v>
      </c>
      <c r="M545" s="428"/>
      <c r="N545" s="429"/>
      <c r="O545" s="429"/>
      <c r="P545" s="429"/>
      <c r="Q545" s="429"/>
      <c r="R545" s="429"/>
    </row>
    <row r="546" spans="1:18" ht="30" customHeight="1" x14ac:dyDescent="0.2">
      <c r="A546" s="690">
        <v>368</v>
      </c>
      <c r="B546" s="507" t="s">
        <v>1909</v>
      </c>
      <c r="C546" s="514"/>
      <c r="D546" s="510">
        <v>800000000</v>
      </c>
      <c r="E546" s="519">
        <v>7.0000000000000007E-2</v>
      </c>
      <c r="F546" s="510">
        <f>D546*E546</f>
        <v>56000000.000000007</v>
      </c>
      <c r="G546" s="510"/>
      <c r="H546" s="510"/>
      <c r="I546" s="434"/>
      <c r="J546" s="518"/>
      <c r="K546" s="510"/>
      <c r="L546" s="433"/>
      <c r="M546" s="428"/>
      <c r="N546" s="429"/>
      <c r="O546" s="429"/>
      <c r="P546" s="429"/>
      <c r="Q546" s="429"/>
      <c r="R546" s="429"/>
    </row>
    <row r="547" spans="1:18" ht="30" customHeight="1" x14ac:dyDescent="0.2">
      <c r="A547" s="690">
        <v>369</v>
      </c>
      <c r="B547" s="507" t="s">
        <v>1775</v>
      </c>
      <c r="C547" s="514" t="s">
        <v>1750</v>
      </c>
      <c r="D547" s="510">
        <v>250000000</v>
      </c>
      <c r="E547" s="519"/>
      <c r="F547" s="510"/>
      <c r="G547" s="510"/>
      <c r="H547" s="510"/>
      <c r="I547" s="434"/>
      <c r="J547" s="518"/>
      <c r="K547" s="510"/>
      <c r="L547" s="433"/>
      <c r="M547" s="428"/>
      <c r="N547" s="429"/>
      <c r="O547" s="429"/>
      <c r="P547" s="429"/>
      <c r="Q547" s="429"/>
      <c r="R547" s="429"/>
    </row>
    <row r="548" spans="1:18" ht="30" customHeight="1" x14ac:dyDescent="0.2">
      <c r="A548" s="2031">
        <v>370</v>
      </c>
      <c r="B548" s="2029" t="s">
        <v>1799</v>
      </c>
      <c r="C548" s="522"/>
      <c r="D548" s="523"/>
      <c r="E548" s="44"/>
      <c r="F548" s="523">
        <f>D548*E548</f>
        <v>0</v>
      </c>
      <c r="G548" s="520">
        <v>10000000</v>
      </c>
      <c r="H548" s="520" t="s">
        <v>1756</v>
      </c>
      <c r="I548" s="434">
        <v>1.4010408054200101E+19</v>
      </c>
      <c r="J548" s="518" t="s">
        <v>2670</v>
      </c>
      <c r="K548" s="520">
        <f t="shared" ref="K548:K556" si="40">G548</f>
        <v>10000000</v>
      </c>
      <c r="L548" s="440">
        <f>F548-K548</f>
        <v>-10000000</v>
      </c>
      <c r="M548" s="2210"/>
      <c r="N548" s="429"/>
      <c r="O548" s="429"/>
      <c r="P548" s="429"/>
      <c r="Q548" s="429"/>
      <c r="R548" s="429"/>
    </row>
    <row r="549" spans="1:18" ht="30" customHeight="1" x14ac:dyDescent="0.2">
      <c r="A549" s="2032"/>
      <c r="B549" s="2030"/>
      <c r="C549" s="992"/>
      <c r="D549" s="991"/>
      <c r="E549" s="44"/>
      <c r="F549" s="991"/>
      <c r="G549" s="986">
        <v>10000000</v>
      </c>
      <c r="H549" s="986" t="s">
        <v>2063</v>
      </c>
      <c r="I549" s="434">
        <v>310488</v>
      </c>
      <c r="J549" s="518" t="s">
        <v>2625</v>
      </c>
      <c r="K549" s="986">
        <f>G549</f>
        <v>10000000</v>
      </c>
      <c r="L549" s="996">
        <f>F549-K549</f>
        <v>-10000000</v>
      </c>
      <c r="M549" s="2211"/>
      <c r="N549" s="429"/>
      <c r="O549" s="429"/>
      <c r="P549" s="429"/>
      <c r="Q549" s="429"/>
      <c r="R549" s="429"/>
    </row>
    <row r="550" spans="1:18" ht="30" customHeight="1" x14ac:dyDescent="0.2">
      <c r="A550" s="690">
        <v>371</v>
      </c>
      <c r="B550" s="521" t="s">
        <v>1801</v>
      </c>
      <c r="C550" s="522" t="s">
        <v>971</v>
      </c>
      <c r="D550" s="520">
        <v>50000000</v>
      </c>
      <c r="E550" s="527">
        <v>0.04</v>
      </c>
      <c r="F550" s="520">
        <f>D550*E550</f>
        <v>2000000</v>
      </c>
      <c r="G550" s="520">
        <v>2000000</v>
      </c>
      <c r="H550" s="520" t="s">
        <v>1756</v>
      </c>
      <c r="I550" s="434">
        <v>349729</v>
      </c>
      <c r="J550" s="518" t="s">
        <v>1802</v>
      </c>
      <c r="K550" s="520">
        <f t="shared" si="40"/>
        <v>2000000</v>
      </c>
      <c r="L550" s="433">
        <f>F550-K550</f>
        <v>0</v>
      </c>
      <c r="M550" s="428"/>
      <c r="N550" s="429"/>
      <c r="O550" s="429"/>
      <c r="P550" s="429"/>
      <c r="Q550" s="429"/>
      <c r="R550" s="429"/>
    </row>
    <row r="551" spans="1:18" ht="30" customHeight="1" x14ac:dyDescent="0.2">
      <c r="A551" s="690">
        <v>372</v>
      </c>
      <c r="B551" s="521" t="s">
        <v>1809</v>
      </c>
      <c r="C551" s="522"/>
      <c r="D551" s="523"/>
      <c r="E551" s="44"/>
      <c r="F551" s="523"/>
      <c r="G551" s="520">
        <v>52250000</v>
      </c>
      <c r="H551" s="520" t="s">
        <v>1804</v>
      </c>
      <c r="I551" s="434">
        <v>1.4010409054200001E+19</v>
      </c>
      <c r="J551" s="518" t="s">
        <v>856</v>
      </c>
      <c r="K551" s="520">
        <f t="shared" si="40"/>
        <v>52250000</v>
      </c>
      <c r="L551" s="440"/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690">
        <v>373</v>
      </c>
      <c r="B552" s="521" t="s">
        <v>1828</v>
      </c>
      <c r="C552" s="522"/>
      <c r="D552" s="531">
        <v>10000000</v>
      </c>
      <c r="E552" s="536">
        <v>0.05</v>
      </c>
      <c r="F552" s="531">
        <f>D552*E552</f>
        <v>500000</v>
      </c>
      <c r="G552" s="520">
        <v>500000</v>
      </c>
      <c r="H552" s="520" t="s">
        <v>1804</v>
      </c>
      <c r="I552" s="434">
        <v>122106943211</v>
      </c>
      <c r="J552" s="518" t="s">
        <v>1829</v>
      </c>
      <c r="K552" s="520">
        <f t="shared" si="40"/>
        <v>500000</v>
      </c>
      <c r="L552" s="433">
        <f t="shared" ref="L552:L558" si="41">F552-K552</f>
        <v>0</v>
      </c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690">
        <v>374</v>
      </c>
      <c r="B553" s="532" t="s">
        <v>1830</v>
      </c>
      <c r="C553" s="534"/>
      <c r="D553" s="533"/>
      <c r="E553" s="44"/>
      <c r="F553" s="533"/>
      <c r="G553" s="531">
        <v>4500000</v>
      </c>
      <c r="H553" s="531" t="s">
        <v>1804</v>
      </c>
      <c r="I553" s="434">
        <v>656284506175</v>
      </c>
      <c r="J553" s="518" t="s">
        <v>1831</v>
      </c>
      <c r="K553" s="531">
        <f t="shared" si="40"/>
        <v>4500000</v>
      </c>
      <c r="L553" s="440">
        <f t="shared" si="41"/>
        <v>-4500000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690">
        <v>375</v>
      </c>
      <c r="B554" s="537" t="s">
        <v>1838</v>
      </c>
      <c r="C554" s="539"/>
      <c r="D554" s="538">
        <v>100000000</v>
      </c>
      <c r="E554" s="542">
        <v>0.05</v>
      </c>
      <c r="F554" s="538">
        <f>D554*E554</f>
        <v>5000000</v>
      </c>
      <c r="G554" s="538">
        <v>5000000</v>
      </c>
      <c r="H554" s="538" t="s">
        <v>1835</v>
      </c>
      <c r="I554" s="434">
        <v>600441</v>
      </c>
      <c r="J554" s="518" t="s">
        <v>1839</v>
      </c>
      <c r="K554" s="538">
        <f t="shared" si="40"/>
        <v>5000000</v>
      </c>
      <c r="L554" s="433">
        <f t="shared" si="41"/>
        <v>0</v>
      </c>
      <c r="M554" s="428"/>
      <c r="N554" s="429"/>
      <c r="O554" s="429"/>
      <c r="P554" s="429"/>
      <c r="Q554" s="429"/>
      <c r="R554" s="429"/>
    </row>
    <row r="555" spans="1:18" ht="30" customHeight="1" x14ac:dyDescent="0.2">
      <c r="A555" s="690">
        <v>376</v>
      </c>
      <c r="B555" s="537" t="s">
        <v>3657</v>
      </c>
      <c r="C555" s="539"/>
      <c r="D555" s="540"/>
      <c r="E555" s="44"/>
      <c r="F555" s="540"/>
      <c r="G555" s="538">
        <v>3000000</v>
      </c>
      <c r="H555" s="538" t="s">
        <v>1845</v>
      </c>
      <c r="I555" s="434">
        <v>656285880246</v>
      </c>
      <c r="J555" s="518" t="s">
        <v>1846</v>
      </c>
      <c r="K555" s="538">
        <f t="shared" si="40"/>
        <v>3000000</v>
      </c>
      <c r="L555" s="440">
        <f t="shared" si="41"/>
        <v>-3000000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690">
        <v>377</v>
      </c>
      <c r="B556" s="544" t="s">
        <v>1859</v>
      </c>
      <c r="C556" s="551" t="s">
        <v>1750</v>
      </c>
      <c r="D556" s="546">
        <v>153000000</v>
      </c>
      <c r="E556" s="555">
        <v>7.0000000000000007E-2</v>
      </c>
      <c r="F556" s="546">
        <f>D556*E556</f>
        <v>10710000.000000002</v>
      </c>
      <c r="G556" s="546">
        <v>10710000</v>
      </c>
      <c r="H556" s="546" t="s">
        <v>2068</v>
      </c>
      <c r="I556" s="434">
        <v>1.4010414054201999E+19</v>
      </c>
      <c r="J556" s="518" t="s">
        <v>2076</v>
      </c>
      <c r="K556" s="546">
        <f t="shared" si="40"/>
        <v>10710000</v>
      </c>
      <c r="L556" s="669">
        <f t="shared" si="41"/>
        <v>0</v>
      </c>
      <c r="M556" s="428"/>
      <c r="N556" s="429"/>
      <c r="O556" s="429"/>
      <c r="P556" s="429"/>
      <c r="Q556" s="429"/>
      <c r="R556" s="429"/>
    </row>
    <row r="557" spans="1:18" ht="30" customHeight="1" x14ac:dyDescent="0.2">
      <c r="A557" s="690">
        <v>378</v>
      </c>
      <c r="B557" s="572" t="s">
        <v>1906</v>
      </c>
      <c r="C557" s="579" t="s">
        <v>916</v>
      </c>
      <c r="D557" s="575">
        <v>300000000</v>
      </c>
      <c r="E557" s="586">
        <v>5.0999999999999997E-2</v>
      </c>
      <c r="F557" s="575">
        <v>15500000</v>
      </c>
      <c r="G557" s="575">
        <v>15500000</v>
      </c>
      <c r="H557" s="575" t="s">
        <v>1898</v>
      </c>
      <c r="I557" s="434">
        <v>1.40104120542003E+19</v>
      </c>
      <c r="J557" s="518" t="s">
        <v>1992</v>
      </c>
      <c r="K557" s="575">
        <f>G557</f>
        <v>15500000</v>
      </c>
      <c r="L557" s="609">
        <f t="shared" si="41"/>
        <v>0</v>
      </c>
      <c r="M557" s="428"/>
      <c r="N557" s="429"/>
      <c r="O557" s="429"/>
      <c r="P557" s="429"/>
      <c r="Q557" s="429"/>
      <c r="R557" s="429"/>
    </row>
    <row r="558" spans="1:18" ht="30" customHeight="1" x14ac:dyDescent="0.2">
      <c r="A558" s="2031">
        <v>379</v>
      </c>
      <c r="B558" s="2029" t="s">
        <v>1865</v>
      </c>
      <c r="C558" s="2149"/>
      <c r="D558" s="2040">
        <v>50000000</v>
      </c>
      <c r="E558" s="2037">
        <v>0.04</v>
      </c>
      <c r="F558" s="2040">
        <f>D558*E558</f>
        <v>2000000</v>
      </c>
      <c r="G558" s="575">
        <v>1600000</v>
      </c>
      <c r="H558" s="575" t="s">
        <v>1898</v>
      </c>
      <c r="I558" s="434">
        <v>89505</v>
      </c>
      <c r="J558" s="518" t="s">
        <v>1954</v>
      </c>
      <c r="K558" s="2040">
        <f>G558+G559</f>
        <v>2000000</v>
      </c>
      <c r="L558" s="2210">
        <f t="shared" si="41"/>
        <v>0</v>
      </c>
      <c r="M558" s="2210"/>
      <c r="N558" s="429"/>
      <c r="O558" s="429"/>
      <c r="P558" s="429"/>
      <c r="Q558" s="429"/>
      <c r="R558" s="429"/>
    </row>
    <row r="559" spans="1:18" ht="30" customHeight="1" x14ac:dyDescent="0.2">
      <c r="A559" s="2032"/>
      <c r="B559" s="2030"/>
      <c r="C559" s="2150"/>
      <c r="D559" s="2042"/>
      <c r="E559" s="2039"/>
      <c r="F559" s="2042"/>
      <c r="G559" s="575">
        <v>400000</v>
      </c>
      <c r="H559" s="575" t="s">
        <v>2068</v>
      </c>
      <c r="I559" s="434">
        <v>656296949744</v>
      </c>
      <c r="J559" s="518" t="s">
        <v>2075</v>
      </c>
      <c r="K559" s="2042"/>
      <c r="L559" s="2211"/>
      <c r="M559" s="2211"/>
      <c r="N559" s="429"/>
      <c r="O559" s="429"/>
      <c r="P559" s="429"/>
      <c r="Q559" s="429"/>
      <c r="R559" s="429"/>
    </row>
    <row r="560" spans="1:18" ht="30" customHeight="1" x14ac:dyDescent="0.2">
      <c r="A560" s="571">
        <v>380</v>
      </c>
      <c r="B560" s="572" t="s">
        <v>1911</v>
      </c>
      <c r="C560" s="579" t="s">
        <v>1131</v>
      </c>
      <c r="D560" s="575">
        <v>10000000</v>
      </c>
      <c r="E560" s="586">
        <v>0.05</v>
      </c>
      <c r="F560" s="575">
        <f>D560*E560</f>
        <v>500000</v>
      </c>
      <c r="G560" s="575">
        <v>2000000</v>
      </c>
      <c r="H560" s="575" t="s">
        <v>1898</v>
      </c>
      <c r="I560" s="434">
        <v>122205638275</v>
      </c>
      <c r="J560" s="518" t="s">
        <v>1994</v>
      </c>
      <c r="K560" s="575">
        <f>G560</f>
        <v>2000000</v>
      </c>
      <c r="L560" s="609">
        <f>F560-K560</f>
        <v>-1500000</v>
      </c>
      <c r="M560" s="428" t="s">
        <v>1995</v>
      </c>
      <c r="N560" s="429"/>
      <c r="O560" s="429"/>
      <c r="P560" s="429"/>
      <c r="Q560" s="429"/>
      <c r="R560" s="429"/>
    </row>
    <row r="561" spans="1:18" ht="30" customHeight="1" x14ac:dyDescent="0.2">
      <c r="A561" s="571">
        <v>381</v>
      </c>
      <c r="B561" s="572" t="s">
        <v>1914</v>
      </c>
      <c r="C561" s="579" t="s">
        <v>916</v>
      </c>
      <c r="D561" s="575">
        <v>50000000</v>
      </c>
      <c r="E561" s="586">
        <v>0.05</v>
      </c>
      <c r="F561" s="575">
        <f>D561*E561</f>
        <v>2500000</v>
      </c>
      <c r="G561" s="575">
        <v>2500000</v>
      </c>
      <c r="H561" s="575" t="s">
        <v>1852</v>
      </c>
      <c r="I561" s="434">
        <v>525279</v>
      </c>
      <c r="J561" s="518" t="s">
        <v>1915</v>
      </c>
      <c r="K561" s="575">
        <f>G561</f>
        <v>2500000</v>
      </c>
      <c r="L561" s="433">
        <f>F561-K561</f>
        <v>0</v>
      </c>
      <c r="M561" s="428"/>
      <c r="N561" s="429"/>
      <c r="O561" s="429"/>
      <c r="P561" s="429"/>
      <c r="Q561" s="429"/>
      <c r="R561" s="429"/>
    </row>
    <row r="562" spans="1:18" ht="30" customHeight="1" x14ac:dyDescent="0.2">
      <c r="A562" s="571">
        <v>382</v>
      </c>
      <c r="B562" s="572" t="s">
        <v>1929</v>
      </c>
      <c r="C562" s="579" t="s">
        <v>265</v>
      </c>
      <c r="D562" s="575">
        <v>150000000</v>
      </c>
      <c r="E562" s="586"/>
      <c r="F562" s="575"/>
      <c r="G562" s="575"/>
      <c r="H562" s="575"/>
      <c r="I562" s="434"/>
      <c r="J562" s="518"/>
      <c r="K562" s="575"/>
      <c r="L562" s="433"/>
      <c r="M562" s="428"/>
      <c r="N562" s="429"/>
      <c r="O562" s="429"/>
      <c r="P562" s="429"/>
      <c r="Q562" s="429"/>
      <c r="R562" s="429"/>
    </row>
    <row r="563" spans="1:18" ht="30" customHeight="1" x14ac:dyDescent="0.2">
      <c r="A563" s="571">
        <v>383</v>
      </c>
      <c r="B563" s="572" t="s">
        <v>1940</v>
      </c>
      <c r="C563" s="579" t="s">
        <v>265</v>
      </c>
      <c r="D563" s="575">
        <v>10000000</v>
      </c>
      <c r="E563" s="586">
        <v>7.0000000000000007E-2</v>
      </c>
      <c r="F563" s="575">
        <f>D563*E563</f>
        <v>700000.00000000012</v>
      </c>
      <c r="G563" s="575"/>
      <c r="H563" s="575"/>
      <c r="I563" s="434"/>
      <c r="J563" s="518"/>
      <c r="K563" s="575"/>
      <c r="L563" s="433"/>
      <c r="M563" s="428"/>
      <c r="N563" s="429"/>
      <c r="O563" s="429"/>
      <c r="P563" s="429"/>
      <c r="Q563" s="429"/>
      <c r="R563" s="429"/>
    </row>
    <row r="564" spans="1:18" ht="30" customHeight="1" x14ac:dyDescent="0.2">
      <c r="A564" s="673">
        <v>384</v>
      </c>
      <c r="B564" s="594" t="s">
        <v>1985</v>
      </c>
      <c r="C564" s="603" t="s">
        <v>265</v>
      </c>
      <c r="D564" s="597">
        <v>150000000</v>
      </c>
      <c r="E564" s="608">
        <v>7.0000000000000007E-2</v>
      </c>
      <c r="F564" s="597">
        <f>D564*E564</f>
        <v>10500000.000000002</v>
      </c>
      <c r="G564" s="597">
        <v>10500000</v>
      </c>
      <c r="H564" s="597" t="s">
        <v>2068</v>
      </c>
      <c r="I564" s="434">
        <v>104140804055964</v>
      </c>
      <c r="J564" s="518" t="s">
        <v>2084</v>
      </c>
      <c r="K564" s="597">
        <f>G564</f>
        <v>10500000</v>
      </c>
      <c r="L564" s="609">
        <f>F564-K564</f>
        <v>0</v>
      </c>
      <c r="M564" s="428"/>
      <c r="N564" s="429"/>
      <c r="O564" s="429"/>
      <c r="P564" s="429"/>
      <c r="Q564" s="429"/>
      <c r="R564" s="429"/>
    </row>
    <row r="565" spans="1:18" ht="30" customHeight="1" x14ac:dyDescent="0.2">
      <c r="A565" s="595">
        <v>385</v>
      </c>
      <c r="B565" s="594" t="s">
        <v>2001</v>
      </c>
      <c r="C565" s="603" t="s">
        <v>379</v>
      </c>
      <c r="D565" s="597">
        <v>12000000</v>
      </c>
      <c r="E565" s="608">
        <v>0.05</v>
      </c>
      <c r="F565" s="597">
        <f>D565*E565</f>
        <v>600000</v>
      </c>
      <c r="G565" s="597"/>
      <c r="H565" s="597"/>
      <c r="I565" s="434"/>
      <c r="J565" s="518"/>
      <c r="K565" s="597"/>
      <c r="L565" s="609"/>
      <c r="M565" s="428" t="s">
        <v>2002</v>
      </c>
      <c r="N565" s="429"/>
      <c r="O565" s="429"/>
      <c r="P565" s="429"/>
      <c r="Q565" s="429"/>
      <c r="R565" s="429"/>
    </row>
    <row r="566" spans="1:18" ht="30" customHeight="1" x14ac:dyDescent="0.2">
      <c r="A566" s="2031">
        <v>387</v>
      </c>
      <c r="B566" s="2029" t="s">
        <v>2047</v>
      </c>
      <c r="C566" s="2149"/>
      <c r="D566" s="2080"/>
      <c r="E566" s="2082"/>
      <c r="F566" s="2080"/>
      <c r="G566" s="647">
        <v>2400000</v>
      </c>
      <c r="H566" s="647" t="s">
        <v>2005</v>
      </c>
      <c r="I566" s="434">
        <v>888618690</v>
      </c>
      <c r="J566" s="518" t="s">
        <v>2048</v>
      </c>
      <c r="K566" s="647">
        <f>G566</f>
        <v>2400000</v>
      </c>
      <c r="L566" s="652">
        <f>F566-K566</f>
        <v>-2400000</v>
      </c>
      <c r="M566" s="428" t="s">
        <v>2392</v>
      </c>
      <c r="N566" s="429"/>
      <c r="O566" s="429"/>
      <c r="P566" s="429"/>
      <c r="Q566" s="429"/>
      <c r="R566" s="429"/>
    </row>
    <row r="567" spans="1:18" ht="30" customHeight="1" x14ac:dyDescent="0.2">
      <c r="A567" s="2032"/>
      <c r="B567" s="2030"/>
      <c r="C567" s="2150"/>
      <c r="D567" s="2081"/>
      <c r="E567" s="2083"/>
      <c r="F567" s="2081"/>
      <c r="G567" s="805">
        <v>2400000</v>
      </c>
      <c r="H567" s="805" t="s">
        <v>2344</v>
      </c>
      <c r="I567" s="434">
        <v>289768</v>
      </c>
      <c r="J567" s="518" t="s">
        <v>2391</v>
      </c>
      <c r="K567" s="805">
        <f>G567</f>
        <v>2400000</v>
      </c>
      <c r="L567" s="808"/>
      <c r="M567" s="428" t="s">
        <v>1379</v>
      </c>
      <c r="N567" s="429"/>
      <c r="O567" s="429"/>
      <c r="P567" s="429"/>
      <c r="Q567" s="429"/>
      <c r="R567" s="429"/>
    </row>
    <row r="568" spans="1:18" ht="30" customHeight="1" x14ac:dyDescent="0.2">
      <c r="A568" s="690">
        <v>388</v>
      </c>
      <c r="B568" s="653" t="s">
        <v>3236</v>
      </c>
      <c r="C568" s="1352" t="s">
        <v>1378</v>
      </c>
      <c r="D568" s="1347">
        <v>200000000</v>
      </c>
      <c r="E568" s="1362">
        <v>0.06</v>
      </c>
      <c r="F568" s="1347">
        <f>D568*E568</f>
        <v>12000000</v>
      </c>
      <c r="G568" s="658">
        <v>23000000</v>
      </c>
      <c r="H568" s="658" t="s">
        <v>2005</v>
      </c>
      <c r="I568" s="434">
        <v>104132024147435</v>
      </c>
      <c r="J568" s="518" t="s">
        <v>2067</v>
      </c>
      <c r="K568" s="658">
        <f>G568</f>
        <v>23000000</v>
      </c>
      <c r="L568" s="668">
        <f>F568-K568</f>
        <v>-11000000</v>
      </c>
      <c r="M568" s="428"/>
      <c r="N568" s="429"/>
      <c r="O568" s="429"/>
      <c r="P568" s="429"/>
      <c r="Q568" s="429"/>
      <c r="R568" s="429"/>
    </row>
    <row r="569" spans="1:18" ht="30" customHeight="1" x14ac:dyDescent="0.2">
      <c r="A569" s="690">
        <v>389</v>
      </c>
      <c r="B569" s="653" t="s">
        <v>2077</v>
      </c>
      <c r="C569" s="660"/>
      <c r="D569" s="658">
        <v>30000000</v>
      </c>
      <c r="E569" s="670">
        <v>0.05</v>
      </c>
      <c r="F569" s="658">
        <f>D569*E569</f>
        <v>1500000</v>
      </c>
      <c r="G569" s="658">
        <v>1500000</v>
      </c>
      <c r="H569" s="658" t="s">
        <v>2068</v>
      </c>
      <c r="I569" s="434">
        <v>153482</v>
      </c>
      <c r="J569" s="518" t="s">
        <v>2078</v>
      </c>
      <c r="K569" s="658">
        <f>G569</f>
        <v>1500000</v>
      </c>
      <c r="L569" s="669">
        <f>F569-K569</f>
        <v>0</v>
      </c>
      <c r="M569" s="428" t="s">
        <v>2079</v>
      </c>
      <c r="N569" s="429"/>
      <c r="O569" s="429"/>
      <c r="P569" s="429"/>
      <c r="Q569" s="429"/>
      <c r="R569" s="429"/>
    </row>
    <row r="570" spans="1:18" ht="30" customHeight="1" x14ac:dyDescent="0.2">
      <c r="A570" s="690">
        <v>390</v>
      </c>
      <c r="B570" s="675" t="s">
        <v>2126</v>
      </c>
      <c r="C570" s="682"/>
      <c r="D570" s="677">
        <v>5000000</v>
      </c>
      <c r="E570" s="683">
        <v>0.05</v>
      </c>
      <c r="F570" s="677">
        <f>D570*E570</f>
        <v>250000</v>
      </c>
      <c r="G570" s="677"/>
      <c r="H570" s="677"/>
      <c r="I570" s="434"/>
      <c r="J570" s="518"/>
      <c r="K570" s="677"/>
      <c r="L570" s="684"/>
      <c r="M570" s="428"/>
      <c r="N570" s="429"/>
      <c r="O570" s="429"/>
      <c r="P570" s="429"/>
      <c r="Q570" s="429"/>
      <c r="R570" s="429"/>
    </row>
    <row r="571" spans="1:18" ht="30" customHeight="1" x14ac:dyDescent="0.2">
      <c r="A571" s="2031">
        <v>391</v>
      </c>
      <c r="B571" s="2029" t="s">
        <v>2133</v>
      </c>
      <c r="C571" s="2149" t="s">
        <v>2134</v>
      </c>
      <c r="D571" s="677">
        <v>1158000000</v>
      </c>
      <c r="E571" s="683">
        <v>0.05</v>
      </c>
      <c r="F571" s="677">
        <v>58000000</v>
      </c>
      <c r="G571" s="677">
        <v>58000000</v>
      </c>
      <c r="H571" s="677" t="s">
        <v>2295</v>
      </c>
      <c r="I571" s="434">
        <v>78518</v>
      </c>
      <c r="J571" s="518" t="s">
        <v>2414</v>
      </c>
      <c r="K571" s="677">
        <f>G571</f>
        <v>58000000</v>
      </c>
      <c r="L571" s="684">
        <f>F571-K571</f>
        <v>0</v>
      </c>
      <c r="M571" s="2205" t="s">
        <v>2502</v>
      </c>
      <c r="N571" s="429"/>
      <c r="O571" s="429"/>
      <c r="P571" s="429"/>
      <c r="Q571" s="429"/>
      <c r="R571" s="429"/>
    </row>
    <row r="572" spans="1:18" ht="30" customHeight="1" x14ac:dyDescent="0.2">
      <c r="A572" s="2032"/>
      <c r="B572" s="2030"/>
      <c r="C572" s="2150"/>
      <c r="D572" s="1947" t="s">
        <v>2499</v>
      </c>
      <c r="E572" s="1948"/>
      <c r="F572" s="1949"/>
      <c r="G572" s="1947" t="s">
        <v>2501</v>
      </c>
      <c r="H572" s="1948"/>
      <c r="I572" s="1948"/>
      <c r="J572" s="1948"/>
      <c r="K572" s="1949"/>
      <c r="L572" s="875"/>
      <c r="M572" s="2206"/>
      <c r="N572" s="429"/>
      <c r="O572" s="429"/>
      <c r="P572" s="429"/>
      <c r="Q572" s="429"/>
      <c r="R572" s="429"/>
    </row>
    <row r="573" spans="1:18" ht="30" customHeight="1" x14ac:dyDescent="0.2">
      <c r="A573" s="702">
        <v>392</v>
      </c>
      <c r="B573" s="701" t="s">
        <v>2178</v>
      </c>
      <c r="C573" s="705" t="s">
        <v>1349</v>
      </c>
      <c r="D573" s="703">
        <v>50000000</v>
      </c>
      <c r="E573" s="710">
        <v>0.05</v>
      </c>
      <c r="F573" s="703">
        <f>D573*E573</f>
        <v>2500000</v>
      </c>
      <c r="G573" s="703"/>
      <c r="H573" s="703"/>
      <c r="I573" s="434"/>
      <c r="J573" s="518"/>
      <c r="K573" s="703"/>
      <c r="L573" s="709"/>
      <c r="M573" s="428" t="s">
        <v>2166</v>
      </c>
      <c r="N573" s="429"/>
      <c r="O573" s="429"/>
      <c r="P573" s="429"/>
      <c r="Q573" s="429"/>
      <c r="R573" s="429"/>
    </row>
    <row r="574" spans="1:18" ht="30" customHeight="1" x14ac:dyDescent="0.2">
      <c r="A574" s="702">
        <v>393</v>
      </c>
      <c r="B574" s="701" t="s">
        <v>2170</v>
      </c>
      <c r="C574" s="705"/>
      <c r="D574" s="704"/>
      <c r="E574" s="44"/>
      <c r="F574" s="704"/>
      <c r="G574" s="703">
        <v>1000000</v>
      </c>
      <c r="H574" s="703" t="s">
        <v>2135</v>
      </c>
      <c r="I574" s="434">
        <v>937493</v>
      </c>
      <c r="J574" s="518" t="s">
        <v>2171</v>
      </c>
      <c r="K574" s="703">
        <f>G574</f>
        <v>1000000</v>
      </c>
      <c r="L574" s="711">
        <f>F574-K574</f>
        <v>-1000000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702"/>
      <c r="B575" s="725" t="s">
        <v>2182</v>
      </c>
      <c r="C575" s="726" t="s">
        <v>1378</v>
      </c>
      <c r="D575" s="727">
        <v>600000000</v>
      </c>
      <c r="E575" s="728">
        <v>0.06</v>
      </c>
      <c r="F575" s="727">
        <f>D575*E575</f>
        <v>36000000</v>
      </c>
      <c r="G575" s="703"/>
      <c r="H575" s="703"/>
      <c r="I575" s="434"/>
      <c r="J575" s="518"/>
      <c r="K575" s="703"/>
      <c r="L575" s="709"/>
      <c r="M575" s="428" t="s">
        <v>2166</v>
      </c>
      <c r="N575" s="429"/>
      <c r="O575" s="429"/>
      <c r="P575" s="429"/>
      <c r="Q575" s="429"/>
      <c r="R575" s="429"/>
    </row>
    <row r="576" spans="1:18" ht="30" customHeight="1" x14ac:dyDescent="0.2">
      <c r="A576" s="702"/>
      <c r="B576" s="725" t="s">
        <v>2179</v>
      </c>
      <c r="C576" s="726" t="s">
        <v>1378</v>
      </c>
      <c r="D576" s="727">
        <v>310000000</v>
      </c>
      <c r="E576" s="728">
        <v>0.06</v>
      </c>
      <c r="F576" s="727">
        <f t="shared" ref="F576:F579" si="42">D576*E576</f>
        <v>18600000</v>
      </c>
      <c r="G576" s="703"/>
      <c r="H576" s="703"/>
      <c r="I576" s="434"/>
      <c r="J576" s="518"/>
      <c r="K576" s="703"/>
      <c r="L576" s="709"/>
      <c r="M576" s="428" t="s">
        <v>2166</v>
      </c>
      <c r="N576" s="429"/>
      <c r="O576" s="429"/>
      <c r="P576" s="429"/>
      <c r="Q576" s="429"/>
      <c r="R576" s="429"/>
    </row>
    <row r="577" spans="1:18" ht="30" customHeight="1" x14ac:dyDescent="0.2">
      <c r="A577" s="702"/>
      <c r="B577" s="725" t="s">
        <v>2183</v>
      </c>
      <c r="C577" s="726" t="s">
        <v>1378</v>
      </c>
      <c r="D577" s="727">
        <v>50000000</v>
      </c>
      <c r="E577" s="728">
        <v>0.06</v>
      </c>
      <c r="F577" s="727">
        <f t="shared" si="42"/>
        <v>3000000</v>
      </c>
      <c r="G577" s="703"/>
      <c r="H577" s="703"/>
      <c r="I577" s="434"/>
      <c r="J577" s="518"/>
      <c r="K577" s="703"/>
      <c r="L577" s="709"/>
      <c r="M577" s="428" t="s">
        <v>2166</v>
      </c>
      <c r="N577" s="429"/>
      <c r="O577" s="429"/>
      <c r="P577" s="429"/>
      <c r="Q577" s="429"/>
      <c r="R577" s="429"/>
    </row>
    <row r="578" spans="1:18" ht="30" customHeight="1" x14ac:dyDescent="0.2">
      <c r="A578" s="702"/>
      <c r="B578" s="725" t="s">
        <v>2180</v>
      </c>
      <c r="C578" s="726" t="s">
        <v>1378</v>
      </c>
      <c r="D578" s="727">
        <v>110000000</v>
      </c>
      <c r="E578" s="728">
        <v>0.06</v>
      </c>
      <c r="F578" s="727">
        <f t="shared" si="42"/>
        <v>6600000</v>
      </c>
      <c r="G578" s="703"/>
      <c r="H578" s="703"/>
      <c r="I578" s="434"/>
      <c r="J578" s="518"/>
      <c r="K578" s="703"/>
      <c r="L578" s="709"/>
      <c r="M578" s="428" t="s">
        <v>2166</v>
      </c>
      <c r="N578" s="429"/>
      <c r="O578" s="429"/>
      <c r="P578" s="429"/>
      <c r="Q578" s="429"/>
      <c r="R578" s="429"/>
    </row>
    <row r="579" spans="1:18" ht="30" customHeight="1" x14ac:dyDescent="0.2">
      <c r="A579" s="702"/>
      <c r="B579" s="725" t="s">
        <v>2181</v>
      </c>
      <c r="C579" s="726" t="s">
        <v>1378</v>
      </c>
      <c r="D579" s="727">
        <v>100000000</v>
      </c>
      <c r="E579" s="728">
        <v>0.06</v>
      </c>
      <c r="F579" s="727">
        <f t="shared" si="42"/>
        <v>6000000</v>
      </c>
      <c r="G579" s="703"/>
      <c r="H579" s="703"/>
      <c r="I579" s="434"/>
      <c r="J579" s="518"/>
      <c r="K579" s="703"/>
      <c r="L579" s="709"/>
      <c r="M579" s="428" t="s">
        <v>2166</v>
      </c>
      <c r="N579" s="429"/>
      <c r="O579" s="429"/>
      <c r="P579" s="429"/>
      <c r="Q579" s="429"/>
      <c r="R579" s="429"/>
    </row>
    <row r="580" spans="1:18" ht="30" customHeight="1" x14ac:dyDescent="0.2">
      <c r="A580" s="702"/>
      <c r="B580" s="725"/>
      <c r="C580" s="726"/>
      <c r="D580" s="727">
        <f>SUM(D575:D579)</f>
        <v>1170000000</v>
      </c>
      <c r="E580" s="728"/>
      <c r="F580" s="727">
        <f>SUM(F575:F579)</f>
        <v>70200000</v>
      </c>
      <c r="G580" s="703"/>
      <c r="H580" s="703"/>
      <c r="I580" s="434"/>
      <c r="J580" s="518"/>
      <c r="K580" s="703"/>
      <c r="L580" s="709"/>
      <c r="M580" s="428"/>
      <c r="N580" s="429"/>
      <c r="O580" s="429"/>
      <c r="P580" s="429"/>
      <c r="Q580" s="429"/>
      <c r="R580" s="429"/>
    </row>
    <row r="581" spans="1:18" ht="30" customHeight="1" x14ac:dyDescent="0.2">
      <c r="A581" s="2031"/>
      <c r="B581" s="2029" t="s">
        <v>2199</v>
      </c>
      <c r="C581" s="2149"/>
      <c r="D581" s="2040">
        <v>200000000</v>
      </c>
      <c r="E581" s="2037">
        <v>7.0000000000000007E-2</v>
      </c>
      <c r="F581" s="2040">
        <f>D581*E581</f>
        <v>14000000.000000002</v>
      </c>
      <c r="G581" s="935">
        <v>10000000</v>
      </c>
      <c r="H581" s="935" t="s">
        <v>2184</v>
      </c>
      <c r="I581" s="434">
        <v>405529587082</v>
      </c>
      <c r="J581" s="518" t="s">
        <v>2200</v>
      </c>
      <c r="K581" s="2040">
        <f>G581+G582</f>
        <v>14000000</v>
      </c>
      <c r="L581" s="2210">
        <f>F581-K581</f>
        <v>0</v>
      </c>
      <c r="M581" s="2210"/>
      <c r="N581" s="429"/>
      <c r="O581" s="429"/>
      <c r="P581" s="429"/>
      <c r="Q581" s="429"/>
      <c r="R581" s="429"/>
    </row>
    <row r="582" spans="1:18" ht="30" customHeight="1" x14ac:dyDescent="0.2">
      <c r="A582" s="2032"/>
      <c r="B582" s="2030"/>
      <c r="C582" s="2150"/>
      <c r="D582" s="2042"/>
      <c r="E582" s="2039"/>
      <c r="F582" s="2042"/>
      <c r="G582" s="935">
        <v>4000000</v>
      </c>
      <c r="H582" s="935" t="s">
        <v>2577</v>
      </c>
      <c r="I582" s="434">
        <v>122758388084</v>
      </c>
      <c r="J582" s="518" t="s">
        <v>2591</v>
      </c>
      <c r="K582" s="2042"/>
      <c r="L582" s="2211"/>
      <c r="M582" s="2211"/>
      <c r="N582" s="429"/>
      <c r="O582" s="429"/>
      <c r="P582" s="429"/>
      <c r="Q582" s="429"/>
      <c r="R582" s="429"/>
    </row>
    <row r="583" spans="1:18" ht="30" customHeight="1" x14ac:dyDescent="0.2">
      <c r="A583" s="716"/>
      <c r="B583" s="715" t="s">
        <v>2219</v>
      </c>
      <c r="C583" s="719"/>
      <c r="D583" s="718"/>
      <c r="E583" s="44"/>
      <c r="F583" s="718"/>
      <c r="G583" s="717">
        <v>650000</v>
      </c>
      <c r="H583" s="717" t="s">
        <v>2202</v>
      </c>
      <c r="I583" s="434">
        <v>122386692351</v>
      </c>
      <c r="J583" s="518" t="s">
        <v>2220</v>
      </c>
      <c r="K583" s="717">
        <f>G583</f>
        <v>650000</v>
      </c>
      <c r="L583" s="723">
        <f>F583-K583</f>
        <v>-650000</v>
      </c>
      <c r="M583" s="428"/>
      <c r="N583" s="429"/>
      <c r="O583" s="429"/>
      <c r="P583" s="429"/>
      <c r="Q583" s="429"/>
      <c r="R583" s="429"/>
    </row>
    <row r="584" spans="1:18" ht="30" customHeight="1" x14ac:dyDescent="0.2">
      <c r="A584" s="737"/>
      <c r="B584" s="735" t="s">
        <v>2258</v>
      </c>
      <c r="C584" s="746"/>
      <c r="D584" s="738">
        <v>50000000</v>
      </c>
      <c r="E584" s="751">
        <v>0.04</v>
      </c>
      <c r="F584" s="738">
        <f>D584*E584</f>
        <v>2000000</v>
      </c>
      <c r="G584" s="738">
        <v>2000000</v>
      </c>
      <c r="H584" s="738" t="s">
        <v>2277</v>
      </c>
      <c r="I584" s="434">
        <v>122424700656</v>
      </c>
      <c r="J584" s="518" t="s">
        <v>2299</v>
      </c>
      <c r="K584" s="738">
        <f>G584</f>
        <v>2000000</v>
      </c>
      <c r="L584" s="750">
        <f>F584-G584</f>
        <v>0</v>
      </c>
      <c r="M584" s="428"/>
      <c r="N584" s="429"/>
      <c r="O584" s="429"/>
      <c r="P584" s="429"/>
      <c r="Q584" s="429"/>
      <c r="R584" s="429"/>
    </row>
    <row r="585" spans="1:18" ht="30" customHeight="1" x14ac:dyDescent="0.2">
      <c r="A585" s="737"/>
      <c r="B585" s="735" t="s">
        <v>2259</v>
      </c>
      <c r="C585" s="746"/>
      <c r="D585" s="738">
        <v>100000000</v>
      </c>
      <c r="E585" s="751">
        <v>0.04</v>
      </c>
      <c r="F585" s="738">
        <f>D585*E585</f>
        <v>4000000</v>
      </c>
      <c r="G585" s="738"/>
      <c r="H585" s="738"/>
      <c r="I585" s="434"/>
      <c r="J585" s="518"/>
      <c r="K585" s="738"/>
      <c r="L585" s="750"/>
      <c r="M585" s="428"/>
      <c r="N585" s="429"/>
      <c r="O585" s="429"/>
      <c r="P585" s="429"/>
      <c r="Q585" s="429"/>
      <c r="R585" s="429"/>
    </row>
    <row r="586" spans="1:18" ht="30" customHeight="1" x14ac:dyDescent="0.2">
      <c r="A586" s="737"/>
      <c r="B586" s="735" t="s">
        <v>2336</v>
      </c>
      <c r="C586" s="746" t="s">
        <v>1378</v>
      </c>
      <c r="D586" s="738">
        <v>150000000</v>
      </c>
      <c r="E586" s="751">
        <v>0.05</v>
      </c>
      <c r="F586" s="738">
        <f>D586*E586</f>
        <v>7500000</v>
      </c>
      <c r="G586" s="2200" t="s">
        <v>2337</v>
      </c>
      <c r="H586" s="2201"/>
      <c r="I586" s="2201"/>
      <c r="J586" s="2201"/>
      <c r="K586" s="2201"/>
      <c r="L586" s="2202"/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737"/>
      <c r="B587" s="735" t="s">
        <v>2338</v>
      </c>
      <c r="C587" s="746" t="s">
        <v>1378</v>
      </c>
      <c r="D587" s="738">
        <v>30000000</v>
      </c>
      <c r="E587" s="751">
        <v>0.05</v>
      </c>
      <c r="F587" s="738">
        <f>D587*E587</f>
        <v>1500000</v>
      </c>
      <c r="G587" s="2200" t="s">
        <v>2337</v>
      </c>
      <c r="H587" s="2201"/>
      <c r="I587" s="2201"/>
      <c r="J587" s="2201"/>
      <c r="K587" s="2201"/>
      <c r="L587" s="2202"/>
      <c r="M587" s="428"/>
      <c r="N587" s="429"/>
      <c r="O587" s="429"/>
      <c r="P587" s="429"/>
      <c r="Q587" s="429"/>
      <c r="R587" s="429"/>
    </row>
    <row r="588" spans="1:18" ht="30" customHeight="1" x14ac:dyDescent="0.2">
      <c r="A588" s="737"/>
      <c r="B588" s="735" t="s">
        <v>2409</v>
      </c>
      <c r="C588" s="746" t="s">
        <v>1354</v>
      </c>
      <c r="D588" s="738">
        <v>600000000</v>
      </c>
      <c r="E588" s="751">
        <v>0.05</v>
      </c>
      <c r="F588" s="738">
        <f>D588*E588</f>
        <v>30000000</v>
      </c>
      <c r="G588" s="738"/>
      <c r="H588" s="738"/>
      <c r="I588" s="434"/>
      <c r="J588" s="518"/>
      <c r="K588" s="738"/>
      <c r="L588" s="750"/>
      <c r="M588" s="428"/>
      <c r="N588" s="429"/>
      <c r="O588" s="429"/>
      <c r="P588" s="429"/>
      <c r="Q588" s="429"/>
      <c r="R588" s="429"/>
    </row>
    <row r="589" spans="1:18" ht="30" customHeight="1" x14ac:dyDescent="0.2">
      <c r="A589" s="830"/>
      <c r="B589" s="828" t="s">
        <v>2427</v>
      </c>
      <c r="C589" s="838"/>
      <c r="D589" s="833"/>
      <c r="E589" s="44"/>
      <c r="F589" s="833"/>
      <c r="G589" s="832">
        <v>1430000</v>
      </c>
      <c r="H589" s="832" t="s">
        <v>2396</v>
      </c>
      <c r="I589" s="434">
        <v>891721761</v>
      </c>
      <c r="J589" s="518" t="s">
        <v>2428</v>
      </c>
      <c r="K589" s="832">
        <f t="shared" ref="K589:K593" si="43">G589</f>
        <v>1430000</v>
      </c>
      <c r="L589" s="841"/>
      <c r="M589" s="428" t="s">
        <v>2209</v>
      </c>
      <c r="N589" s="429"/>
      <c r="O589" s="429"/>
      <c r="P589" s="429"/>
      <c r="Q589" s="429"/>
      <c r="R589" s="429"/>
    </row>
    <row r="590" spans="1:18" ht="30" customHeight="1" x14ac:dyDescent="0.2">
      <c r="A590" s="830"/>
      <c r="B590" s="834" t="s">
        <v>2438</v>
      </c>
      <c r="C590" s="846"/>
      <c r="D590" s="833"/>
      <c r="E590" s="44"/>
      <c r="F590" s="833"/>
      <c r="G590" s="833">
        <v>9000000</v>
      </c>
      <c r="H590" s="833" t="s">
        <v>2431</v>
      </c>
      <c r="I590" s="847">
        <v>892192819</v>
      </c>
      <c r="J590" s="848" t="s">
        <v>2439</v>
      </c>
      <c r="K590" s="833">
        <f t="shared" si="43"/>
        <v>9000000</v>
      </c>
      <c r="L590" s="841">
        <f>F590-K590</f>
        <v>-9000000</v>
      </c>
      <c r="M590" s="428" t="s">
        <v>2209</v>
      </c>
      <c r="N590" s="429"/>
      <c r="O590" s="429"/>
      <c r="P590" s="429"/>
      <c r="Q590" s="429"/>
      <c r="R590" s="429"/>
    </row>
    <row r="591" spans="1:18" ht="30" customHeight="1" x14ac:dyDescent="0.2">
      <c r="A591" s="854"/>
      <c r="B591" s="853" t="s">
        <v>2479</v>
      </c>
      <c r="C591" s="859"/>
      <c r="D591" s="858"/>
      <c r="E591" s="44"/>
      <c r="F591" s="858"/>
      <c r="G591" s="856">
        <v>2000000</v>
      </c>
      <c r="H591" s="856" t="s">
        <v>2480</v>
      </c>
      <c r="I591" s="434">
        <v>869814</v>
      </c>
      <c r="J591" s="518" t="s">
        <v>2481</v>
      </c>
      <c r="K591" s="856">
        <f t="shared" si="43"/>
        <v>2000000</v>
      </c>
      <c r="L591" s="865">
        <f>F591-K591</f>
        <v>-2000000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883"/>
      <c r="B592" s="882" t="s">
        <v>2520</v>
      </c>
      <c r="C592" s="886"/>
      <c r="D592" s="885"/>
      <c r="E592" s="44"/>
      <c r="F592" s="885"/>
      <c r="G592" s="879">
        <v>4290000</v>
      </c>
      <c r="H592" s="879" t="s">
        <v>2503</v>
      </c>
      <c r="I592" s="434">
        <v>939748</v>
      </c>
      <c r="J592" s="518" t="s">
        <v>2521</v>
      </c>
      <c r="K592" s="879">
        <f t="shared" si="43"/>
        <v>4290000</v>
      </c>
      <c r="L592" s="890">
        <f>F592-K592</f>
        <v>-4290000</v>
      </c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883"/>
      <c r="B593" s="882" t="s">
        <v>2523</v>
      </c>
      <c r="C593" s="886"/>
      <c r="D593" s="885">
        <v>880000000</v>
      </c>
      <c r="E593" s="44"/>
      <c r="F593" s="885"/>
      <c r="G593" s="879">
        <v>40000000</v>
      </c>
      <c r="H593" s="879" t="s">
        <v>2503</v>
      </c>
      <c r="I593" s="434">
        <v>78505</v>
      </c>
      <c r="J593" s="518" t="s">
        <v>2524</v>
      </c>
      <c r="K593" s="879">
        <f t="shared" si="43"/>
        <v>40000000</v>
      </c>
      <c r="L593" s="890">
        <f>F593-K593</f>
        <v>-40000000</v>
      </c>
      <c r="M593" s="428" t="s">
        <v>2608</v>
      </c>
      <c r="N593" s="429"/>
      <c r="O593" s="429"/>
      <c r="P593" s="429"/>
      <c r="Q593" s="429"/>
      <c r="R593" s="429"/>
    </row>
    <row r="594" spans="1:18" ht="30" customHeight="1" x14ac:dyDescent="0.2">
      <c r="A594" s="883"/>
      <c r="B594" s="882" t="s">
        <v>2540</v>
      </c>
      <c r="C594" s="886"/>
      <c r="D594" s="885">
        <v>100000000</v>
      </c>
      <c r="E594" s="44"/>
      <c r="F594" s="885"/>
      <c r="G594" s="1947"/>
      <c r="H594" s="1948"/>
      <c r="I594" s="1948"/>
      <c r="J594" s="1948"/>
      <c r="K594" s="1949"/>
      <c r="L594" s="890"/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883"/>
      <c r="B595" s="882" t="s">
        <v>2542</v>
      </c>
      <c r="C595" s="886"/>
      <c r="D595" s="896">
        <v>20000000</v>
      </c>
      <c r="E595" s="905">
        <v>0.05</v>
      </c>
      <c r="F595" s="896">
        <f>D595*E595</f>
        <v>1000000</v>
      </c>
      <c r="G595" s="896"/>
      <c r="H595" s="896"/>
      <c r="I595" s="434"/>
      <c r="J595" s="518"/>
      <c r="K595" s="896"/>
      <c r="L595" s="902"/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2031"/>
      <c r="B596" s="2029" t="s">
        <v>2607</v>
      </c>
      <c r="C596" s="2149" t="s">
        <v>916</v>
      </c>
      <c r="D596" s="964">
        <v>51000000</v>
      </c>
      <c r="E596" s="971">
        <v>0.06</v>
      </c>
      <c r="F596" s="964">
        <f>D596*E596</f>
        <v>3060000</v>
      </c>
      <c r="G596" s="2154" t="s">
        <v>2656</v>
      </c>
      <c r="H596" s="2155"/>
      <c r="I596" s="2155"/>
      <c r="J596" s="2155"/>
      <c r="K596" s="2155"/>
      <c r="L596" s="2156"/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2032"/>
      <c r="B597" s="2030"/>
      <c r="C597" s="2150"/>
      <c r="D597" s="1013">
        <v>57000000</v>
      </c>
      <c r="E597" s="1019">
        <v>0.06</v>
      </c>
      <c r="F597" s="1013">
        <f>D597*E597</f>
        <v>3420000</v>
      </c>
      <c r="G597" s="2154" t="s">
        <v>2657</v>
      </c>
      <c r="H597" s="2155"/>
      <c r="I597" s="2155"/>
      <c r="J597" s="2155"/>
      <c r="K597" s="2156"/>
      <c r="L597" s="1016"/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962"/>
      <c r="B598" s="963" t="s">
        <v>2659</v>
      </c>
      <c r="C598" s="969" t="s">
        <v>1110</v>
      </c>
      <c r="D598" s="964">
        <v>80000000</v>
      </c>
      <c r="E598" s="971">
        <v>0.05</v>
      </c>
      <c r="F598" s="964">
        <f>D598*E598</f>
        <v>4000000</v>
      </c>
      <c r="G598" s="2192" t="s">
        <v>2335</v>
      </c>
      <c r="H598" s="2193"/>
      <c r="I598" s="2193"/>
      <c r="J598" s="2193"/>
      <c r="K598" s="2193"/>
      <c r="L598" s="2194"/>
      <c r="M598" s="428"/>
      <c r="N598" s="429"/>
      <c r="O598" s="429"/>
      <c r="P598" s="429"/>
      <c r="Q598" s="429"/>
      <c r="R598" s="429"/>
    </row>
    <row r="599" spans="1:18" ht="30" customHeight="1" x14ac:dyDescent="0.2">
      <c r="A599" s="962"/>
      <c r="B599" s="963"/>
      <c r="C599" s="969"/>
      <c r="D599" s="964"/>
      <c r="E599" s="971"/>
      <c r="F599" s="964"/>
      <c r="G599" s="964"/>
      <c r="H599" s="964"/>
      <c r="I599" s="434"/>
      <c r="J599" s="518"/>
      <c r="K599" s="964"/>
      <c r="L599" s="970"/>
      <c r="M599" s="428"/>
      <c r="N599" s="429"/>
      <c r="O599" s="429"/>
      <c r="P599" s="429"/>
      <c r="Q599" s="429"/>
      <c r="R599" s="429"/>
    </row>
    <row r="600" spans="1:18" ht="30" customHeight="1" x14ac:dyDescent="0.2">
      <c r="A600" s="4"/>
      <c r="B600" s="45"/>
      <c r="C600" s="380"/>
      <c r="D600" s="368"/>
      <c r="E600" s="20"/>
      <c r="F600" s="368"/>
      <c r="G600" s="368"/>
      <c r="H600" s="368"/>
      <c r="I600" s="374"/>
      <c r="J600" s="24"/>
      <c r="K600" s="368"/>
      <c r="L600" s="368"/>
      <c r="M600" s="45"/>
    </row>
  </sheetData>
  <mergeCells count="761">
    <mergeCell ref="B596:B597"/>
    <mergeCell ref="C596:C597"/>
    <mergeCell ref="G597:K597"/>
    <mergeCell ref="A596:A597"/>
    <mergeCell ref="B423:B424"/>
    <mergeCell ref="C406:C410"/>
    <mergeCell ref="L108:L109"/>
    <mergeCell ref="L470:L471"/>
    <mergeCell ref="A116:A117"/>
    <mergeCell ref="B116:B117"/>
    <mergeCell ref="C116:C117"/>
    <mergeCell ref="D116:D117"/>
    <mergeCell ref="E116:E117"/>
    <mergeCell ref="L431:L432"/>
    <mergeCell ref="F116:F117"/>
    <mergeCell ref="G594:K594"/>
    <mergeCell ref="D533:D539"/>
    <mergeCell ref="K533:K537"/>
    <mergeCell ref="K558:K559"/>
    <mergeCell ref="D450:D451"/>
    <mergeCell ref="D458:D459"/>
    <mergeCell ref="D454:F455"/>
    <mergeCell ref="C450:C455"/>
    <mergeCell ref="A450:A455"/>
    <mergeCell ref="M548:M549"/>
    <mergeCell ref="A108:A109"/>
    <mergeCell ref="B108:B109"/>
    <mergeCell ref="C108:C109"/>
    <mergeCell ref="L538:L539"/>
    <mergeCell ref="F518:F519"/>
    <mergeCell ref="E558:E559"/>
    <mergeCell ref="F558:F559"/>
    <mergeCell ref="A431:A432"/>
    <mergeCell ref="B431:B432"/>
    <mergeCell ref="C431:C432"/>
    <mergeCell ref="G432:K432"/>
    <mergeCell ref="F108:F109"/>
    <mergeCell ref="K108:K109"/>
    <mergeCell ref="A512:A513"/>
    <mergeCell ref="B512:B513"/>
    <mergeCell ref="C512:C513"/>
    <mergeCell ref="D512:D513"/>
    <mergeCell ref="E512:E513"/>
    <mergeCell ref="F512:F513"/>
    <mergeCell ref="G425:G426"/>
    <mergeCell ref="G424:L424"/>
    <mergeCell ref="D470:D471"/>
    <mergeCell ref="M512:M513"/>
    <mergeCell ref="G598:L598"/>
    <mergeCell ref="D323:D324"/>
    <mergeCell ref="E323:E324"/>
    <mergeCell ref="F323:F324"/>
    <mergeCell ref="K323:K324"/>
    <mergeCell ref="L323:L324"/>
    <mergeCell ref="D388:D391"/>
    <mergeCell ref="E388:E391"/>
    <mergeCell ref="F388:F391"/>
    <mergeCell ref="E384:E385"/>
    <mergeCell ref="K399:K400"/>
    <mergeCell ref="D403:J403"/>
    <mergeCell ref="D409:E409"/>
    <mergeCell ref="D402:E402"/>
    <mergeCell ref="L581:L582"/>
    <mergeCell ref="K419:K420"/>
    <mergeCell ref="G596:L596"/>
    <mergeCell ref="G343:K343"/>
    <mergeCell ref="L399:L400"/>
    <mergeCell ref="L429:L430"/>
    <mergeCell ref="K454:K455"/>
    <mergeCell ref="I463:I464"/>
    <mergeCell ref="K581:K582"/>
    <mergeCell ref="E566:E567"/>
    <mergeCell ref="B450:B455"/>
    <mergeCell ref="G508:K508"/>
    <mergeCell ref="C507:C509"/>
    <mergeCell ref="G509:K509"/>
    <mergeCell ref="H441:K442"/>
    <mergeCell ref="L441:L442"/>
    <mergeCell ref="F429:F430"/>
    <mergeCell ref="G441:G442"/>
    <mergeCell ref="F419:F420"/>
    <mergeCell ref="H425:H427"/>
    <mergeCell ref="I425:I427"/>
    <mergeCell ref="J425:J427"/>
    <mergeCell ref="J437:J438"/>
    <mergeCell ref="K437:K438"/>
    <mergeCell ref="E437:F438"/>
    <mergeCell ref="G437:G438"/>
    <mergeCell ref="H437:H438"/>
    <mergeCell ref="I437:I438"/>
    <mergeCell ref="D507:D508"/>
    <mergeCell ref="F503:F505"/>
    <mergeCell ref="H451:J451"/>
    <mergeCell ref="J463:J464"/>
    <mergeCell ref="G463:G464"/>
    <mergeCell ref="E429:E430"/>
    <mergeCell ref="M581:M582"/>
    <mergeCell ref="G452:J452"/>
    <mergeCell ref="L450:L451"/>
    <mergeCell ref="B460:B461"/>
    <mergeCell ref="E470:E471"/>
    <mergeCell ref="F470:F471"/>
    <mergeCell ref="C460:C461"/>
    <mergeCell ref="D460:D461"/>
    <mergeCell ref="L463:L464"/>
    <mergeCell ref="L492:L493"/>
    <mergeCell ref="M558:M559"/>
    <mergeCell ref="M470:M471"/>
    <mergeCell ref="K463:K464"/>
    <mergeCell ref="E458:E459"/>
    <mergeCell ref="F458:F459"/>
    <mergeCell ref="E460:F461"/>
    <mergeCell ref="K458:K459"/>
    <mergeCell ref="K450:K451"/>
    <mergeCell ref="E450:E451"/>
    <mergeCell ref="E533:E539"/>
    <mergeCell ref="L558:L559"/>
    <mergeCell ref="L454:L455"/>
    <mergeCell ref="G453:L453"/>
    <mergeCell ref="K538:K539"/>
    <mergeCell ref="L533:L537"/>
    <mergeCell ref="B507:B509"/>
    <mergeCell ref="A478:A479"/>
    <mergeCell ref="B478:B479"/>
    <mergeCell ref="C478:C479"/>
    <mergeCell ref="B482:B483"/>
    <mergeCell ref="A482:A483"/>
    <mergeCell ref="C482:C483"/>
    <mergeCell ref="A456:A457"/>
    <mergeCell ref="A470:A471"/>
    <mergeCell ref="A458:A459"/>
    <mergeCell ref="H498:K498"/>
    <mergeCell ref="K503:K505"/>
    <mergeCell ref="C518:C519"/>
    <mergeCell ref="D518:D519"/>
    <mergeCell ref="D503:D505"/>
    <mergeCell ref="E503:E505"/>
    <mergeCell ref="A507:A509"/>
    <mergeCell ref="E518:E519"/>
    <mergeCell ref="B518:B519"/>
    <mergeCell ref="A518:A519"/>
    <mergeCell ref="A486:A487"/>
    <mergeCell ref="B486:B487"/>
    <mergeCell ref="C486:C487"/>
    <mergeCell ref="A581:A582"/>
    <mergeCell ref="B581:B582"/>
    <mergeCell ref="C581:C582"/>
    <mergeCell ref="D581:D582"/>
    <mergeCell ref="B533:B539"/>
    <mergeCell ref="B503:B506"/>
    <mergeCell ref="C503:C506"/>
    <mergeCell ref="B498:B502"/>
    <mergeCell ref="A492:A493"/>
    <mergeCell ref="B492:B493"/>
    <mergeCell ref="A498:A502"/>
    <mergeCell ref="B566:B567"/>
    <mergeCell ref="C571:C572"/>
    <mergeCell ref="D572:F572"/>
    <mergeCell ref="C566:C567"/>
    <mergeCell ref="D566:D567"/>
    <mergeCell ref="C558:C559"/>
    <mergeCell ref="C533:C539"/>
    <mergeCell ref="E581:E582"/>
    <mergeCell ref="F581:F582"/>
    <mergeCell ref="A548:A549"/>
    <mergeCell ref="B548:B549"/>
    <mergeCell ref="E521:F521"/>
    <mergeCell ref="B558:B559"/>
    <mergeCell ref="A558:A559"/>
    <mergeCell ref="D558:D559"/>
    <mergeCell ref="E507:E508"/>
    <mergeCell ref="F507:F508"/>
    <mergeCell ref="F533:F539"/>
    <mergeCell ref="A533:A539"/>
    <mergeCell ref="K8:K9"/>
    <mergeCell ref="L8:L9"/>
    <mergeCell ref="A416:A417"/>
    <mergeCell ref="C416:C417"/>
    <mergeCell ref="G416:G417"/>
    <mergeCell ref="H416:H417"/>
    <mergeCell ref="I416:I417"/>
    <mergeCell ref="C60:C64"/>
    <mergeCell ref="D63:D64"/>
    <mergeCell ref="E63:E64"/>
    <mergeCell ref="F63:F64"/>
    <mergeCell ref="H110:H111"/>
    <mergeCell ref="D291:F294"/>
    <mergeCell ref="A297:A298"/>
    <mergeCell ref="L85:L86"/>
    <mergeCell ref="G85:G86"/>
    <mergeCell ref="H85:H86"/>
    <mergeCell ref="B85:B87"/>
    <mergeCell ref="A34:A35"/>
    <mergeCell ref="G25:G26"/>
    <mergeCell ref="B60:B64"/>
    <mergeCell ref="E57:E59"/>
    <mergeCell ref="D77:D78"/>
    <mergeCell ref="B74:B75"/>
    <mergeCell ref="B72:B73"/>
    <mergeCell ref="A72:A73"/>
    <mergeCell ref="C72:C73"/>
    <mergeCell ref="A74:A75"/>
    <mergeCell ref="A57:A59"/>
    <mergeCell ref="C57:C59"/>
    <mergeCell ref="A69:A71"/>
    <mergeCell ref="B43:B44"/>
    <mergeCell ref="B57:B59"/>
    <mergeCell ref="F36:F37"/>
    <mergeCell ref="E41:E42"/>
    <mergeCell ref="F41:F42"/>
    <mergeCell ref="F70:F71"/>
    <mergeCell ref="A76:A80"/>
    <mergeCell ref="F57:F59"/>
    <mergeCell ref="G54:G55"/>
    <mergeCell ref="E79:F80"/>
    <mergeCell ref="A436:A438"/>
    <mergeCell ref="D70:D71"/>
    <mergeCell ref="E70:E71"/>
    <mergeCell ref="C81:C84"/>
    <mergeCell ref="E77:F78"/>
    <mergeCell ref="D79:D80"/>
    <mergeCell ref="D8:F9"/>
    <mergeCell ref="D57:D59"/>
    <mergeCell ref="D35:F35"/>
    <mergeCell ref="B69:B71"/>
    <mergeCell ref="C69:C71"/>
    <mergeCell ref="A65:A66"/>
    <mergeCell ref="B65:B66"/>
    <mergeCell ref="C65:C66"/>
    <mergeCell ref="A60:A64"/>
    <mergeCell ref="B7:B9"/>
    <mergeCell ref="A7:A9"/>
    <mergeCell ref="C7:C9"/>
    <mergeCell ref="C34:C35"/>
    <mergeCell ref="B34:B35"/>
    <mergeCell ref="C43:C44"/>
    <mergeCell ref="A43:A44"/>
    <mergeCell ref="A85:A87"/>
    <mergeCell ref="C98:C99"/>
    <mergeCell ref="C103:C104"/>
    <mergeCell ref="B384:B385"/>
    <mergeCell ref="C384:C385"/>
    <mergeCell ref="A187:A188"/>
    <mergeCell ref="C268:C269"/>
    <mergeCell ref="C274:C275"/>
    <mergeCell ref="A199:A200"/>
    <mergeCell ref="A203:A204"/>
    <mergeCell ref="A268:A269"/>
    <mergeCell ref="A237:A238"/>
    <mergeCell ref="B268:B269"/>
    <mergeCell ref="A206:A210"/>
    <mergeCell ref="B206:B210"/>
    <mergeCell ref="B274:B275"/>
    <mergeCell ref="A274:A275"/>
    <mergeCell ref="A216:A231"/>
    <mergeCell ref="C199:C200"/>
    <mergeCell ref="B199:B200"/>
    <mergeCell ref="B276:B277"/>
    <mergeCell ref="A287:A288"/>
    <mergeCell ref="A290:A295"/>
    <mergeCell ref="A103:A105"/>
    <mergeCell ref="B110:B111"/>
    <mergeCell ref="B123:B124"/>
    <mergeCell ref="C436:C438"/>
    <mergeCell ref="C456:C457"/>
    <mergeCell ref="D429:D430"/>
    <mergeCell ref="C144:C145"/>
    <mergeCell ref="C146:C147"/>
    <mergeCell ref="J81:J82"/>
    <mergeCell ref="B181:B182"/>
    <mergeCell ref="C181:C182"/>
    <mergeCell ref="B146:B147"/>
    <mergeCell ref="B144:B145"/>
    <mergeCell ref="B161:B162"/>
    <mergeCell ref="F138:F139"/>
    <mergeCell ref="B132:B136"/>
    <mergeCell ref="C132:C136"/>
    <mergeCell ref="D113:D114"/>
    <mergeCell ref="D111:F111"/>
    <mergeCell ref="B290:B295"/>
    <mergeCell ref="B287:B288"/>
    <mergeCell ref="C290:C295"/>
    <mergeCell ref="B429:B430"/>
    <mergeCell ref="C429:C430"/>
    <mergeCell ref="D437:D438"/>
    <mergeCell ref="F450:F451"/>
    <mergeCell ref="B436:B438"/>
    <mergeCell ref="C123:C124"/>
    <mergeCell ref="D138:D139"/>
    <mergeCell ref="C113:C114"/>
    <mergeCell ref="A423:A424"/>
    <mergeCell ref="C423:C424"/>
    <mergeCell ref="A123:A124"/>
    <mergeCell ref="A132:A136"/>
    <mergeCell ref="A323:A324"/>
    <mergeCell ref="A193:A195"/>
    <mergeCell ref="B187:B188"/>
    <mergeCell ref="A190:A191"/>
    <mergeCell ref="A175:A176"/>
    <mergeCell ref="A151:A152"/>
    <mergeCell ref="B151:B152"/>
    <mergeCell ref="C190:C191"/>
    <mergeCell ref="D384:D385"/>
    <mergeCell ref="C312:C313"/>
    <mergeCell ref="B190:B191"/>
    <mergeCell ref="A373:A374"/>
    <mergeCell ref="B216:B231"/>
    <mergeCell ref="B375:B377"/>
    <mergeCell ref="A375:A377"/>
    <mergeCell ref="B149:B150"/>
    <mergeCell ref="A149:A150"/>
    <mergeCell ref="B184:B185"/>
    <mergeCell ref="C161:C162"/>
    <mergeCell ref="C187:C188"/>
    <mergeCell ref="C151:C152"/>
    <mergeCell ref="A184:A185"/>
    <mergeCell ref="A181:A182"/>
    <mergeCell ref="E140:K140"/>
    <mergeCell ref="E141:K141"/>
    <mergeCell ref="A138:A142"/>
    <mergeCell ref="B138:B142"/>
    <mergeCell ref="C138:C142"/>
    <mergeCell ref="A146:A147"/>
    <mergeCell ref="A161:A162"/>
    <mergeCell ref="I146:I147"/>
    <mergeCell ref="C175:C176"/>
    <mergeCell ref="J83:J84"/>
    <mergeCell ref="K83:K84"/>
    <mergeCell ref="H54:H55"/>
    <mergeCell ref="H88:H89"/>
    <mergeCell ref="G83:G84"/>
    <mergeCell ref="H83:H84"/>
    <mergeCell ref="K63:K64"/>
    <mergeCell ref="E138:E139"/>
    <mergeCell ref="D108:D109"/>
    <mergeCell ref="E108:E109"/>
    <mergeCell ref="G137:K137"/>
    <mergeCell ref="D61:D62"/>
    <mergeCell ref="K138:K139"/>
    <mergeCell ref="H123:H124"/>
    <mergeCell ref="I123:I124"/>
    <mergeCell ref="A429:A430"/>
    <mergeCell ref="M36:M37"/>
    <mergeCell ref="E274:E275"/>
    <mergeCell ref="F274:F275"/>
    <mergeCell ref="K274:K275"/>
    <mergeCell ref="H62:H63"/>
    <mergeCell ref="I62:I63"/>
    <mergeCell ref="J62:J63"/>
    <mergeCell ref="K61:K62"/>
    <mergeCell ref="L61:L62"/>
    <mergeCell ref="G210:L210"/>
    <mergeCell ref="E190:E191"/>
    <mergeCell ref="F61:F62"/>
    <mergeCell ref="E61:E62"/>
    <mergeCell ref="E113:E114"/>
    <mergeCell ref="F113:F114"/>
    <mergeCell ref="E207:F209"/>
    <mergeCell ref="F190:F191"/>
    <mergeCell ref="E187:E188"/>
    <mergeCell ref="F187:F188"/>
    <mergeCell ref="D274:D275"/>
    <mergeCell ref="G135:K135"/>
    <mergeCell ref="I83:I84"/>
    <mergeCell ref="K88:K89"/>
    <mergeCell ref="H381:H382"/>
    <mergeCell ref="L341:L342"/>
    <mergeCell ref="L312:L313"/>
    <mergeCell ref="L287:L288"/>
    <mergeCell ref="I381:I382"/>
    <mergeCell ref="G287:G288"/>
    <mergeCell ref="F276:F277"/>
    <mergeCell ref="J290:J291"/>
    <mergeCell ref="G374:K374"/>
    <mergeCell ref="L297:L298"/>
    <mergeCell ref="D376:F376"/>
    <mergeCell ref="G381:G382"/>
    <mergeCell ref="F357:F358"/>
    <mergeCell ref="D331:D336"/>
    <mergeCell ref="K331:K336"/>
    <mergeCell ref="D297:D298"/>
    <mergeCell ref="E297:E298"/>
    <mergeCell ref="K297:K298"/>
    <mergeCell ref="C498:C502"/>
    <mergeCell ref="C470:C471"/>
    <mergeCell ref="L503:L504"/>
    <mergeCell ref="L498:L499"/>
    <mergeCell ref="G501:K501"/>
    <mergeCell ref="G500:K500"/>
    <mergeCell ref="G502:K502"/>
    <mergeCell ref="K470:K471"/>
    <mergeCell ref="A460:A461"/>
    <mergeCell ref="A503:A506"/>
    <mergeCell ref="F384:F385"/>
    <mergeCell ref="K425:K426"/>
    <mergeCell ref="L425:L426"/>
    <mergeCell ref="G394:K394"/>
    <mergeCell ref="A406:A410"/>
    <mergeCell ref="B406:B410"/>
    <mergeCell ref="B425:B427"/>
    <mergeCell ref="C425:C427"/>
    <mergeCell ref="B416:B417"/>
    <mergeCell ref="A399:A405"/>
    <mergeCell ref="A384:A385"/>
    <mergeCell ref="A425:A426"/>
    <mergeCell ref="M498:M499"/>
    <mergeCell ref="M460:M461"/>
    <mergeCell ref="L416:L417"/>
    <mergeCell ref="J416:J417"/>
    <mergeCell ref="K416:K417"/>
    <mergeCell ref="M492:M493"/>
    <mergeCell ref="M456:M457"/>
    <mergeCell ref="M425:M426"/>
    <mergeCell ref="M419:M420"/>
    <mergeCell ref="G487:K487"/>
    <mergeCell ref="K460:K461"/>
    <mergeCell ref="L460:L461"/>
    <mergeCell ref="M437:M438"/>
    <mergeCell ref="H463:H464"/>
    <mergeCell ref="M463:M464"/>
    <mergeCell ref="L419:L420"/>
    <mergeCell ref="K429:K430"/>
    <mergeCell ref="L437:L438"/>
    <mergeCell ref="L458:L459"/>
    <mergeCell ref="L15:L16"/>
    <mergeCell ref="K15:K16"/>
    <mergeCell ref="K43:K44"/>
    <mergeCell ref="L43:L44"/>
    <mergeCell ref="G43:G44"/>
    <mergeCell ref="H43:H44"/>
    <mergeCell ref="I43:I44"/>
    <mergeCell ref="J43:J44"/>
    <mergeCell ref="I28:I29"/>
    <mergeCell ref="J28:J29"/>
    <mergeCell ref="K28:K29"/>
    <mergeCell ref="L28:L29"/>
    <mergeCell ref="G28:G29"/>
    <mergeCell ref="H28:H29"/>
    <mergeCell ref="L41:L42"/>
    <mergeCell ref="L63:L64"/>
    <mergeCell ref="L98:L99"/>
    <mergeCell ref="I25:I26"/>
    <mergeCell ref="G27:K27"/>
    <mergeCell ref="K36:K37"/>
    <mergeCell ref="I81:I82"/>
    <mergeCell ref="J76:J77"/>
    <mergeCell ref="K70:K71"/>
    <mergeCell ref="L70:L71"/>
    <mergeCell ref="L36:L37"/>
    <mergeCell ref="I54:I55"/>
    <mergeCell ref="J54:J55"/>
    <mergeCell ref="K54:K55"/>
    <mergeCell ref="K57:K59"/>
    <mergeCell ref="L57:L59"/>
    <mergeCell ref="J88:J89"/>
    <mergeCell ref="G75:L75"/>
    <mergeCell ref="L25:L26"/>
    <mergeCell ref="G73:K73"/>
    <mergeCell ref="L54:L55"/>
    <mergeCell ref="K81:K82"/>
    <mergeCell ref="I85:I86"/>
    <mergeCell ref="J85:J86"/>
    <mergeCell ref="H81:H82"/>
    <mergeCell ref="L81:L82"/>
    <mergeCell ref="K85:K86"/>
    <mergeCell ref="G104:L104"/>
    <mergeCell ref="M65:M66"/>
    <mergeCell ref="J144:J145"/>
    <mergeCell ref="M70:M71"/>
    <mergeCell ref="L83:L84"/>
    <mergeCell ref="L77:L78"/>
    <mergeCell ref="G72:K72"/>
    <mergeCell ref="H78:H79"/>
    <mergeCell ref="M110:M111"/>
    <mergeCell ref="M81:M82"/>
    <mergeCell ref="L138:L139"/>
    <mergeCell ref="G99:J99"/>
    <mergeCell ref="I88:I89"/>
    <mergeCell ref="J110:J111"/>
    <mergeCell ref="M138:M142"/>
    <mergeCell ref="J133:J134"/>
    <mergeCell ref="I110:I111"/>
    <mergeCell ref="G87:L87"/>
    <mergeCell ref="G81:G82"/>
    <mergeCell ref="M132:M134"/>
    <mergeCell ref="K113:K114"/>
    <mergeCell ref="L113:L114"/>
    <mergeCell ref="M113:M114"/>
    <mergeCell ref="K90:K94"/>
    <mergeCell ref="L88:L94"/>
    <mergeCell ref="G123:G124"/>
    <mergeCell ref="J123:J124"/>
    <mergeCell ref="M98:M99"/>
    <mergeCell ref="K98:K99"/>
    <mergeCell ref="K132:K134"/>
    <mergeCell ref="L132:L134"/>
    <mergeCell ref="K123:K124"/>
    <mergeCell ref="L123:L124"/>
    <mergeCell ref="M89:M94"/>
    <mergeCell ref="G105:L105"/>
    <mergeCell ref="G133:G134"/>
    <mergeCell ref="M123:M124"/>
    <mergeCell ref="H133:H134"/>
    <mergeCell ref="I133:I134"/>
    <mergeCell ref="M149:M150"/>
    <mergeCell ref="M161:M162"/>
    <mergeCell ref="M144:M145"/>
    <mergeCell ref="M190:M191"/>
    <mergeCell ref="L144:L145"/>
    <mergeCell ref="M194:M195"/>
    <mergeCell ref="M146:M147"/>
    <mergeCell ref="L146:L147"/>
    <mergeCell ref="K184:K185"/>
    <mergeCell ref="L194:L195"/>
    <mergeCell ref="L190:L191"/>
    <mergeCell ref="K144:K145"/>
    <mergeCell ref="M184:M185"/>
    <mergeCell ref="L184:L185"/>
    <mergeCell ref="K194:K195"/>
    <mergeCell ref="K146:K147"/>
    <mergeCell ref="M15:M16"/>
    <mergeCell ref="L11:L12"/>
    <mergeCell ref="M11:M12"/>
    <mergeCell ref="H76:H77"/>
    <mergeCell ref="M76:M80"/>
    <mergeCell ref="K79:K80"/>
    <mergeCell ref="L79:L80"/>
    <mergeCell ref="I76:I77"/>
    <mergeCell ref="M41:M42"/>
    <mergeCell ref="M54:M55"/>
    <mergeCell ref="M43:M44"/>
    <mergeCell ref="M28:M29"/>
    <mergeCell ref="K11:K12"/>
    <mergeCell ref="K41:K42"/>
    <mergeCell ref="K25:K26"/>
    <mergeCell ref="J25:J26"/>
    <mergeCell ref="H25:H26"/>
    <mergeCell ref="M57:M59"/>
    <mergeCell ref="I78:I79"/>
    <mergeCell ref="J78:J79"/>
    <mergeCell ref="K77:K78"/>
    <mergeCell ref="G74:K74"/>
    <mergeCell ref="M63:M64"/>
    <mergeCell ref="M61:M62"/>
    <mergeCell ref="B98:B99"/>
    <mergeCell ref="B103:B105"/>
    <mergeCell ref="B113:B114"/>
    <mergeCell ref="A11:A12"/>
    <mergeCell ref="B11:B12"/>
    <mergeCell ref="C11:C12"/>
    <mergeCell ref="D11:D12"/>
    <mergeCell ref="E11:E12"/>
    <mergeCell ref="F11:F12"/>
    <mergeCell ref="A36:A37"/>
    <mergeCell ref="B36:B37"/>
    <mergeCell ref="C36:C37"/>
    <mergeCell ref="D36:D37"/>
    <mergeCell ref="E36:E37"/>
    <mergeCell ref="A15:A17"/>
    <mergeCell ref="B15:B17"/>
    <mergeCell ref="A25:A27"/>
    <mergeCell ref="B76:B80"/>
    <mergeCell ref="C76:C80"/>
    <mergeCell ref="B25:B27"/>
    <mergeCell ref="C25:C27"/>
    <mergeCell ref="A113:A114"/>
    <mergeCell ref="C110:C111"/>
    <mergeCell ref="A110:A111"/>
    <mergeCell ref="A566:A567"/>
    <mergeCell ref="B373:B374"/>
    <mergeCell ref="M25:M26"/>
    <mergeCell ref="G587:L587"/>
    <mergeCell ref="M441:M442"/>
    <mergeCell ref="A248:A251"/>
    <mergeCell ref="B248:B251"/>
    <mergeCell ref="G250:K251"/>
    <mergeCell ref="L250:L251"/>
    <mergeCell ref="M250:M251"/>
    <mergeCell ref="G586:L586"/>
    <mergeCell ref="M331:M336"/>
    <mergeCell ref="B359:B361"/>
    <mergeCell ref="A359:A361"/>
    <mergeCell ref="M359:M361"/>
    <mergeCell ref="B530:B531"/>
    <mergeCell ref="A530:A531"/>
    <mergeCell ref="C530:C531"/>
    <mergeCell ref="D530:D531"/>
    <mergeCell ref="E530:E531"/>
    <mergeCell ref="F530:F531"/>
    <mergeCell ref="K530:K531"/>
    <mergeCell ref="L530:L531"/>
    <mergeCell ref="A98:A99"/>
    <mergeCell ref="D190:D191"/>
    <mergeCell ref="K207:K209"/>
    <mergeCell ref="K190:K191"/>
    <mergeCell ref="C193:C195"/>
    <mergeCell ref="H146:H147"/>
    <mergeCell ref="C216:C231"/>
    <mergeCell ref="E194:E195"/>
    <mergeCell ref="D187:D188"/>
    <mergeCell ref="D194:D195"/>
    <mergeCell ref="E196:E197"/>
    <mergeCell ref="J184:J185"/>
    <mergeCell ref="G184:G185"/>
    <mergeCell ref="A276:A277"/>
    <mergeCell ref="B323:B324"/>
    <mergeCell ref="C276:C277"/>
    <mergeCell ref="A262:A263"/>
    <mergeCell ref="B262:B263"/>
    <mergeCell ref="B237:B238"/>
    <mergeCell ref="C237:C238"/>
    <mergeCell ref="A312:A313"/>
    <mergeCell ref="C373:C374"/>
    <mergeCell ref="A300:A301"/>
    <mergeCell ref="A329:A336"/>
    <mergeCell ref="B329:B336"/>
    <mergeCell ref="C329:C336"/>
    <mergeCell ref="B297:B298"/>
    <mergeCell ref="C297:C298"/>
    <mergeCell ref="B312:B313"/>
    <mergeCell ref="B300:B301"/>
    <mergeCell ref="C85:C87"/>
    <mergeCell ref="A81:A84"/>
    <mergeCell ref="B81:B84"/>
    <mergeCell ref="K203:K204"/>
    <mergeCell ref="G199:K199"/>
    <mergeCell ref="K196:K197"/>
    <mergeCell ref="B203:B204"/>
    <mergeCell ref="C206:C210"/>
    <mergeCell ref="B175:B176"/>
    <mergeCell ref="J146:J147"/>
    <mergeCell ref="G144:G145"/>
    <mergeCell ref="H144:H145"/>
    <mergeCell ref="A196:A197"/>
    <mergeCell ref="I144:I145"/>
    <mergeCell ref="G146:G147"/>
    <mergeCell ref="F194:F195"/>
    <mergeCell ref="E181:E182"/>
    <mergeCell ref="F181:F182"/>
    <mergeCell ref="B193:B195"/>
    <mergeCell ref="A144:A145"/>
    <mergeCell ref="F196:F197"/>
    <mergeCell ref="I184:I185"/>
    <mergeCell ref="H184:H185"/>
    <mergeCell ref="D181:D182"/>
    <mergeCell ref="B571:B572"/>
    <mergeCell ref="A571:A572"/>
    <mergeCell ref="A41:A42"/>
    <mergeCell ref="B41:B42"/>
    <mergeCell ref="C41:C42"/>
    <mergeCell ref="D41:D42"/>
    <mergeCell ref="B340:B343"/>
    <mergeCell ref="A340:A343"/>
    <mergeCell ref="C340:C343"/>
    <mergeCell ref="D341:F342"/>
    <mergeCell ref="A88:A95"/>
    <mergeCell ref="B88:B95"/>
    <mergeCell ref="C88:C95"/>
    <mergeCell ref="D88:D95"/>
    <mergeCell ref="E88:E95"/>
    <mergeCell ref="F88:F95"/>
    <mergeCell ref="A388:A392"/>
    <mergeCell ref="F566:F567"/>
    <mergeCell ref="E142:K142"/>
    <mergeCell ref="B357:B358"/>
    <mergeCell ref="C357:C358"/>
    <mergeCell ref="D357:D358"/>
    <mergeCell ref="E357:E358"/>
    <mergeCell ref="C458:C459"/>
    <mergeCell ref="B196:B197"/>
    <mergeCell ref="D196:D197"/>
    <mergeCell ref="F331:F336"/>
    <mergeCell ref="H290:H291"/>
    <mergeCell ref="I290:I291"/>
    <mergeCell ref="F297:F298"/>
    <mergeCell ref="E331:E336"/>
    <mergeCell ref="D207:D209"/>
    <mergeCell ref="J312:J313"/>
    <mergeCell ref="E237:E238"/>
    <mergeCell ref="D216:D231"/>
    <mergeCell ref="E216:E231"/>
    <mergeCell ref="D276:D277"/>
    <mergeCell ref="E276:E277"/>
    <mergeCell ref="G269:K269"/>
    <mergeCell ref="G263:K263"/>
    <mergeCell ref="K216:K231"/>
    <mergeCell ref="F216:F231"/>
    <mergeCell ref="F237:F238"/>
    <mergeCell ref="D237:D238"/>
    <mergeCell ref="G572:K572"/>
    <mergeCell ref="M571:M572"/>
    <mergeCell ref="B388:B392"/>
    <mergeCell ref="C388:C392"/>
    <mergeCell ref="G392:K392"/>
    <mergeCell ref="B399:B405"/>
    <mergeCell ref="B470:B471"/>
    <mergeCell ref="D419:D420"/>
    <mergeCell ref="M530:M531"/>
    <mergeCell ref="B419:B420"/>
    <mergeCell ref="C419:C420"/>
    <mergeCell ref="K492:K493"/>
    <mergeCell ref="M429:M430"/>
    <mergeCell ref="M416:M417"/>
    <mergeCell ref="M431:M432"/>
    <mergeCell ref="M458:M459"/>
    <mergeCell ref="D427:F427"/>
    <mergeCell ref="G405:J405"/>
    <mergeCell ref="C399:C405"/>
    <mergeCell ref="E419:E420"/>
    <mergeCell ref="M503:M504"/>
    <mergeCell ref="B458:B459"/>
    <mergeCell ref="M406:M409"/>
    <mergeCell ref="K388:K391"/>
    <mergeCell ref="B456:B457"/>
    <mergeCell ref="M276:M277"/>
    <mergeCell ref="M224:M231"/>
    <mergeCell ref="M203:M204"/>
    <mergeCell ref="M237:M238"/>
    <mergeCell ref="L207:L209"/>
    <mergeCell ref="M297:M298"/>
    <mergeCell ref="L388:L391"/>
    <mergeCell ref="M341:M343"/>
    <mergeCell ref="K341:K342"/>
    <mergeCell ref="M381:M382"/>
    <mergeCell ref="L331:L336"/>
    <mergeCell ref="M312:M313"/>
    <mergeCell ref="K312:K313"/>
    <mergeCell ref="G301:K301"/>
    <mergeCell ref="M323:M324"/>
    <mergeCell ref="M384:M385"/>
    <mergeCell ref="M375:O375"/>
    <mergeCell ref="G377:K377"/>
    <mergeCell ref="L381:L382"/>
    <mergeCell ref="K381:K382"/>
    <mergeCell ref="J381:J382"/>
    <mergeCell ref="L203:L204"/>
    <mergeCell ref="C375:C377"/>
    <mergeCell ref="M388:M391"/>
    <mergeCell ref="M293:M295"/>
    <mergeCell ref="K291:K293"/>
    <mergeCell ref="L291:L293"/>
    <mergeCell ref="G295:K295"/>
    <mergeCell ref="G404:J404"/>
    <mergeCell ref="M196:M197"/>
    <mergeCell ref="G248:G249"/>
    <mergeCell ref="K276:K277"/>
    <mergeCell ref="L276:L277"/>
    <mergeCell ref="M287:M288"/>
    <mergeCell ref="L248:L249"/>
    <mergeCell ref="L237:L238"/>
    <mergeCell ref="H248:K249"/>
    <mergeCell ref="H287:H288"/>
    <mergeCell ref="I287:I288"/>
    <mergeCell ref="J287:J288"/>
    <mergeCell ref="K287:K288"/>
    <mergeCell ref="L216:L231"/>
    <mergeCell ref="M207:M209"/>
    <mergeCell ref="L274:L275"/>
    <mergeCell ref="M274:M275"/>
    <mergeCell ref="K237:K238"/>
    <mergeCell ref="L196:L197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8"/>
  <sheetViews>
    <sheetView rightToLeft="1" topLeftCell="G1" zoomScale="60" zoomScaleNormal="60" workbookViewId="0">
      <pane ySplit="1" topLeftCell="A659" activePane="bottomLeft" state="frozen"/>
      <selection activeCell="B1" sqref="B1"/>
      <selection pane="bottomLeft" activeCell="M671" sqref="M671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6.625" customWidth="1"/>
    <col min="10" max="10" width="24.875" customWidth="1"/>
    <col min="11" max="12" width="20.75" style="5" customWidth="1"/>
    <col min="13" max="13" width="134.875" style="406" customWidth="1"/>
  </cols>
  <sheetData>
    <row r="1" spans="1:13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266</v>
      </c>
      <c r="J1" s="1" t="s">
        <v>264</v>
      </c>
      <c r="K1" s="1" t="s">
        <v>283</v>
      </c>
      <c r="L1" s="10" t="s">
        <v>296</v>
      </c>
      <c r="M1" s="155" t="s">
        <v>271</v>
      </c>
    </row>
    <row r="2" spans="1:13" ht="30" customHeight="1" x14ac:dyDescent="0.2">
      <c r="A2" s="2031">
        <v>1</v>
      </c>
      <c r="B2" s="2029" t="s">
        <v>1589</v>
      </c>
      <c r="C2" s="2149" t="s">
        <v>380</v>
      </c>
      <c r="D2" s="2040">
        <v>600000000</v>
      </c>
      <c r="E2" s="2037">
        <v>0.06</v>
      </c>
      <c r="F2" s="2040">
        <f>D2*E2</f>
        <v>36000000</v>
      </c>
      <c r="G2" s="1032">
        <v>16000000</v>
      </c>
      <c r="H2" s="1032" t="s">
        <v>3020</v>
      </c>
      <c r="I2" s="1048" t="s">
        <v>3106</v>
      </c>
      <c r="J2" s="24" t="s">
        <v>1920</v>
      </c>
      <c r="K2" s="2040">
        <f>G2+G3</f>
        <v>36000000</v>
      </c>
      <c r="L2" s="2040">
        <f t="shared" ref="L2:L11" si="0">F2-K2</f>
        <v>0</v>
      </c>
      <c r="M2" s="2101"/>
    </row>
    <row r="3" spans="1:13" ht="30" customHeight="1" x14ac:dyDescent="0.2">
      <c r="A3" s="2032"/>
      <c r="B3" s="2030"/>
      <c r="C3" s="2150"/>
      <c r="D3" s="2042"/>
      <c r="E3" s="2039"/>
      <c r="F3" s="2042"/>
      <c r="G3" s="1300">
        <v>20000000</v>
      </c>
      <c r="H3" s="1300" t="s">
        <v>3041</v>
      </c>
      <c r="I3" s="1303" t="s">
        <v>3161</v>
      </c>
      <c r="J3" s="24" t="s">
        <v>1920</v>
      </c>
      <c r="K3" s="2042"/>
      <c r="L3" s="2042"/>
      <c r="M3" s="2102"/>
    </row>
    <row r="4" spans="1:13" ht="30" customHeight="1" x14ac:dyDescent="0.2">
      <c r="A4" s="1065">
        <v>2</v>
      </c>
      <c r="B4" s="22" t="s">
        <v>287</v>
      </c>
      <c r="C4" s="1046"/>
      <c r="D4" s="1032">
        <v>300000000</v>
      </c>
      <c r="E4" s="1060">
        <v>0.05</v>
      </c>
      <c r="F4" s="1032">
        <f>D4*E4</f>
        <v>15000000</v>
      </c>
      <c r="G4" s="1032">
        <v>15000000</v>
      </c>
      <c r="H4" s="1032" t="s">
        <v>2945</v>
      </c>
      <c r="I4" s="1048" t="s">
        <v>2963</v>
      </c>
      <c r="J4" s="24" t="s">
        <v>1891</v>
      </c>
      <c r="K4" s="1032">
        <f t="shared" ref="K4:K11" si="1">G4</f>
        <v>15000000</v>
      </c>
      <c r="L4" s="1032">
        <f t="shared" si="0"/>
        <v>0</v>
      </c>
      <c r="M4" s="1067"/>
    </row>
    <row r="5" spans="1:13" ht="30" customHeight="1" x14ac:dyDescent="0.2">
      <c r="A5" s="1065">
        <v>3</v>
      </c>
      <c r="B5" s="22" t="s">
        <v>290</v>
      </c>
      <c r="C5" s="1046" t="s">
        <v>367</v>
      </c>
      <c r="D5" s="1032">
        <v>36000000</v>
      </c>
      <c r="E5" s="1060">
        <v>7.0000000000000007E-2</v>
      </c>
      <c r="F5" s="1032">
        <v>2500000</v>
      </c>
      <c r="G5" s="1032">
        <v>2500000</v>
      </c>
      <c r="H5" s="1032" t="s">
        <v>2040</v>
      </c>
      <c r="I5" s="1048" t="s">
        <v>2992</v>
      </c>
      <c r="J5" s="28" t="s">
        <v>2993</v>
      </c>
      <c r="K5" s="1032">
        <f t="shared" si="1"/>
        <v>2500000</v>
      </c>
      <c r="L5" s="1032">
        <f t="shared" si="0"/>
        <v>0</v>
      </c>
      <c r="M5" s="1067"/>
    </row>
    <row r="6" spans="1:13" ht="30" customHeight="1" x14ac:dyDescent="0.2">
      <c r="A6" s="1065">
        <v>4</v>
      </c>
      <c r="B6" s="22" t="s">
        <v>315</v>
      </c>
      <c r="C6" s="1046"/>
      <c r="D6" s="1032">
        <v>535000000</v>
      </c>
      <c r="E6" s="1060">
        <v>5.7000000000000002E-2</v>
      </c>
      <c r="F6" s="1032">
        <v>30000000</v>
      </c>
      <c r="G6" s="1032">
        <v>30000000</v>
      </c>
      <c r="H6" s="1032" t="s">
        <v>2847</v>
      </c>
      <c r="I6" s="1048" t="s">
        <v>2860</v>
      </c>
      <c r="J6" s="28" t="s">
        <v>2861</v>
      </c>
      <c r="K6" s="1032">
        <f t="shared" si="1"/>
        <v>30000000</v>
      </c>
      <c r="L6" s="1032">
        <f t="shared" si="0"/>
        <v>0</v>
      </c>
      <c r="M6" s="1067"/>
    </row>
    <row r="7" spans="1:13" ht="30" customHeight="1" x14ac:dyDescent="0.2">
      <c r="A7" s="1065">
        <v>5</v>
      </c>
      <c r="B7" s="22" t="s">
        <v>323</v>
      </c>
      <c r="C7" s="1046" t="s">
        <v>380</v>
      </c>
      <c r="D7" s="1032">
        <v>20000000</v>
      </c>
      <c r="E7" s="1060">
        <v>7.0000000000000007E-2</v>
      </c>
      <c r="F7" s="1032">
        <v>1400000</v>
      </c>
      <c r="G7" s="1032">
        <v>1400000</v>
      </c>
      <c r="H7" s="1032" t="s">
        <v>2831</v>
      </c>
      <c r="I7" s="1048" t="s">
        <v>2894</v>
      </c>
      <c r="J7" s="28" t="s">
        <v>1956</v>
      </c>
      <c r="K7" s="1032">
        <f t="shared" si="1"/>
        <v>1400000</v>
      </c>
      <c r="L7" s="1032">
        <f t="shared" si="0"/>
        <v>0</v>
      </c>
      <c r="M7" s="33" t="s">
        <v>326</v>
      </c>
    </row>
    <row r="8" spans="1:13" ht="30" customHeight="1" x14ac:dyDescent="0.2">
      <c r="A8" s="1026">
        <v>6</v>
      </c>
      <c r="B8" s="1066" t="s">
        <v>416</v>
      </c>
      <c r="C8" s="1045"/>
      <c r="D8" s="1032">
        <v>15000000</v>
      </c>
      <c r="E8" s="1060">
        <v>0.05</v>
      </c>
      <c r="F8" s="1032">
        <f t="shared" ref="F8:F14" si="2">D8*E8</f>
        <v>750000</v>
      </c>
      <c r="G8" s="1032"/>
      <c r="H8" s="1032"/>
      <c r="I8" s="1048"/>
      <c r="J8" s="28"/>
      <c r="K8" s="1032">
        <f t="shared" si="1"/>
        <v>0</v>
      </c>
      <c r="L8" s="1032">
        <f t="shared" si="0"/>
        <v>750000</v>
      </c>
      <c r="M8" s="686"/>
    </row>
    <row r="9" spans="1:13" ht="30" customHeight="1" x14ac:dyDescent="0.2">
      <c r="A9" s="1026">
        <v>7</v>
      </c>
      <c r="B9" s="1066" t="s">
        <v>104</v>
      </c>
      <c r="C9" s="1045" t="s">
        <v>916</v>
      </c>
      <c r="D9" s="1032">
        <v>45000000</v>
      </c>
      <c r="E9" s="1060">
        <v>0.05</v>
      </c>
      <c r="F9" s="1032">
        <f t="shared" si="2"/>
        <v>2250000</v>
      </c>
      <c r="G9" s="1032">
        <v>2250000</v>
      </c>
      <c r="H9" s="1032" t="s">
        <v>2695</v>
      </c>
      <c r="I9" s="1048" t="s">
        <v>2697</v>
      </c>
      <c r="J9" s="30" t="s">
        <v>418</v>
      </c>
      <c r="K9" s="1032">
        <f t="shared" si="1"/>
        <v>2250000</v>
      </c>
      <c r="L9" s="1032">
        <f t="shared" si="0"/>
        <v>0</v>
      </c>
      <c r="M9" s="794"/>
    </row>
    <row r="10" spans="1:13" ht="30" customHeight="1" x14ac:dyDescent="0.2">
      <c r="A10" s="1026">
        <v>8</v>
      </c>
      <c r="B10" s="22" t="s">
        <v>356</v>
      </c>
      <c r="C10" s="421" t="s">
        <v>1346</v>
      </c>
      <c r="D10" s="1047">
        <v>400000000</v>
      </c>
      <c r="E10" s="1060">
        <v>4.4999999999999998E-2</v>
      </c>
      <c r="F10" s="1047">
        <f t="shared" si="2"/>
        <v>18000000</v>
      </c>
      <c r="G10" s="1047">
        <v>18000000</v>
      </c>
      <c r="H10" s="1032" t="s">
        <v>3041</v>
      </c>
      <c r="I10" s="1057" t="s">
        <v>3132</v>
      </c>
      <c r="J10" s="28" t="s">
        <v>2165</v>
      </c>
      <c r="K10" s="1032">
        <f t="shared" si="1"/>
        <v>18000000</v>
      </c>
      <c r="L10" s="1047">
        <f t="shared" si="0"/>
        <v>0</v>
      </c>
      <c r="M10" s="1033"/>
    </row>
    <row r="11" spans="1:13" ht="30" customHeight="1" x14ac:dyDescent="0.2">
      <c r="A11" s="1065">
        <v>9</v>
      </c>
      <c r="B11" s="1067" t="s">
        <v>387</v>
      </c>
      <c r="C11" s="1046" t="s">
        <v>379</v>
      </c>
      <c r="D11" s="1032">
        <v>10000000</v>
      </c>
      <c r="E11" s="1029">
        <v>0.05</v>
      </c>
      <c r="F11" s="1032">
        <f t="shared" si="2"/>
        <v>500000</v>
      </c>
      <c r="G11" s="1032">
        <v>500000</v>
      </c>
      <c r="H11" s="1032" t="s">
        <v>2945</v>
      </c>
      <c r="I11" s="1048" t="s">
        <v>2960</v>
      </c>
      <c r="J11" s="28" t="s">
        <v>1031</v>
      </c>
      <c r="K11" s="1032">
        <f t="shared" si="1"/>
        <v>500000</v>
      </c>
      <c r="L11" s="1032">
        <f t="shared" si="0"/>
        <v>0</v>
      </c>
      <c r="M11" s="33"/>
    </row>
    <row r="12" spans="1:13" ht="30" customHeight="1" x14ac:dyDescent="0.2">
      <c r="A12" s="1065">
        <v>10</v>
      </c>
      <c r="B12" s="1066" t="s">
        <v>1029</v>
      </c>
      <c r="C12" s="1059" t="s">
        <v>1913</v>
      </c>
      <c r="D12" s="1032">
        <v>180000000</v>
      </c>
      <c r="E12" s="1060">
        <v>7.0000000000000007E-2</v>
      </c>
      <c r="F12" s="1032">
        <f t="shared" si="2"/>
        <v>12600000.000000002</v>
      </c>
      <c r="G12" s="1032">
        <v>12600000</v>
      </c>
      <c r="H12" s="1032" t="s">
        <v>3333</v>
      </c>
      <c r="I12" s="1048" t="s">
        <v>3340</v>
      </c>
      <c r="J12" s="28" t="s">
        <v>2507</v>
      </c>
      <c r="K12" s="1032">
        <f>G12</f>
        <v>12600000</v>
      </c>
      <c r="L12" s="1032">
        <f>F12-K12</f>
        <v>0</v>
      </c>
      <c r="M12" s="192" t="s">
        <v>3341</v>
      </c>
    </row>
    <row r="13" spans="1:13" ht="30" customHeight="1" x14ac:dyDescent="0.2">
      <c r="A13" s="2031">
        <v>11</v>
      </c>
      <c r="B13" s="2267" t="s">
        <v>402</v>
      </c>
      <c r="C13" s="1046" t="s">
        <v>367</v>
      </c>
      <c r="D13" s="1047">
        <v>15000000</v>
      </c>
      <c r="E13" s="1060">
        <v>7.0000000000000007E-2</v>
      </c>
      <c r="F13" s="1047">
        <f t="shared" si="2"/>
        <v>1050000</v>
      </c>
      <c r="G13" s="1032">
        <v>1050000</v>
      </c>
      <c r="H13" s="1032" t="s">
        <v>3060</v>
      </c>
      <c r="I13" s="1048" t="s">
        <v>3065</v>
      </c>
      <c r="J13" s="30" t="s">
        <v>3066</v>
      </c>
      <c r="K13" s="2040">
        <f>G13+G14</f>
        <v>1300000</v>
      </c>
      <c r="L13" s="2040">
        <f>(F13+F14)-K13</f>
        <v>0</v>
      </c>
      <c r="M13" s="2043"/>
    </row>
    <row r="14" spans="1:13" ht="30" customHeight="1" x14ac:dyDescent="0.2">
      <c r="A14" s="2034"/>
      <c r="B14" s="2267"/>
      <c r="C14" s="1046" t="s">
        <v>1110</v>
      </c>
      <c r="D14" s="1047">
        <v>5000000</v>
      </c>
      <c r="E14" s="1060">
        <v>0.05</v>
      </c>
      <c r="F14" s="1047">
        <f t="shared" si="2"/>
        <v>250000</v>
      </c>
      <c r="G14" s="1032">
        <v>250000</v>
      </c>
      <c r="H14" s="1032" t="s">
        <v>3449</v>
      </c>
      <c r="I14" s="1048" t="s">
        <v>3485</v>
      </c>
      <c r="J14" s="57" t="s">
        <v>3066</v>
      </c>
      <c r="K14" s="2042"/>
      <c r="L14" s="2042"/>
      <c r="M14" s="2045"/>
    </row>
    <row r="15" spans="1:13" ht="30" customHeight="1" x14ac:dyDescent="0.2">
      <c r="A15" s="1027">
        <v>12</v>
      </c>
      <c r="B15" s="1025" t="s">
        <v>408</v>
      </c>
      <c r="C15" s="1046" t="s">
        <v>411</v>
      </c>
      <c r="D15" s="1032">
        <v>75000000</v>
      </c>
      <c r="E15" s="1029"/>
      <c r="F15" s="1032">
        <v>3750000</v>
      </c>
      <c r="G15" s="1032">
        <v>3750000</v>
      </c>
      <c r="H15" s="1032" t="s">
        <v>2341</v>
      </c>
      <c r="I15" s="1048" t="s">
        <v>2756</v>
      </c>
      <c r="J15" s="57" t="s">
        <v>410</v>
      </c>
      <c r="K15" s="1032">
        <f>G15</f>
        <v>3750000</v>
      </c>
      <c r="L15" s="1032">
        <f>F15-K15</f>
        <v>0</v>
      </c>
      <c r="M15" s="1035"/>
    </row>
    <row r="16" spans="1:13" ht="30" customHeight="1" x14ac:dyDescent="0.2">
      <c r="A16" s="2031">
        <v>13</v>
      </c>
      <c r="B16" s="2029" t="s">
        <v>429</v>
      </c>
      <c r="C16" s="2149" t="s">
        <v>367</v>
      </c>
      <c r="D16" s="1032">
        <v>80000000</v>
      </c>
      <c r="E16" s="1221">
        <f>F16/D16</f>
        <v>0.06</v>
      </c>
      <c r="F16" s="1032">
        <v>4800000</v>
      </c>
      <c r="G16" s="1947" t="s">
        <v>2539</v>
      </c>
      <c r="H16" s="1948"/>
      <c r="I16" s="1948"/>
      <c r="J16" s="1949"/>
      <c r="K16" s="1032" t="str">
        <f>G16</f>
        <v>به اصل مبلغ اضافه شد.</v>
      </c>
      <c r="L16" s="1032" t="e">
        <f>F16-K16</f>
        <v>#VALUE!</v>
      </c>
      <c r="M16" s="1035"/>
    </row>
    <row r="17" spans="1:13" ht="30" customHeight="1" x14ac:dyDescent="0.2">
      <c r="A17" s="2034"/>
      <c r="B17" s="2033"/>
      <c r="C17" s="2158"/>
      <c r="D17" s="2040"/>
      <c r="E17" s="2037"/>
      <c r="F17" s="2040"/>
      <c r="G17" s="2097" t="s">
        <v>2872</v>
      </c>
      <c r="H17" s="2195"/>
      <c r="I17" s="2195"/>
      <c r="J17" s="2098"/>
      <c r="K17" s="1218"/>
      <c r="L17" s="1218"/>
      <c r="M17" s="1219"/>
    </row>
    <row r="18" spans="1:13" ht="30" customHeight="1" x14ac:dyDescent="0.2">
      <c r="A18" s="2034"/>
      <c r="B18" s="2033"/>
      <c r="C18" s="2158"/>
      <c r="D18" s="2042"/>
      <c r="E18" s="2039"/>
      <c r="F18" s="2042"/>
      <c r="G18" s="2099"/>
      <c r="H18" s="2196"/>
      <c r="I18" s="2196"/>
      <c r="J18" s="2100"/>
      <c r="K18" s="1218"/>
      <c r="L18" s="1218"/>
      <c r="M18" s="1219"/>
    </row>
    <row r="19" spans="1:13" ht="30" customHeight="1" x14ac:dyDescent="0.2">
      <c r="A19" s="2034"/>
      <c r="B19" s="2033"/>
      <c r="C19" s="2158"/>
      <c r="D19" s="1218">
        <v>80000000</v>
      </c>
      <c r="E19" s="1221">
        <v>0.06</v>
      </c>
      <c r="F19" s="1218">
        <f t="shared" ref="F19:F24" si="3">D19*E19</f>
        <v>4800000</v>
      </c>
      <c r="G19" s="2348" t="s">
        <v>2873</v>
      </c>
      <c r="H19" s="2349"/>
      <c r="I19" s="2349"/>
      <c r="J19" s="2350"/>
      <c r="K19" s="1218"/>
      <c r="L19" s="1218"/>
      <c r="M19" s="1219"/>
    </row>
    <row r="20" spans="1:13" ht="30" customHeight="1" x14ac:dyDescent="0.2">
      <c r="A20" s="2032"/>
      <c r="B20" s="2030"/>
      <c r="C20" s="2150"/>
      <c r="D20" s="1218">
        <v>100000000</v>
      </c>
      <c r="E20" s="1221">
        <v>7.0000000000000007E-2</v>
      </c>
      <c r="F20" s="1218">
        <f t="shared" si="3"/>
        <v>7000000.0000000009</v>
      </c>
      <c r="G20" s="2351"/>
      <c r="H20" s="2352"/>
      <c r="I20" s="2352"/>
      <c r="J20" s="2353"/>
      <c r="K20" s="1218"/>
      <c r="L20" s="1218"/>
      <c r="M20" s="1219"/>
    </row>
    <row r="21" spans="1:13" ht="30" customHeight="1" x14ac:dyDescent="0.2">
      <c r="A21" s="1027">
        <v>14</v>
      </c>
      <c r="B21" s="1025" t="s">
        <v>437</v>
      </c>
      <c r="C21" s="1046" t="s">
        <v>1355</v>
      </c>
      <c r="D21" s="1032">
        <v>150000000</v>
      </c>
      <c r="E21" s="1029">
        <v>0.04</v>
      </c>
      <c r="F21" s="1032">
        <f t="shared" si="3"/>
        <v>6000000</v>
      </c>
      <c r="G21" s="1032">
        <v>6000000</v>
      </c>
      <c r="H21" s="1032" t="s">
        <v>3109</v>
      </c>
      <c r="I21" s="1048" t="s">
        <v>3126</v>
      </c>
      <c r="J21" s="69" t="s">
        <v>439</v>
      </c>
      <c r="K21" s="1032">
        <f>G21</f>
        <v>6000000</v>
      </c>
      <c r="L21" s="1032">
        <f>F21-K21</f>
        <v>0</v>
      </c>
      <c r="M21" s="1035"/>
    </row>
    <row r="22" spans="1:13" ht="30" customHeight="1" x14ac:dyDescent="0.2">
      <c r="A22" s="1027">
        <v>15</v>
      </c>
      <c r="B22" s="1025" t="s">
        <v>445</v>
      </c>
      <c r="C22" s="1046"/>
      <c r="D22" s="1032">
        <v>13000000</v>
      </c>
      <c r="E22" s="1029">
        <v>0.05</v>
      </c>
      <c r="F22" s="1032">
        <f t="shared" si="3"/>
        <v>650000</v>
      </c>
      <c r="G22" s="1032">
        <v>650000</v>
      </c>
      <c r="H22" s="1032" t="s">
        <v>3060</v>
      </c>
      <c r="I22" s="1048" t="s">
        <v>3061</v>
      </c>
      <c r="J22" s="69" t="s">
        <v>2222</v>
      </c>
      <c r="K22" s="1032">
        <f>G22</f>
        <v>650000</v>
      </c>
      <c r="L22" s="1032">
        <f t="shared" ref="L22:L26" si="4">F22-K22</f>
        <v>0</v>
      </c>
      <c r="M22" s="1035"/>
    </row>
    <row r="23" spans="1:13" ht="30" customHeight="1" x14ac:dyDescent="0.2">
      <c r="A23" s="1027">
        <v>16</v>
      </c>
      <c r="B23" s="2029" t="s">
        <v>498</v>
      </c>
      <c r="C23" s="2149"/>
      <c r="D23" s="1098">
        <v>80000000</v>
      </c>
      <c r="E23" s="1102">
        <v>0.04</v>
      </c>
      <c r="F23" s="1098">
        <f t="shared" si="3"/>
        <v>3200000</v>
      </c>
      <c r="G23" s="1032">
        <v>3200000</v>
      </c>
      <c r="H23" s="2040" t="s">
        <v>2695</v>
      </c>
      <c r="I23" s="2159" t="s">
        <v>2701</v>
      </c>
      <c r="J23" s="2164" t="s">
        <v>2702</v>
      </c>
      <c r="K23" s="2040">
        <f>G23+G24</f>
        <v>6400000</v>
      </c>
      <c r="L23" s="2040">
        <f>(F23+F24)-K23</f>
        <v>0</v>
      </c>
      <c r="M23" s="1100"/>
    </row>
    <row r="24" spans="1:13" ht="30" customHeight="1" x14ac:dyDescent="0.2">
      <c r="A24" s="1097"/>
      <c r="B24" s="2030"/>
      <c r="C24" s="2150"/>
      <c r="D24" s="1098">
        <v>80000000</v>
      </c>
      <c r="E24" s="1102">
        <v>0.04</v>
      </c>
      <c r="F24" s="1098">
        <f t="shared" si="3"/>
        <v>3200000</v>
      </c>
      <c r="G24" s="1099">
        <v>3200000</v>
      </c>
      <c r="H24" s="2042"/>
      <c r="I24" s="2160"/>
      <c r="J24" s="2165"/>
      <c r="K24" s="2042"/>
      <c r="L24" s="2042"/>
      <c r="M24" s="1101"/>
    </row>
    <row r="25" spans="1:13" ht="30" customHeight="1" x14ac:dyDescent="0.2">
      <c r="A25" s="1027">
        <v>17</v>
      </c>
      <c r="B25" s="1025" t="s">
        <v>768</v>
      </c>
      <c r="C25" s="1046" t="s">
        <v>1344</v>
      </c>
      <c r="D25" s="1032">
        <v>100000000</v>
      </c>
      <c r="E25" s="1029">
        <v>0.06</v>
      </c>
      <c r="F25" s="1032">
        <f t="shared" ref="F25:F26" si="5">D25*E25</f>
        <v>6000000</v>
      </c>
      <c r="G25" s="1032">
        <v>6000000</v>
      </c>
      <c r="H25" s="1032" t="s">
        <v>3333</v>
      </c>
      <c r="I25" s="1048" t="s">
        <v>3351</v>
      </c>
      <c r="J25" s="69" t="s">
        <v>3352</v>
      </c>
      <c r="K25" s="1032">
        <f>G25</f>
        <v>6000000</v>
      </c>
      <c r="L25" s="1032">
        <f t="shared" si="4"/>
        <v>0</v>
      </c>
      <c r="M25" s="1035"/>
    </row>
    <row r="26" spans="1:13" ht="30" customHeight="1" x14ac:dyDescent="0.2">
      <c r="A26" s="1027">
        <v>18</v>
      </c>
      <c r="B26" s="1025" t="s">
        <v>567</v>
      </c>
      <c r="C26" s="1046" t="s">
        <v>1355</v>
      </c>
      <c r="D26" s="1032">
        <v>50000000</v>
      </c>
      <c r="E26" s="1029">
        <v>0.05</v>
      </c>
      <c r="F26" s="1032">
        <f t="shared" si="5"/>
        <v>2500000</v>
      </c>
      <c r="G26" s="1032">
        <v>2500000</v>
      </c>
      <c r="H26" s="1032" t="s">
        <v>3109</v>
      </c>
      <c r="I26" s="1048" t="s">
        <v>3117</v>
      </c>
      <c r="J26" s="69" t="s">
        <v>3118</v>
      </c>
      <c r="K26" s="1032">
        <f>G26</f>
        <v>2500000</v>
      </c>
      <c r="L26" s="1032">
        <f t="shared" si="4"/>
        <v>0</v>
      </c>
      <c r="M26" s="1035"/>
    </row>
    <row r="27" spans="1:13" ht="30" customHeight="1" x14ac:dyDescent="0.2">
      <c r="A27" s="2031">
        <v>19</v>
      </c>
      <c r="B27" s="2029" t="s">
        <v>574</v>
      </c>
      <c r="C27" s="2149"/>
      <c r="D27" s="1038">
        <v>5000000</v>
      </c>
      <c r="E27" s="1039"/>
      <c r="F27" s="1038">
        <v>200000</v>
      </c>
      <c r="G27" s="2040"/>
      <c r="H27" s="2040"/>
      <c r="I27" s="2159"/>
      <c r="J27" s="2164"/>
      <c r="K27" s="2040"/>
      <c r="L27" s="2040">
        <f>(F27+F28)-K27</f>
        <v>300000</v>
      </c>
      <c r="M27" s="2043" t="s">
        <v>1255</v>
      </c>
    </row>
    <row r="28" spans="1:13" ht="30" customHeight="1" x14ac:dyDescent="0.2">
      <c r="A28" s="2034"/>
      <c r="B28" s="2033"/>
      <c r="C28" s="2158"/>
      <c r="D28" s="1038">
        <v>2500000</v>
      </c>
      <c r="E28" s="1039"/>
      <c r="F28" s="1038">
        <v>100000</v>
      </c>
      <c r="G28" s="2042"/>
      <c r="H28" s="2042"/>
      <c r="I28" s="2160"/>
      <c r="J28" s="2165"/>
      <c r="K28" s="2042"/>
      <c r="L28" s="2042"/>
      <c r="M28" s="2045"/>
    </row>
    <row r="29" spans="1:13" ht="30" customHeight="1" x14ac:dyDescent="0.2">
      <c r="A29" s="2034"/>
      <c r="B29" s="2033"/>
      <c r="C29" s="2158"/>
      <c r="D29" s="1038">
        <v>50000000</v>
      </c>
      <c r="E29" s="1039"/>
      <c r="F29" s="1038"/>
      <c r="G29" s="2200" t="s">
        <v>2125</v>
      </c>
      <c r="H29" s="2201"/>
      <c r="I29" s="2201"/>
      <c r="J29" s="2201"/>
      <c r="K29" s="2202"/>
      <c r="L29" s="1031"/>
      <c r="M29" s="1034"/>
    </row>
    <row r="30" spans="1:13" ht="30" customHeight="1" x14ac:dyDescent="0.2">
      <c r="A30" s="2032"/>
      <c r="B30" s="2030"/>
      <c r="C30" s="2150"/>
      <c r="D30" s="1293">
        <v>15000000</v>
      </c>
      <c r="E30" s="1294"/>
      <c r="F30" s="1293"/>
      <c r="G30" s="2200" t="s">
        <v>3056</v>
      </c>
      <c r="H30" s="2201"/>
      <c r="I30" s="2201"/>
      <c r="J30" s="2201"/>
      <c r="K30" s="2202"/>
      <c r="L30" s="1290"/>
      <c r="M30" s="1292"/>
    </row>
    <row r="31" spans="1:13" ht="28.5" customHeight="1" x14ac:dyDescent="0.2">
      <c r="A31" s="1027">
        <v>20</v>
      </c>
      <c r="B31" s="1025" t="s">
        <v>621</v>
      </c>
      <c r="C31" s="1046"/>
      <c r="D31" s="1032">
        <v>32000000</v>
      </c>
      <c r="E31" s="1029">
        <v>0.05</v>
      </c>
      <c r="F31" s="1032">
        <v>1600000</v>
      </c>
      <c r="G31" s="2040"/>
      <c r="H31" s="2040"/>
      <c r="I31" s="2159"/>
      <c r="J31" s="2164"/>
      <c r="K31" s="2040">
        <f>(D31+D32)+(F31+F32)</f>
        <v>44050000</v>
      </c>
      <c r="L31" s="2040">
        <f>G31-K31</f>
        <v>-44050000</v>
      </c>
      <c r="M31" s="2188"/>
    </row>
    <row r="32" spans="1:13" ht="30" customHeight="1" x14ac:dyDescent="0.2">
      <c r="A32" s="1027">
        <v>21</v>
      </c>
      <c r="B32" s="1025" t="s">
        <v>1642</v>
      </c>
      <c r="C32" s="1046"/>
      <c r="D32" s="1032">
        <v>10000000</v>
      </c>
      <c r="E32" s="1029">
        <v>4.4999999999999998E-2</v>
      </c>
      <c r="F32" s="1032">
        <f>D32*E32</f>
        <v>450000</v>
      </c>
      <c r="G32" s="2042"/>
      <c r="H32" s="2042"/>
      <c r="I32" s="2160"/>
      <c r="J32" s="2165"/>
      <c r="K32" s="2042"/>
      <c r="L32" s="2042"/>
      <c r="M32" s="2190"/>
    </row>
    <row r="33" spans="1:13" ht="30" customHeight="1" x14ac:dyDescent="0.2">
      <c r="A33" s="1027">
        <v>22</v>
      </c>
      <c r="B33" s="22" t="s">
        <v>674</v>
      </c>
      <c r="C33" s="421"/>
      <c r="D33" s="1032">
        <v>300000000</v>
      </c>
      <c r="E33" s="1029">
        <v>0.05</v>
      </c>
      <c r="F33" s="1032">
        <f>D33*E33</f>
        <v>15000000</v>
      </c>
      <c r="G33" s="1032">
        <v>15000000</v>
      </c>
      <c r="H33" s="1032" t="s">
        <v>3109</v>
      </c>
      <c r="I33" s="1048" t="s">
        <v>3115</v>
      </c>
      <c r="J33" s="69" t="s">
        <v>2298</v>
      </c>
      <c r="K33" s="1047">
        <f>G33</f>
        <v>15000000</v>
      </c>
      <c r="L33" s="1047">
        <f>F33-K33</f>
        <v>0</v>
      </c>
      <c r="M33" s="53"/>
    </row>
    <row r="34" spans="1:13" ht="30" customHeight="1" x14ac:dyDescent="0.2">
      <c r="A34" s="1027">
        <v>23</v>
      </c>
      <c r="B34" s="1064" t="s">
        <v>2251</v>
      </c>
      <c r="C34" s="1059"/>
      <c r="D34" s="1032">
        <v>150000000</v>
      </c>
      <c r="E34" s="1029">
        <v>7.0000000000000007E-2</v>
      </c>
      <c r="F34" s="1032">
        <f>D34*E34</f>
        <v>10500000.000000002</v>
      </c>
      <c r="G34" s="1032">
        <v>5000000</v>
      </c>
      <c r="H34" s="1042" t="s">
        <v>3227</v>
      </c>
      <c r="I34" s="1050">
        <v>653751</v>
      </c>
      <c r="J34" s="69" t="s">
        <v>3238</v>
      </c>
      <c r="K34" s="1047">
        <f>G34</f>
        <v>5000000</v>
      </c>
      <c r="L34" s="1047">
        <f>F34-G34</f>
        <v>5500000.0000000019</v>
      </c>
      <c r="M34" s="1037" t="s">
        <v>2250</v>
      </c>
    </row>
    <row r="35" spans="1:13" ht="30" customHeight="1" x14ac:dyDescent="0.2">
      <c r="A35" s="1027">
        <v>24</v>
      </c>
      <c r="B35" s="1025" t="s">
        <v>722</v>
      </c>
      <c r="C35" s="1046"/>
      <c r="D35" s="1032">
        <v>40000000</v>
      </c>
      <c r="E35" s="1029">
        <v>0.05</v>
      </c>
      <c r="F35" s="1032">
        <f>D35*E35</f>
        <v>2000000</v>
      </c>
      <c r="G35" s="1032"/>
      <c r="H35" s="1042"/>
      <c r="I35" s="1050"/>
      <c r="J35" s="69"/>
      <c r="K35" s="1032"/>
      <c r="L35" s="1032">
        <f>F35-K35</f>
        <v>2000000</v>
      </c>
      <c r="M35" s="1037" t="s">
        <v>2597</v>
      </c>
    </row>
    <row r="36" spans="1:13" ht="30" customHeight="1" x14ac:dyDescent="0.2">
      <c r="A36" s="1027">
        <v>25</v>
      </c>
      <c r="B36" s="1025" t="s">
        <v>738</v>
      </c>
      <c r="C36" s="1046" t="s">
        <v>1351</v>
      </c>
      <c r="D36" s="1032">
        <v>35000000</v>
      </c>
      <c r="E36" s="1029">
        <v>5.8000000000000003E-2</v>
      </c>
      <c r="F36" s="1032">
        <v>2000000</v>
      </c>
      <c r="G36" s="1032"/>
      <c r="H36" s="1042"/>
      <c r="I36" s="1050"/>
      <c r="J36" s="69"/>
      <c r="K36" s="1032"/>
      <c r="L36" s="1032">
        <f>F36-G36</f>
        <v>2000000</v>
      </c>
      <c r="M36" s="1037"/>
    </row>
    <row r="37" spans="1:13" ht="30" customHeight="1" x14ac:dyDescent="0.2">
      <c r="A37" s="2031">
        <v>26</v>
      </c>
      <c r="B37" s="2101" t="s">
        <v>828</v>
      </c>
      <c r="C37" s="2149" t="s">
        <v>1821</v>
      </c>
      <c r="D37" s="1032">
        <v>500000000</v>
      </c>
      <c r="E37" s="1029">
        <v>4.4999999999999998E-2</v>
      </c>
      <c r="F37" s="1032">
        <f>D37*E37</f>
        <v>22500000</v>
      </c>
      <c r="G37" s="247">
        <v>22500000</v>
      </c>
      <c r="H37" s="1047" t="s">
        <v>2855</v>
      </c>
      <c r="I37" s="687">
        <v>464435</v>
      </c>
      <c r="J37" s="688" t="s">
        <v>3207</v>
      </c>
      <c r="K37" s="1052">
        <f t="shared" ref="K37:K55" si="6">G37</f>
        <v>22500000</v>
      </c>
      <c r="L37" s="1047">
        <f>F37-K37</f>
        <v>0</v>
      </c>
      <c r="M37" s="686" t="s">
        <v>3208</v>
      </c>
    </row>
    <row r="38" spans="1:13" ht="30" customHeight="1" x14ac:dyDescent="0.2">
      <c r="A38" s="2034"/>
      <c r="B38" s="2222"/>
      <c r="C38" s="2158"/>
      <c r="D38" s="1383">
        <v>450000000</v>
      </c>
      <c r="E38" s="1385">
        <v>0.05</v>
      </c>
      <c r="F38" s="1383">
        <f>D38*E38</f>
        <v>22500000</v>
      </c>
      <c r="G38" s="247">
        <v>22500000</v>
      </c>
      <c r="H38" s="1391" t="s">
        <v>3271</v>
      </c>
      <c r="I38" s="687">
        <v>1.4010523018252899E+17</v>
      </c>
      <c r="J38" s="688" t="s">
        <v>3300</v>
      </c>
      <c r="K38" s="1392">
        <f>G38</f>
        <v>22500000</v>
      </c>
      <c r="L38" s="1391">
        <f>F38-K38</f>
        <v>0</v>
      </c>
      <c r="M38" s="192" t="s">
        <v>3208</v>
      </c>
    </row>
    <row r="39" spans="1:13" ht="30" customHeight="1" x14ac:dyDescent="0.2">
      <c r="A39" s="2034"/>
      <c r="B39" s="2222"/>
      <c r="C39" s="2158"/>
      <c r="D39" s="2354" t="s">
        <v>3619</v>
      </c>
      <c r="E39" s="2355"/>
      <c r="F39" s="2356"/>
      <c r="G39" s="247">
        <v>64000000</v>
      </c>
      <c r="H39" s="1047" t="s">
        <v>3333</v>
      </c>
      <c r="I39" s="687">
        <v>105250181428654</v>
      </c>
      <c r="J39" s="688" t="s">
        <v>3300</v>
      </c>
      <c r="K39" s="1052">
        <f t="shared" si="6"/>
        <v>64000000</v>
      </c>
      <c r="L39" s="1047">
        <f>100000000-G39</f>
        <v>36000000</v>
      </c>
      <c r="M39" s="33" t="s">
        <v>2109</v>
      </c>
    </row>
    <row r="40" spans="1:13" ht="30" customHeight="1" x14ac:dyDescent="0.2">
      <c r="A40" s="2034"/>
      <c r="B40" s="2222"/>
      <c r="C40" s="2158"/>
      <c r="D40" s="2357"/>
      <c r="E40" s="2358"/>
      <c r="F40" s="2359"/>
      <c r="G40" s="7"/>
      <c r="H40" s="1390"/>
      <c r="I40" s="1394"/>
      <c r="J40" s="1410"/>
      <c r="K40" s="1398"/>
      <c r="L40" s="1382"/>
      <c r="M40" s="192"/>
    </row>
    <row r="41" spans="1:13" ht="30" customHeight="1" x14ac:dyDescent="0.2">
      <c r="A41" s="2032"/>
      <c r="B41" s="2102"/>
      <c r="C41" s="2150"/>
      <c r="D41" s="483">
        <f>D38-G39</f>
        <v>386000000</v>
      </c>
      <c r="E41" s="1409"/>
      <c r="F41" s="1409"/>
      <c r="G41" s="2154" t="s">
        <v>3301</v>
      </c>
      <c r="H41" s="2155"/>
      <c r="I41" s="2155"/>
      <c r="J41" s="2155"/>
      <c r="K41" s="2156"/>
      <c r="L41" s="1382"/>
      <c r="M41" s="192"/>
    </row>
    <row r="42" spans="1:13" ht="30" customHeight="1" x14ac:dyDescent="0.2">
      <c r="A42" s="1026">
        <v>27</v>
      </c>
      <c r="B42" s="1066" t="s">
        <v>832</v>
      </c>
      <c r="C42" s="385" t="s">
        <v>1354</v>
      </c>
      <c r="D42" s="1030">
        <v>500000000</v>
      </c>
      <c r="E42" s="1028">
        <v>7.0000000000000007E-2</v>
      </c>
      <c r="F42" s="1030">
        <f>D42*E42</f>
        <v>35000000</v>
      </c>
      <c r="G42" s="1032">
        <v>35000000</v>
      </c>
      <c r="H42" s="1042" t="s">
        <v>3148</v>
      </c>
      <c r="I42" s="1050">
        <v>105201344381569</v>
      </c>
      <c r="J42" s="69" t="s">
        <v>2425</v>
      </c>
      <c r="K42" s="1030">
        <f t="shared" si="6"/>
        <v>35000000</v>
      </c>
      <c r="L42" s="1030">
        <f>F42-K42</f>
        <v>0</v>
      </c>
      <c r="M42" s="1033"/>
    </row>
    <row r="43" spans="1:13" ht="30" customHeight="1" x14ac:dyDescent="0.2">
      <c r="A43" s="2034">
        <v>28</v>
      </c>
      <c r="B43" s="2101" t="s">
        <v>845</v>
      </c>
      <c r="C43" s="2149" t="s">
        <v>1354</v>
      </c>
      <c r="D43" s="1302">
        <v>600000000</v>
      </c>
      <c r="E43" s="1305">
        <v>0.05</v>
      </c>
      <c r="F43" s="1302">
        <f>D43*E43</f>
        <v>30000000</v>
      </c>
      <c r="G43" s="1032">
        <v>30000000</v>
      </c>
      <c r="H43" s="1042" t="s">
        <v>3146</v>
      </c>
      <c r="I43" s="1050">
        <v>377476</v>
      </c>
      <c r="J43" s="69" t="s">
        <v>3178</v>
      </c>
      <c r="K43" s="1047">
        <f t="shared" si="6"/>
        <v>30000000</v>
      </c>
      <c r="L43" s="1047">
        <f>F43-K43</f>
        <v>0</v>
      </c>
      <c r="M43" s="1326" t="s">
        <v>3179</v>
      </c>
    </row>
    <row r="44" spans="1:13" ht="30" customHeight="1" x14ac:dyDescent="0.2">
      <c r="A44" s="2034"/>
      <c r="B44" s="2222"/>
      <c r="C44" s="2158"/>
      <c r="D44" s="1354"/>
      <c r="E44" s="1353"/>
      <c r="F44" s="1355"/>
      <c r="G44" s="2154" t="s">
        <v>3213</v>
      </c>
      <c r="H44" s="2155"/>
      <c r="I44" s="2155"/>
      <c r="J44" s="2155"/>
      <c r="K44" s="2156"/>
      <c r="L44" s="1346"/>
      <c r="M44" s="1364"/>
    </row>
    <row r="45" spans="1:13" ht="30" customHeight="1" x14ac:dyDescent="0.2">
      <c r="A45" s="2034"/>
      <c r="B45" s="2222"/>
      <c r="C45" s="2158"/>
      <c r="D45" s="1357">
        <v>750000000</v>
      </c>
      <c r="E45" s="1362"/>
      <c r="F45" s="1357"/>
      <c r="G45" s="1356"/>
      <c r="H45" s="1361"/>
      <c r="I45" s="1361"/>
      <c r="J45" s="1361"/>
      <c r="K45" s="1355"/>
      <c r="L45" s="1346"/>
      <c r="M45" s="1364"/>
    </row>
    <row r="46" spans="1:13" ht="30" customHeight="1" x14ac:dyDescent="0.2">
      <c r="A46" s="2034"/>
      <c r="B46" s="2222"/>
      <c r="C46" s="2158"/>
      <c r="D46" s="2097" t="s">
        <v>3214</v>
      </c>
      <c r="E46" s="2195"/>
      <c r="F46" s="2098"/>
      <c r="G46" s="1324">
        <v>35000000</v>
      </c>
      <c r="H46" s="1330" t="s">
        <v>3148</v>
      </c>
      <c r="I46" s="1334">
        <v>183433</v>
      </c>
      <c r="J46" s="69" t="s">
        <v>3187</v>
      </c>
      <c r="K46" s="2040">
        <f>G46+G47</f>
        <v>50000000</v>
      </c>
      <c r="L46" s="2040">
        <f>50000000-K46</f>
        <v>0</v>
      </c>
      <c r="M46" s="2043"/>
    </row>
    <row r="47" spans="1:13" ht="30" customHeight="1" x14ac:dyDescent="0.2">
      <c r="A47" s="2034"/>
      <c r="B47" s="2222"/>
      <c r="C47" s="2158"/>
      <c r="D47" s="2099"/>
      <c r="E47" s="2196"/>
      <c r="F47" s="2100"/>
      <c r="G47" s="1324">
        <v>15000000</v>
      </c>
      <c r="H47" s="1330" t="s">
        <v>3148</v>
      </c>
      <c r="I47" s="1334">
        <v>1.40105200182504E+17</v>
      </c>
      <c r="J47" s="69" t="s">
        <v>846</v>
      </c>
      <c r="K47" s="2042"/>
      <c r="L47" s="2042"/>
      <c r="M47" s="2045"/>
    </row>
    <row r="48" spans="1:13" ht="30" customHeight="1" x14ac:dyDescent="0.2">
      <c r="A48" s="2034"/>
      <c r="B48" s="2222"/>
      <c r="C48" s="2158"/>
      <c r="D48" s="1947" t="s">
        <v>3381</v>
      </c>
      <c r="E48" s="1948"/>
      <c r="F48" s="1949"/>
      <c r="G48" s="1423">
        <v>5000000</v>
      </c>
      <c r="H48" s="1423" t="s">
        <v>3371</v>
      </c>
      <c r="I48" s="1423">
        <v>265993</v>
      </c>
      <c r="J48" s="1423" t="s">
        <v>3382</v>
      </c>
      <c r="K48" s="1423">
        <f>G48</f>
        <v>5000000</v>
      </c>
      <c r="L48" s="1416"/>
      <c r="M48" s="1417"/>
    </row>
    <row r="49" spans="1:13" ht="30" customHeight="1" x14ac:dyDescent="0.2">
      <c r="A49" s="2032"/>
      <c r="B49" s="2102"/>
      <c r="C49" s="2150"/>
      <c r="D49" s="1357">
        <v>700000000</v>
      </c>
      <c r="E49" s="1362">
        <v>0.06</v>
      </c>
      <c r="F49" s="1357">
        <f>D49*E49</f>
        <v>42000000</v>
      </c>
      <c r="G49" s="2200" t="s">
        <v>2827</v>
      </c>
      <c r="H49" s="2201"/>
      <c r="I49" s="2201"/>
      <c r="J49" s="2201"/>
      <c r="K49" s="2202"/>
      <c r="L49" s="1347"/>
      <c r="M49" s="1482" t="s">
        <v>3455</v>
      </c>
    </row>
    <row r="50" spans="1:13" ht="30" customHeight="1" x14ac:dyDescent="0.2">
      <c r="A50" s="1027">
        <v>29</v>
      </c>
      <c r="B50" s="1064" t="s">
        <v>865</v>
      </c>
      <c r="C50" s="1059" t="s">
        <v>1378</v>
      </c>
      <c r="D50" s="1032">
        <v>42000000</v>
      </c>
      <c r="E50" s="1029">
        <v>7.0000000000000007E-2</v>
      </c>
      <c r="F50" s="1032">
        <f>D50*E50</f>
        <v>2940000.0000000005</v>
      </c>
      <c r="G50" s="1032">
        <v>2940000</v>
      </c>
      <c r="H50" s="1042" t="s">
        <v>3333</v>
      </c>
      <c r="I50" s="1050">
        <v>81405</v>
      </c>
      <c r="J50" s="69" t="s">
        <v>3334</v>
      </c>
      <c r="K50" s="1032">
        <f t="shared" si="6"/>
        <v>2940000</v>
      </c>
      <c r="L50" s="1032">
        <f>F50-K50</f>
        <v>0</v>
      </c>
      <c r="M50" s="1037"/>
    </row>
    <row r="51" spans="1:13" ht="30" customHeight="1" x14ac:dyDescent="0.2">
      <c r="A51" s="1027">
        <v>30</v>
      </c>
      <c r="B51" s="1025" t="s">
        <v>870</v>
      </c>
      <c r="C51" s="1046"/>
      <c r="D51" s="1032">
        <v>20000000</v>
      </c>
      <c r="E51" s="1029">
        <v>0.04</v>
      </c>
      <c r="F51" s="1032">
        <f>D51*E51</f>
        <v>800000</v>
      </c>
      <c r="G51" s="1032">
        <v>1000000</v>
      </c>
      <c r="H51" s="1042" t="s">
        <v>3245</v>
      </c>
      <c r="I51" s="1050">
        <v>799393</v>
      </c>
      <c r="J51" s="69" t="s">
        <v>3249</v>
      </c>
      <c r="K51" s="2040">
        <f>G51+G52</f>
        <v>1200000</v>
      </c>
      <c r="L51" s="2040">
        <f>(F51+F52)-K51</f>
        <v>0</v>
      </c>
      <c r="M51" s="686"/>
    </row>
    <row r="52" spans="1:13" ht="30" customHeight="1" x14ac:dyDescent="0.2">
      <c r="A52" s="2031"/>
      <c r="B52" s="2029" t="s">
        <v>3150</v>
      </c>
      <c r="C52" s="2149" t="s">
        <v>1378</v>
      </c>
      <c r="D52" s="1383">
        <v>10000000</v>
      </c>
      <c r="E52" s="1385">
        <v>0.04</v>
      </c>
      <c r="F52" s="1383">
        <f>D52*E52</f>
        <v>400000</v>
      </c>
      <c r="G52" s="1383">
        <v>200000</v>
      </c>
      <c r="H52" s="1390" t="s">
        <v>3271</v>
      </c>
      <c r="I52" s="1394">
        <v>123624761157</v>
      </c>
      <c r="J52" s="69" t="s">
        <v>3290</v>
      </c>
      <c r="K52" s="2042"/>
      <c r="L52" s="2042"/>
      <c r="M52" s="33" t="s">
        <v>3291</v>
      </c>
    </row>
    <row r="53" spans="1:13" ht="30" customHeight="1" x14ac:dyDescent="0.2">
      <c r="A53" s="2032"/>
      <c r="B53" s="2030"/>
      <c r="C53" s="2150"/>
      <c r="D53" s="1947" t="s">
        <v>3488</v>
      </c>
      <c r="E53" s="1948"/>
      <c r="F53" s="1949"/>
      <c r="G53" s="1478">
        <v>9600000</v>
      </c>
      <c r="H53" s="1487" t="s">
        <v>3449</v>
      </c>
      <c r="I53" s="1494">
        <v>1.40105310542005E+19</v>
      </c>
      <c r="J53" s="69" t="s">
        <v>3489</v>
      </c>
      <c r="K53" s="1477">
        <f>G53</f>
        <v>9600000</v>
      </c>
      <c r="L53" s="1477"/>
      <c r="M53" s="192" t="s">
        <v>1398</v>
      </c>
    </row>
    <row r="54" spans="1:13" ht="30" customHeight="1" x14ac:dyDescent="0.2">
      <c r="A54" s="1026">
        <v>31</v>
      </c>
      <c r="B54" s="1066" t="s">
        <v>944</v>
      </c>
      <c r="C54" s="385"/>
      <c r="D54" s="1047">
        <v>100000000</v>
      </c>
      <c r="E54" s="1060">
        <v>7.0000000000000007E-2</v>
      </c>
      <c r="F54" s="1047">
        <f>D54*E54</f>
        <v>7000000.0000000009</v>
      </c>
      <c r="G54" s="1032">
        <v>7000000</v>
      </c>
      <c r="H54" s="1042" t="s">
        <v>3333</v>
      </c>
      <c r="I54" s="1050">
        <v>105250706031576</v>
      </c>
      <c r="J54" s="69" t="s">
        <v>3339</v>
      </c>
      <c r="K54" s="1030">
        <f t="shared" si="6"/>
        <v>7000000</v>
      </c>
      <c r="L54" s="1030">
        <f>F54-K54</f>
        <v>0</v>
      </c>
      <c r="M54" s="1033"/>
    </row>
    <row r="55" spans="1:13" ht="30" customHeight="1" x14ac:dyDescent="0.2">
      <c r="A55" s="2031">
        <v>32</v>
      </c>
      <c r="B55" s="2101" t="s">
        <v>1011</v>
      </c>
      <c r="C55" s="2149" t="s">
        <v>1378</v>
      </c>
      <c r="D55" s="1032">
        <v>100000000</v>
      </c>
      <c r="E55" s="1029">
        <v>0.05</v>
      </c>
      <c r="F55" s="1032">
        <f t="shared" ref="F55:F56" si="7">D55*E55</f>
        <v>5000000</v>
      </c>
      <c r="G55" s="2040">
        <v>7450000</v>
      </c>
      <c r="H55" s="2040" t="s">
        <v>3358</v>
      </c>
      <c r="I55" s="2166">
        <v>278416</v>
      </c>
      <c r="J55" s="2164" t="s">
        <v>2512</v>
      </c>
      <c r="K55" s="2040">
        <f t="shared" si="6"/>
        <v>7450000</v>
      </c>
      <c r="L55" s="2040">
        <f>(F55+F56)-K55</f>
        <v>0</v>
      </c>
      <c r="M55" s="2051"/>
    </row>
    <row r="56" spans="1:13" ht="30" customHeight="1" x14ac:dyDescent="0.2">
      <c r="A56" s="2034"/>
      <c r="B56" s="2222"/>
      <c r="C56" s="2150"/>
      <c r="D56" s="1032">
        <v>35000000</v>
      </c>
      <c r="E56" s="1029">
        <v>7.0000000000000007E-2</v>
      </c>
      <c r="F56" s="1032">
        <f t="shared" si="7"/>
        <v>2450000.0000000005</v>
      </c>
      <c r="G56" s="2042"/>
      <c r="H56" s="2042"/>
      <c r="I56" s="2167"/>
      <c r="J56" s="2165"/>
      <c r="K56" s="2042"/>
      <c r="L56" s="2042"/>
      <c r="M56" s="2052"/>
    </row>
    <row r="57" spans="1:13" ht="30" customHeight="1" x14ac:dyDescent="0.2">
      <c r="A57" s="1027">
        <v>33</v>
      </c>
      <c r="B57" s="1064" t="s">
        <v>1022</v>
      </c>
      <c r="C57" s="1046" t="s">
        <v>1342</v>
      </c>
      <c r="D57" s="1032">
        <v>63580000</v>
      </c>
      <c r="E57" s="1029">
        <v>7.0000000000000007E-2</v>
      </c>
      <c r="F57" s="1032">
        <v>4450000</v>
      </c>
      <c r="G57" s="1032">
        <v>4450000</v>
      </c>
      <c r="H57" s="1032" t="s">
        <v>3060</v>
      </c>
      <c r="I57" s="1048" t="s">
        <v>3086</v>
      </c>
      <c r="J57" s="69" t="s">
        <v>2290</v>
      </c>
      <c r="K57" s="1032">
        <f>G57</f>
        <v>4450000</v>
      </c>
      <c r="L57" s="1032">
        <f t="shared" ref="L57:L62" si="8">F57-K57</f>
        <v>0</v>
      </c>
      <c r="M57" s="1037"/>
    </row>
    <row r="58" spans="1:13" ht="30" customHeight="1" x14ac:dyDescent="0.2">
      <c r="A58" s="1027">
        <v>34</v>
      </c>
      <c r="B58" s="1024" t="s">
        <v>1141</v>
      </c>
      <c r="C58" s="1046"/>
      <c r="D58" s="1032">
        <v>20000000</v>
      </c>
      <c r="E58" s="1029">
        <v>0.04</v>
      </c>
      <c r="F58" s="1032">
        <f>D58*E58</f>
        <v>800000</v>
      </c>
      <c r="G58" s="1032">
        <v>800000</v>
      </c>
      <c r="H58" s="1032" t="s">
        <v>3371</v>
      </c>
      <c r="I58" s="1048" t="s">
        <v>3393</v>
      </c>
      <c r="J58" s="69" t="s">
        <v>1143</v>
      </c>
      <c r="K58" s="1032">
        <f>G58</f>
        <v>800000</v>
      </c>
      <c r="L58" s="1032">
        <f t="shared" si="8"/>
        <v>0</v>
      </c>
      <c r="M58" s="1037"/>
    </row>
    <row r="59" spans="1:13" ht="30" customHeight="1" x14ac:dyDescent="0.2">
      <c r="A59" s="2031">
        <v>35</v>
      </c>
      <c r="B59" s="2029" t="s">
        <v>1188</v>
      </c>
      <c r="C59" s="2149" t="s">
        <v>1175</v>
      </c>
      <c r="D59" s="1423">
        <v>150000000</v>
      </c>
      <c r="E59" s="1428">
        <v>0.06</v>
      </c>
      <c r="F59" s="1423">
        <f>D59*E59</f>
        <v>9000000</v>
      </c>
      <c r="G59" s="1947" t="s">
        <v>3406</v>
      </c>
      <c r="H59" s="1948"/>
      <c r="I59" s="1948"/>
      <c r="J59" s="1948"/>
      <c r="K59" s="1949"/>
      <c r="L59" s="1032">
        <f t="shared" si="8"/>
        <v>9000000</v>
      </c>
      <c r="M59" s="2051" t="s">
        <v>3135</v>
      </c>
    </row>
    <row r="60" spans="1:13" ht="30" customHeight="1" x14ac:dyDescent="0.2">
      <c r="A60" s="2032"/>
      <c r="B60" s="2030"/>
      <c r="C60" s="2150"/>
      <c r="D60" s="1427">
        <v>175000000</v>
      </c>
      <c r="E60" s="1433">
        <v>0.06</v>
      </c>
      <c r="F60" s="1427">
        <f>D60*E60</f>
        <v>10500000</v>
      </c>
      <c r="G60" s="1947" t="s">
        <v>3407</v>
      </c>
      <c r="H60" s="1948"/>
      <c r="I60" s="1948"/>
      <c r="J60" s="1948"/>
      <c r="K60" s="1949"/>
      <c r="L60" s="1416">
        <f t="shared" si="8"/>
        <v>10500000</v>
      </c>
      <c r="M60" s="2052"/>
    </row>
    <row r="61" spans="1:13" ht="30" customHeight="1" x14ac:dyDescent="0.2">
      <c r="A61" s="1415"/>
      <c r="B61" s="1414" t="s">
        <v>3408</v>
      </c>
      <c r="C61" s="1420"/>
      <c r="D61" s="1427">
        <v>100000000</v>
      </c>
      <c r="E61" s="1433">
        <v>0.04</v>
      </c>
      <c r="F61" s="1427">
        <f>D61*E61</f>
        <v>4000000</v>
      </c>
      <c r="G61" s="2154" t="s">
        <v>3409</v>
      </c>
      <c r="H61" s="2155"/>
      <c r="I61" s="2155"/>
      <c r="J61" s="2155"/>
      <c r="K61" s="2156"/>
      <c r="L61" s="1416">
        <f t="shared" si="8"/>
        <v>4000000</v>
      </c>
      <c r="M61" s="1418"/>
    </row>
    <row r="62" spans="1:13" ht="30" customHeight="1" x14ac:dyDescent="0.2">
      <c r="A62" s="2031">
        <v>36</v>
      </c>
      <c r="B62" s="2101" t="s">
        <v>1194</v>
      </c>
      <c r="C62" s="2149" t="s">
        <v>1112</v>
      </c>
      <c r="D62" s="2040">
        <v>50000000</v>
      </c>
      <c r="E62" s="2037">
        <v>7.0000000000000007E-2</v>
      </c>
      <c r="F62" s="2040">
        <f>D62*E62</f>
        <v>3500000.0000000005</v>
      </c>
      <c r="G62" s="1263">
        <v>3500000</v>
      </c>
      <c r="H62" s="1263" t="s">
        <v>2695</v>
      </c>
      <c r="I62" s="1269" t="s">
        <v>2708</v>
      </c>
      <c r="J62" s="70" t="s">
        <v>2709</v>
      </c>
      <c r="K62" s="1263">
        <f>G62</f>
        <v>3500000</v>
      </c>
      <c r="L62" s="1032">
        <f t="shared" si="8"/>
        <v>0</v>
      </c>
      <c r="M62" s="1037" t="s">
        <v>3423</v>
      </c>
    </row>
    <row r="63" spans="1:13" ht="30" customHeight="1" x14ac:dyDescent="0.2">
      <c r="A63" s="2032"/>
      <c r="B63" s="2102"/>
      <c r="C63" s="2150"/>
      <c r="D63" s="2042"/>
      <c r="E63" s="2039"/>
      <c r="F63" s="2042"/>
      <c r="G63" s="1416">
        <v>3500000</v>
      </c>
      <c r="H63" s="1416" t="s">
        <v>3420</v>
      </c>
      <c r="I63" s="1424" t="s">
        <v>3421</v>
      </c>
      <c r="J63" s="70" t="s">
        <v>3422</v>
      </c>
      <c r="K63" s="1416">
        <f>G63</f>
        <v>3500000</v>
      </c>
      <c r="L63" s="1416">
        <f>F62-K63</f>
        <v>0</v>
      </c>
      <c r="M63" s="1418" t="s">
        <v>3135</v>
      </c>
    </row>
    <row r="64" spans="1:13" ht="30" customHeight="1" x14ac:dyDescent="0.2">
      <c r="A64" s="1027">
        <v>37</v>
      </c>
      <c r="B64" s="1023" t="s">
        <v>1269</v>
      </c>
      <c r="C64" s="1046"/>
      <c r="D64" s="1032">
        <v>140000000</v>
      </c>
      <c r="E64" s="1029">
        <v>0.05</v>
      </c>
      <c r="F64" s="1032">
        <f>D64*E64</f>
        <v>7000000</v>
      </c>
      <c r="G64" s="1032"/>
      <c r="H64" s="1032"/>
      <c r="I64" s="1048"/>
      <c r="J64" s="69"/>
      <c r="K64" s="1032"/>
      <c r="L64" s="1032"/>
      <c r="M64" s="1037" t="s">
        <v>2411</v>
      </c>
    </row>
    <row r="65" spans="1:13" ht="30" customHeight="1" x14ac:dyDescent="0.2">
      <c r="A65" s="1027">
        <v>38</v>
      </c>
      <c r="B65" s="1023" t="s">
        <v>1302</v>
      </c>
      <c r="C65" s="1046"/>
      <c r="D65" s="315"/>
      <c r="E65" s="316"/>
      <c r="F65" s="315"/>
      <c r="G65" s="1032"/>
      <c r="H65" s="1032"/>
      <c r="I65" s="1048"/>
      <c r="J65" s="69"/>
      <c r="K65" s="1032"/>
      <c r="L65" s="1038">
        <f>F65-K65</f>
        <v>0</v>
      </c>
      <c r="M65" s="1037"/>
    </row>
    <row r="66" spans="1:13" ht="30" customHeight="1" x14ac:dyDescent="0.2">
      <c r="A66" s="1027">
        <v>39</v>
      </c>
      <c r="B66" s="1023" t="s">
        <v>1261</v>
      </c>
      <c r="C66" s="1046"/>
      <c r="D66" s="315"/>
      <c r="E66" s="316"/>
      <c r="F66" s="315"/>
      <c r="G66" s="1032"/>
      <c r="H66" s="1032"/>
      <c r="I66" s="1048"/>
      <c r="J66" s="69"/>
      <c r="K66" s="1032"/>
      <c r="L66" s="1038">
        <f>F66-K66</f>
        <v>0</v>
      </c>
      <c r="M66" s="1037"/>
    </row>
    <row r="67" spans="1:13" ht="30" customHeight="1" x14ac:dyDescent="0.2">
      <c r="A67" s="1027">
        <v>40</v>
      </c>
      <c r="B67" s="1023" t="s">
        <v>1314</v>
      </c>
      <c r="C67" s="1046" t="s">
        <v>1344</v>
      </c>
      <c r="D67" s="242">
        <v>16000000</v>
      </c>
      <c r="E67" s="317">
        <v>0.05</v>
      </c>
      <c r="F67" s="242">
        <f>D67*E67</f>
        <v>800000</v>
      </c>
      <c r="G67" s="1032">
        <v>800000</v>
      </c>
      <c r="H67" s="1032" t="s">
        <v>3271</v>
      </c>
      <c r="I67" s="1048" t="s">
        <v>3292</v>
      </c>
      <c r="J67" s="69" t="s">
        <v>3293</v>
      </c>
      <c r="K67" s="1032">
        <f>G67</f>
        <v>800000</v>
      </c>
      <c r="L67" s="1032">
        <f>F67-K67</f>
        <v>0</v>
      </c>
      <c r="M67" s="1037"/>
    </row>
    <row r="68" spans="1:13" ht="30" customHeight="1" x14ac:dyDescent="0.2">
      <c r="A68" s="1027">
        <v>41</v>
      </c>
      <c r="B68" s="1023" t="s">
        <v>1337</v>
      </c>
      <c r="C68" s="1046"/>
      <c r="D68" s="315"/>
      <c r="E68" s="316"/>
      <c r="F68" s="315"/>
      <c r="G68" s="1032"/>
      <c r="H68" s="1032"/>
      <c r="I68" s="1057"/>
      <c r="J68" s="69"/>
      <c r="K68" s="1032"/>
      <c r="L68" s="1038">
        <f>F68-K68</f>
        <v>0</v>
      </c>
      <c r="M68" s="1037"/>
    </row>
    <row r="69" spans="1:13" ht="30" customHeight="1" x14ac:dyDescent="0.2">
      <c r="A69" s="1027">
        <v>42</v>
      </c>
      <c r="B69" s="1066" t="s">
        <v>186</v>
      </c>
      <c r="C69" s="1046"/>
      <c r="D69" s="1032">
        <v>60000000</v>
      </c>
      <c r="E69" s="1060">
        <v>0.05</v>
      </c>
      <c r="F69" s="1032">
        <f t="shared" ref="F69:F186" si="9">D69*E69</f>
        <v>3000000</v>
      </c>
      <c r="G69" s="2040">
        <v>3500000</v>
      </c>
      <c r="H69" s="2040" t="s">
        <v>2945</v>
      </c>
      <c r="I69" s="2159" t="s">
        <v>2961</v>
      </c>
      <c r="J69" s="2171" t="s">
        <v>2962</v>
      </c>
      <c r="K69" s="2040">
        <f>G69</f>
        <v>3500000</v>
      </c>
      <c r="L69" s="2040">
        <f>(F69+F70)-K69</f>
        <v>0</v>
      </c>
      <c r="M69" s="2101"/>
    </row>
    <row r="70" spans="1:13" ht="30" customHeight="1" x14ac:dyDescent="0.2">
      <c r="A70" s="1027">
        <v>43</v>
      </c>
      <c r="B70" s="1064" t="s">
        <v>1109</v>
      </c>
      <c r="C70" s="1046"/>
      <c r="D70" s="1032">
        <v>10000000</v>
      </c>
      <c r="E70" s="1060">
        <v>0.05</v>
      </c>
      <c r="F70" s="1032">
        <f>D70*E70</f>
        <v>500000</v>
      </c>
      <c r="G70" s="2042"/>
      <c r="H70" s="2042"/>
      <c r="I70" s="2160"/>
      <c r="J70" s="2173"/>
      <c r="K70" s="2042"/>
      <c r="L70" s="2042"/>
      <c r="M70" s="2102"/>
    </row>
    <row r="71" spans="1:13" ht="30" customHeight="1" x14ac:dyDescent="0.2">
      <c r="A71" s="1027">
        <v>44</v>
      </c>
      <c r="B71" s="1064" t="s">
        <v>187</v>
      </c>
      <c r="C71" s="1046" t="s">
        <v>916</v>
      </c>
      <c r="D71" s="1032">
        <v>150000000</v>
      </c>
      <c r="E71" s="1060">
        <v>0.05</v>
      </c>
      <c r="F71" s="1032">
        <f t="shared" si="9"/>
        <v>7500000</v>
      </c>
      <c r="G71" s="1032">
        <v>7500000</v>
      </c>
      <c r="H71" s="1032" t="s">
        <v>2831</v>
      </c>
      <c r="I71" s="1057" t="s">
        <v>2833</v>
      </c>
      <c r="J71" s="1047" t="s">
        <v>1411</v>
      </c>
      <c r="K71" s="1032">
        <f t="shared" ref="K71:K81" si="10">G71</f>
        <v>7500000</v>
      </c>
      <c r="L71" s="1032">
        <f t="shared" ref="L71:L187" si="11">F71-K71</f>
        <v>0</v>
      </c>
      <c r="M71" s="1064"/>
    </row>
    <row r="72" spans="1:13" ht="30" customHeight="1" x14ac:dyDescent="0.2">
      <c r="A72" s="2031">
        <v>45</v>
      </c>
      <c r="B72" s="2029" t="s">
        <v>188</v>
      </c>
      <c r="C72" s="2149" t="s">
        <v>1350</v>
      </c>
      <c r="D72" s="2040">
        <v>1190000000</v>
      </c>
      <c r="E72" s="2037">
        <v>7.0000000000000007E-2</v>
      </c>
      <c r="F72" s="2040">
        <f t="shared" si="9"/>
        <v>83300000.000000015</v>
      </c>
      <c r="G72" s="1032">
        <v>70000000</v>
      </c>
      <c r="H72" s="1032" t="s">
        <v>2776</v>
      </c>
      <c r="I72" s="1061" t="s">
        <v>2778</v>
      </c>
      <c r="J72" s="24" t="s">
        <v>2779</v>
      </c>
      <c r="K72" s="2040">
        <f>G72+G73</f>
        <v>83300000</v>
      </c>
      <c r="L72" s="2040">
        <f>F72-K72</f>
        <v>0</v>
      </c>
      <c r="M72" s="2101"/>
    </row>
    <row r="73" spans="1:13" ht="30" customHeight="1" x14ac:dyDescent="0.2">
      <c r="A73" s="2032"/>
      <c r="B73" s="2030"/>
      <c r="C73" s="2150"/>
      <c r="D73" s="2042"/>
      <c r="E73" s="2039"/>
      <c r="F73" s="2042"/>
      <c r="G73" s="1156">
        <v>13300000</v>
      </c>
      <c r="H73" s="1156" t="s">
        <v>2831</v>
      </c>
      <c r="I73" s="1172" t="s">
        <v>2837</v>
      </c>
      <c r="J73" s="24" t="s">
        <v>2838</v>
      </c>
      <c r="K73" s="2042"/>
      <c r="L73" s="2042"/>
      <c r="M73" s="2102"/>
    </row>
    <row r="74" spans="1:13" ht="30" customHeight="1" x14ac:dyDescent="0.2">
      <c r="A74" s="2031">
        <v>46</v>
      </c>
      <c r="B74" s="2333" t="s">
        <v>189</v>
      </c>
      <c r="C74" s="2336" t="s">
        <v>1112</v>
      </c>
      <c r="D74" s="2197">
        <v>1200000000</v>
      </c>
      <c r="E74" s="2219">
        <v>0.08</v>
      </c>
      <c r="F74" s="2197">
        <f>D74*E74</f>
        <v>96000000</v>
      </c>
      <c r="G74" s="1427">
        <v>30000000</v>
      </c>
      <c r="H74" s="1427" t="s">
        <v>3018</v>
      </c>
      <c r="I74" s="1453" t="s">
        <v>3092</v>
      </c>
      <c r="J74" s="612" t="s">
        <v>1106</v>
      </c>
      <c r="K74" s="1454">
        <f t="shared" si="10"/>
        <v>30000000</v>
      </c>
      <c r="L74" s="1454">
        <f>F74-K74</f>
        <v>66000000</v>
      </c>
      <c r="M74" s="1455" t="s">
        <v>2978</v>
      </c>
    </row>
    <row r="75" spans="1:13" ht="30" customHeight="1" x14ac:dyDescent="0.2">
      <c r="A75" s="2034"/>
      <c r="B75" s="2334"/>
      <c r="C75" s="2337"/>
      <c r="D75" s="2198"/>
      <c r="E75" s="2220"/>
      <c r="F75" s="2198"/>
      <c r="G75" s="1427">
        <v>16500000</v>
      </c>
      <c r="H75" s="1427" t="s">
        <v>3148</v>
      </c>
      <c r="I75" s="1453" t="s">
        <v>3195</v>
      </c>
      <c r="J75" s="612" t="s">
        <v>1106</v>
      </c>
      <c r="K75" s="1427">
        <f>G75</f>
        <v>16500000</v>
      </c>
      <c r="L75" s="1427"/>
      <c r="M75" s="1456"/>
    </row>
    <row r="76" spans="1:13" ht="30" customHeight="1" x14ac:dyDescent="0.2">
      <c r="A76" s="2032"/>
      <c r="B76" s="2334"/>
      <c r="C76" s="2337"/>
      <c r="D76" s="2198"/>
      <c r="E76" s="2220"/>
      <c r="F76" s="2198"/>
      <c r="G76" s="1427">
        <v>46000000</v>
      </c>
      <c r="H76" s="1427" t="s">
        <v>3358</v>
      </c>
      <c r="I76" s="1453" t="s">
        <v>3411</v>
      </c>
      <c r="J76" s="612" t="s">
        <v>1106</v>
      </c>
      <c r="K76" s="1427">
        <f>G76</f>
        <v>46000000</v>
      </c>
      <c r="L76" s="1427"/>
      <c r="M76" s="1456"/>
    </row>
    <row r="77" spans="1:13" ht="30" customHeight="1" x14ac:dyDescent="0.2">
      <c r="A77" s="1534"/>
      <c r="B77" s="2335"/>
      <c r="C77" s="2338"/>
      <c r="D77" s="2199"/>
      <c r="E77" s="2221"/>
      <c r="F77" s="2199"/>
      <c r="G77" s="1576">
        <v>50000000</v>
      </c>
      <c r="H77" s="1576" t="s">
        <v>3442</v>
      </c>
      <c r="I77" s="1453" t="s">
        <v>3511</v>
      </c>
      <c r="J77" s="612" t="s">
        <v>1106</v>
      </c>
      <c r="K77" s="1576">
        <f>G77</f>
        <v>50000000</v>
      </c>
      <c r="L77" s="1576"/>
      <c r="M77" s="1456"/>
    </row>
    <row r="78" spans="1:13" ht="30" customHeight="1" x14ac:dyDescent="0.2">
      <c r="A78" s="1026">
        <v>47</v>
      </c>
      <c r="B78" s="1066" t="s">
        <v>190</v>
      </c>
      <c r="C78" s="1059" t="s">
        <v>1110</v>
      </c>
      <c r="D78" s="1032">
        <v>20000000</v>
      </c>
      <c r="E78" s="1029">
        <v>0.05</v>
      </c>
      <c r="F78" s="1032">
        <f t="shared" si="9"/>
        <v>1000000</v>
      </c>
      <c r="G78" s="1032"/>
      <c r="H78" s="1032"/>
      <c r="I78" s="1048"/>
      <c r="J78" s="1048"/>
      <c r="K78" s="1032">
        <f t="shared" si="10"/>
        <v>0</v>
      </c>
      <c r="L78" s="1032">
        <f t="shared" si="11"/>
        <v>1000000</v>
      </c>
      <c r="M78" s="1044"/>
    </row>
    <row r="79" spans="1:13" ht="30" customHeight="1" x14ac:dyDescent="0.2">
      <c r="A79" s="2268">
        <v>48</v>
      </c>
      <c r="B79" s="2029" t="s">
        <v>1712</v>
      </c>
      <c r="C79" s="2149" t="s">
        <v>1112</v>
      </c>
      <c r="D79" s="2040">
        <v>100000000</v>
      </c>
      <c r="E79" s="2037">
        <v>0.05</v>
      </c>
      <c r="F79" s="2040">
        <f t="shared" si="9"/>
        <v>5000000</v>
      </c>
      <c r="G79" s="1032">
        <v>5000000</v>
      </c>
      <c r="H79" s="1032" t="s">
        <v>2776</v>
      </c>
      <c r="I79" s="1048" t="s">
        <v>2796</v>
      </c>
      <c r="J79" s="24" t="s">
        <v>3474</v>
      </c>
      <c r="K79" s="1032">
        <f t="shared" si="10"/>
        <v>5000000</v>
      </c>
      <c r="L79" s="1032">
        <f t="shared" si="11"/>
        <v>0</v>
      </c>
      <c r="M79" s="103" t="s">
        <v>1815</v>
      </c>
    </row>
    <row r="80" spans="1:13" ht="30" customHeight="1" x14ac:dyDescent="0.2">
      <c r="A80" s="2268"/>
      <c r="B80" s="2030"/>
      <c r="C80" s="2150"/>
      <c r="D80" s="2042"/>
      <c r="E80" s="2039"/>
      <c r="F80" s="2042"/>
      <c r="G80" s="1478">
        <v>5000000</v>
      </c>
      <c r="H80" s="1478" t="s">
        <v>3471</v>
      </c>
      <c r="I80" s="1493" t="s">
        <v>3473</v>
      </c>
      <c r="J80" s="24" t="s">
        <v>3474</v>
      </c>
      <c r="K80" s="1478">
        <f t="shared" si="10"/>
        <v>5000000</v>
      </c>
      <c r="L80" s="1478">
        <f>F79-K80</f>
        <v>0</v>
      </c>
      <c r="M80" s="103" t="s">
        <v>3135</v>
      </c>
    </row>
    <row r="81" spans="1:13" ht="30" customHeight="1" x14ac:dyDescent="0.2">
      <c r="A81" s="1027">
        <v>49</v>
      </c>
      <c r="B81" s="1064" t="s">
        <v>192</v>
      </c>
      <c r="C81" s="1046" t="s">
        <v>1350</v>
      </c>
      <c r="D81" s="1032">
        <v>230000000</v>
      </c>
      <c r="E81" s="1060">
        <v>0.05</v>
      </c>
      <c r="F81" s="1032">
        <f t="shared" si="9"/>
        <v>11500000</v>
      </c>
      <c r="G81" s="1032">
        <v>11500000</v>
      </c>
      <c r="H81" s="1032" t="s">
        <v>2831</v>
      </c>
      <c r="I81" s="1057" t="s">
        <v>2890</v>
      </c>
      <c r="J81" s="24" t="s">
        <v>1082</v>
      </c>
      <c r="K81" s="1032">
        <f t="shared" si="10"/>
        <v>11500000</v>
      </c>
      <c r="L81" s="1032">
        <f t="shared" si="11"/>
        <v>0</v>
      </c>
      <c r="M81" s="1064"/>
    </row>
    <row r="82" spans="1:13" ht="30" customHeight="1" x14ac:dyDescent="0.2">
      <c r="A82" s="2031">
        <v>50</v>
      </c>
      <c r="B82" s="2029" t="s">
        <v>193</v>
      </c>
      <c r="C82" s="2149" t="s">
        <v>916</v>
      </c>
      <c r="D82" s="2040">
        <v>350000000</v>
      </c>
      <c r="E82" s="2037">
        <v>0.05</v>
      </c>
      <c r="F82" s="2040">
        <f t="shared" si="9"/>
        <v>17500000</v>
      </c>
      <c r="G82" s="2362" t="s">
        <v>2660</v>
      </c>
      <c r="H82" s="2363"/>
      <c r="I82" s="2363"/>
      <c r="J82" s="2363"/>
      <c r="K82" s="2363"/>
      <c r="L82" s="2364"/>
      <c r="M82" s="103"/>
    </row>
    <row r="83" spans="1:13" ht="30" customHeight="1" x14ac:dyDescent="0.2">
      <c r="A83" s="2032"/>
      <c r="B83" s="2030"/>
      <c r="C83" s="2150"/>
      <c r="D83" s="2042"/>
      <c r="E83" s="2039"/>
      <c r="F83" s="2042"/>
      <c r="G83" s="1478">
        <v>17500000</v>
      </c>
      <c r="H83" s="1476" t="s">
        <v>3449</v>
      </c>
      <c r="I83" s="1492" t="s">
        <v>3487</v>
      </c>
      <c r="J83" s="1489" t="s">
        <v>1084</v>
      </c>
      <c r="K83" s="1476">
        <f>G83</f>
        <v>17500000</v>
      </c>
      <c r="L83" s="1491">
        <f>F82-K83</f>
        <v>0</v>
      </c>
      <c r="M83" s="1481" t="s">
        <v>3483</v>
      </c>
    </row>
    <row r="84" spans="1:13" ht="30" customHeight="1" x14ac:dyDescent="0.2">
      <c r="A84" s="2031">
        <v>51</v>
      </c>
      <c r="B84" s="2029" t="s">
        <v>194</v>
      </c>
      <c r="C84" s="2149" t="s">
        <v>916</v>
      </c>
      <c r="D84" s="2040">
        <v>260000000</v>
      </c>
      <c r="E84" s="2037">
        <f>F84/D84</f>
        <v>5.5769230769230772E-2</v>
      </c>
      <c r="F84" s="2040">
        <v>14500000</v>
      </c>
      <c r="G84" s="2348" t="s">
        <v>2567</v>
      </c>
      <c r="H84" s="2349"/>
      <c r="I84" s="2349"/>
      <c r="J84" s="2349"/>
      <c r="K84" s="2349"/>
      <c r="L84" s="2350"/>
      <c r="M84" s="1023" t="s">
        <v>2605</v>
      </c>
    </row>
    <row r="85" spans="1:13" ht="30" customHeight="1" x14ac:dyDescent="0.2">
      <c r="A85" s="2032"/>
      <c r="B85" s="2030"/>
      <c r="C85" s="2150"/>
      <c r="D85" s="2042"/>
      <c r="E85" s="2039"/>
      <c r="F85" s="2042"/>
      <c r="G85" s="2351"/>
      <c r="H85" s="2352"/>
      <c r="I85" s="2352"/>
      <c r="J85" s="2352"/>
      <c r="K85" s="2352"/>
      <c r="L85" s="2353"/>
      <c r="M85" s="1025" t="s">
        <v>2568</v>
      </c>
    </row>
    <row r="86" spans="1:13" ht="30" customHeight="1" x14ac:dyDescent="0.2">
      <c r="A86" s="2031">
        <v>52</v>
      </c>
      <c r="B86" s="2029" t="s">
        <v>195</v>
      </c>
      <c r="C86" s="2149" t="s">
        <v>1352</v>
      </c>
      <c r="D86" s="1263">
        <v>60000000</v>
      </c>
      <c r="E86" s="1272">
        <f>F86/D86</f>
        <v>7.0000000000000007E-2</v>
      </c>
      <c r="F86" s="1263">
        <v>4200000</v>
      </c>
      <c r="G86" s="1947" t="s">
        <v>2150</v>
      </c>
      <c r="H86" s="1948"/>
      <c r="I86" s="1948"/>
      <c r="J86" s="1948"/>
      <c r="K86" s="1949"/>
      <c r="L86" s="1263">
        <f t="shared" si="11"/>
        <v>4200000</v>
      </c>
      <c r="M86" s="1064" t="s">
        <v>1588</v>
      </c>
    </row>
    <row r="87" spans="1:13" ht="30" customHeight="1" x14ac:dyDescent="0.2">
      <c r="A87" s="2034"/>
      <c r="B87" s="2033"/>
      <c r="C87" s="2158"/>
      <c r="D87" s="1263">
        <v>20000000</v>
      </c>
      <c r="E87" s="1272"/>
      <c r="F87" s="1263"/>
      <c r="G87" s="2154" t="s">
        <v>2151</v>
      </c>
      <c r="H87" s="2155"/>
      <c r="I87" s="2155"/>
      <c r="J87" s="2155"/>
      <c r="K87" s="2155"/>
      <c r="L87" s="2156"/>
      <c r="M87" s="1064"/>
    </row>
    <row r="88" spans="1:13" ht="30" customHeight="1" x14ac:dyDescent="0.2">
      <c r="A88" s="2034"/>
      <c r="B88" s="2033"/>
      <c r="C88" s="2158"/>
      <c r="D88" s="1521">
        <v>80000000</v>
      </c>
      <c r="E88" s="1370">
        <v>7.0000000000000007E-2</v>
      </c>
      <c r="F88" s="1521">
        <f>D88*E88</f>
        <v>5600000.0000000009</v>
      </c>
      <c r="G88" s="1236">
        <v>5600000</v>
      </c>
      <c r="H88" s="1234" t="s">
        <v>2945</v>
      </c>
      <c r="I88" s="1238" t="s">
        <v>2952</v>
      </c>
      <c r="J88" s="1237" t="s">
        <v>1088</v>
      </c>
      <c r="K88" s="1207">
        <f>G88</f>
        <v>5600000</v>
      </c>
      <c r="L88" s="1208">
        <f>F88-K88</f>
        <v>0</v>
      </c>
      <c r="M88" s="823" t="s">
        <v>2853</v>
      </c>
    </row>
    <row r="89" spans="1:13" ht="30" customHeight="1" x14ac:dyDescent="0.2">
      <c r="A89" s="2032"/>
      <c r="B89" s="2030"/>
      <c r="C89" s="2150"/>
      <c r="D89" s="1521">
        <v>10000000</v>
      </c>
      <c r="E89" s="1370">
        <v>7.0000000000000007E-2</v>
      </c>
      <c r="F89" s="1521">
        <f>D89*E89</f>
        <v>700000.00000000012</v>
      </c>
      <c r="G89" s="2299" t="s">
        <v>3027</v>
      </c>
      <c r="H89" s="2300"/>
      <c r="I89" s="2300"/>
      <c r="J89" s="2300"/>
      <c r="K89" s="2301"/>
      <c r="L89" s="1268"/>
      <c r="M89" s="823" t="s">
        <v>3026</v>
      </c>
    </row>
    <row r="90" spans="1:13" ht="30" customHeight="1" x14ac:dyDescent="0.2">
      <c r="A90" s="2031">
        <v>53</v>
      </c>
      <c r="B90" s="2101" t="s">
        <v>196</v>
      </c>
      <c r="C90" s="2149" t="s">
        <v>1349</v>
      </c>
      <c r="D90" s="2040">
        <v>350000000</v>
      </c>
      <c r="E90" s="2037">
        <v>7.0000000000000007E-2</v>
      </c>
      <c r="F90" s="2040">
        <f t="shared" si="9"/>
        <v>24500000.000000004</v>
      </c>
      <c r="G90" s="1331">
        <v>20000000</v>
      </c>
      <c r="H90" s="1323" t="s">
        <v>3041</v>
      </c>
      <c r="I90" s="1332" t="s">
        <v>3165</v>
      </c>
      <c r="J90" s="1329" t="s">
        <v>714</v>
      </c>
      <c r="K90" s="2040">
        <f>G90+G91</f>
        <v>24500000</v>
      </c>
      <c r="L90" s="2040">
        <f>F90-K90</f>
        <v>0</v>
      </c>
      <c r="M90" s="823"/>
    </row>
    <row r="91" spans="1:13" ht="30" customHeight="1" x14ac:dyDescent="0.2">
      <c r="A91" s="2034"/>
      <c r="B91" s="2222"/>
      <c r="C91" s="2158"/>
      <c r="D91" s="2042"/>
      <c r="E91" s="2039"/>
      <c r="F91" s="2042"/>
      <c r="G91" s="1331">
        <v>4500000</v>
      </c>
      <c r="H91" s="1323" t="s">
        <v>3148</v>
      </c>
      <c r="I91" s="1332" t="s">
        <v>3188</v>
      </c>
      <c r="J91" s="1329" t="s">
        <v>286</v>
      </c>
      <c r="K91" s="2042"/>
      <c r="L91" s="2042"/>
      <c r="M91" s="569"/>
    </row>
    <row r="92" spans="1:13" ht="30" customHeight="1" x14ac:dyDescent="0.2">
      <c r="A92" s="2032"/>
      <c r="B92" s="2102"/>
      <c r="C92" s="2150"/>
      <c r="D92" s="1324"/>
      <c r="E92" s="1327"/>
      <c r="F92" s="1324"/>
      <c r="G92" s="1328">
        <v>2000000</v>
      </c>
      <c r="H92" s="1323" t="s">
        <v>3148</v>
      </c>
      <c r="I92" s="1332" t="s">
        <v>3190</v>
      </c>
      <c r="J92" s="1329" t="s">
        <v>286</v>
      </c>
      <c r="K92" s="1323"/>
      <c r="L92" s="1323"/>
      <c r="M92" s="823" t="s">
        <v>3189</v>
      </c>
    </row>
    <row r="93" spans="1:13" ht="30" customHeight="1" x14ac:dyDescent="0.2">
      <c r="A93" s="2031">
        <v>54</v>
      </c>
      <c r="B93" s="2029" t="s">
        <v>1090</v>
      </c>
      <c r="C93" s="2149"/>
      <c r="D93" s="1032">
        <v>35000000</v>
      </c>
      <c r="E93" s="1029">
        <v>7.1999999999999995E-2</v>
      </c>
      <c r="F93" s="1032">
        <v>2500000</v>
      </c>
      <c r="G93" s="2344"/>
      <c r="H93" s="2344"/>
      <c r="I93" s="2360"/>
      <c r="J93" s="2346"/>
      <c r="K93" s="2344">
        <f>G93</f>
        <v>0</v>
      </c>
      <c r="L93" s="2344">
        <f>(F93+F94)-K93</f>
        <v>3500000</v>
      </c>
      <c r="M93" s="2101"/>
    </row>
    <row r="94" spans="1:13" ht="30" customHeight="1" x14ac:dyDescent="0.2">
      <c r="A94" s="2034"/>
      <c r="B94" s="2030"/>
      <c r="C94" s="2150"/>
      <c r="D94" s="1032">
        <v>13000000</v>
      </c>
      <c r="E94" s="1060">
        <v>7.6999999999999999E-2</v>
      </c>
      <c r="F94" s="1032">
        <v>1000000</v>
      </c>
      <c r="G94" s="2345"/>
      <c r="H94" s="2345"/>
      <c r="I94" s="2361"/>
      <c r="J94" s="2347"/>
      <c r="K94" s="2345"/>
      <c r="L94" s="2345"/>
      <c r="M94" s="2102"/>
    </row>
    <row r="95" spans="1:13" ht="30" customHeight="1" x14ac:dyDescent="0.2">
      <c r="A95" s="2031">
        <v>55</v>
      </c>
      <c r="B95" s="2029" t="s">
        <v>1295</v>
      </c>
      <c r="C95" s="2149" t="s">
        <v>1350</v>
      </c>
      <c r="D95" s="1047">
        <v>175000000</v>
      </c>
      <c r="E95" s="1060">
        <v>0.52</v>
      </c>
      <c r="F95" s="1047">
        <v>9000000</v>
      </c>
      <c r="G95" s="2157">
        <v>17400000</v>
      </c>
      <c r="H95" s="2157" t="s">
        <v>2695</v>
      </c>
      <c r="I95" s="2257" t="s">
        <v>2714</v>
      </c>
      <c r="J95" s="2258" t="s">
        <v>1093</v>
      </c>
      <c r="K95" s="2157">
        <f>G95</f>
        <v>17400000</v>
      </c>
      <c r="L95" s="2157">
        <f>(F95+F96+F97)-K95</f>
        <v>850000</v>
      </c>
      <c r="M95" s="192" t="s">
        <v>2055</v>
      </c>
    </row>
    <row r="96" spans="1:13" ht="30" customHeight="1" x14ac:dyDescent="0.2">
      <c r="A96" s="2034"/>
      <c r="B96" s="2033"/>
      <c r="C96" s="2158"/>
      <c r="D96" s="1030">
        <f>85000000+20000000</f>
        <v>105000000</v>
      </c>
      <c r="E96" s="1028">
        <v>7.0000000000000007E-2</v>
      </c>
      <c r="F96" s="1030">
        <v>7500000</v>
      </c>
      <c r="G96" s="2157"/>
      <c r="H96" s="2157"/>
      <c r="I96" s="2257"/>
      <c r="J96" s="2258"/>
      <c r="K96" s="2157"/>
      <c r="L96" s="2157"/>
      <c r="M96" s="192" t="s">
        <v>2056</v>
      </c>
    </row>
    <row r="97" spans="1:13" ht="30" customHeight="1" x14ac:dyDescent="0.2">
      <c r="A97" s="2032"/>
      <c r="B97" s="2030"/>
      <c r="C97" s="2150"/>
      <c r="D97" s="1047">
        <v>35000000</v>
      </c>
      <c r="E97" s="1060">
        <v>0.05</v>
      </c>
      <c r="F97" s="1047">
        <f>D97*E97</f>
        <v>1750000</v>
      </c>
      <c r="G97" s="2157"/>
      <c r="H97" s="2157"/>
      <c r="I97" s="2257"/>
      <c r="J97" s="2258"/>
      <c r="K97" s="2157"/>
      <c r="L97" s="2157"/>
      <c r="M97" s="1037" t="s">
        <v>2661</v>
      </c>
    </row>
    <row r="98" spans="1:13" ht="30" customHeight="1" x14ac:dyDescent="0.2">
      <c r="A98" s="2031">
        <v>56</v>
      </c>
      <c r="B98" s="2029" t="s">
        <v>36</v>
      </c>
      <c r="C98" s="2149" t="s">
        <v>1350</v>
      </c>
      <c r="D98" s="2040">
        <v>3284000000</v>
      </c>
      <c r="E98" s="2037">
        <v>7.0000000000000007E-2</v>
      </c>
      <c r="F98" s="2040">
        <v>229880000</v>
      </c>
      <c r="G98" s="1047">
        <v>2140000</v>
      </c>
      <c r="H98" s="2040" t="s">
        <v>2831</v>
      </c>
      <c r="I98" s="2251" t="s">
        <v>2832</v>
      </c>
      <c r="J98" s="2128" t="s">
        <v>696</v>
      </c>
      <c r="K98" s="240">
        <f>G98</f>
        <v>2140000</v>
      </c>
      <c r="L98" s="1188">
        <f>تیر!L88-مرداد!G98</f>
        <v>0</v>
      </c>
      <c r="M98" s="103" t="s">
        <v>2830</v>
      </c>
    </row>
    <row r="99" spans="1:13" ht="30" customHeight="1" x14ac:dyDescent="0.2">
      <c r="A99" s="2034"/>
      <c r="B99" s="2033"/>
      <c r="C99" s="2158"/>
      <c r="D99" s="2041"/>
      <c r="E99" s="2038"/>
      <c r="F99" s="2041"/>
      <c r="G99" s="1032">
        <v>29880000</v>
      </c>
      <c r="H99" s="2042"/>
      <c r="I99" s="2252"/>
      <c r="J99" s="2129"/>
      <c r="K99" s="2157">
        <f>G99+G100+G101+G102+G103+G104</f>
        <v>229880000</v>
      </c>
      <c r="L99" s="2157">
        <f>F98-K99</f>
        <v>0</v>
      </c>
      <c r="M99" s="2339" t="s">
        <v>3135</v>
      </c>
    </row>
    <row r="100" spans="1:13" ht="30" customHeight="1" x14ac:dyDescent="0.2">
      <c r="A100" s="2034"/>
      <c r="B100" s="2033"/>
      <c r="C100" s="2158"/>
      <c r="D100" s="2041"/>
      <c r="E100" s="2038"/>
      <c r="F100" s="2041"/>
      <c r="G100" s="1032">
        <v>50000000</v>
      </c>
      <c r="H100" s="1032" t="s">
        <v>2855</v>
      </c>
      <c r="I100" s="1048" t="s">
        <v>2939</v>
      </c>
      <c r="J100" s="24" t="s">
        <v>696</v>
      </c>
      <c r="K100" s="2157"/>
      <c r="L100" s="2157"/>
      <c r="M100" s="2340"/>
    </row>
    <row r="101" spans="1:13" ht="30" customHeight="1" x14ac:dyDescent="0.2">
      <c r="A101" s="2034"/>
      <c r="B101" s="2033"/>
      <c r="C101" s="2158"/>
      <c r="D101" s="2041"/>
      <c r="E101" s="2038"/>
      <c r="F101" s="2041"/>
      <c r="G101" s="1032">
        <v>20000000</v>
      </c>
      <c r="H101" s="1032" t="s">
        <v>3060</v>
      </c>
      <c r="I101" s="1048" t="s">
        <v>3084</v>
      </c>
      <c r="J101" s="24" t="s">
        <v>696</v>
      </c>
      <c r="K101" s="2157"/>
      <c r="L101" s="2157"/>
      <c r="M101" s="2340"/>
    </row>
    <row r="102" spans="1:13" ht="30" customHeight="1" x14ac:dyDescent="0.2">
      <c r="A102" s="2034"/>
      <c r="B102" s="2033"/>
      <c r="C102" s="2158"/>
      <c r="D102" s="2041"/>
      <c r="E102" s="2038"/>
      <c r="F102" s="2041"/>
      <c r="G102" s="1032">
        <v>30000000</v>
      </c>
      <c r="H102" s="1032" t="s">
        <v>3060</v>
      </c>
      <c r="I102" s="1048" t="s">
        <v>3085</v>
      </c>
      <c r="J102" s="24" t="s">
        <v>696</v>
      </c>
      <c r="K102" s="2157"/>
      <c r="L102" s="2157"/>
      <c r="M102" s="2340"/>
    </row>
    <row r="103" spans="1:13" ht="30" customHeight="1" x14ac:dyDescent="0.2">
      <c r="A103" s="2034"/>
      <c r="B103" s="2033"/>
      <c r="C103" s="2158"/>
      <c r="D103" s="2041"/>
      <c r="E103" s="2038"/>
      <c r="F103" s="2041"/>
      <c r="G103" s="1032">
        <v>50000000</v>
      </c>
      <c r="H103" s="1032" t="s">
        <v>3041</v>
      </c>
      <c r="I103" s="1048" t="s">
        <v>3160</v>
      </c>
      <c r="J103" s="24" t="s">
        <v>696</v>
      </c>
      <c r="K103" s="2157"/>
      <c r="L103" s="2157"/>
      <c r="M103" s="2340"/>
    </row>
    <row r="104" spans="1:13" ht="30" customHeight="1" x14ac:dyDescent="0.2">
      <c r="A104" s="2034"/>
      <c r="B104" s="2033"/>
      <c r="C104" s="2158"/>
      <c r="D104" s="2041"/>
      <c r="E104" s="2038"/>
      <c r="F104" s="2041"/>
      <c r="G104" s="1032">
        <v>50000000</v>
      </c>
      <c r="H104" s="1032" t="s">
        <v>3288</v>
      </c>
      <c r="I104" s="1057" t="s">
        <v>3514</v>
      </c>
      <c r="J104" s="24" t="s">
        <v>696</v>
      </c>
      <c r="K104" s="2157"/>
      <c r="L104" s="2157"/>
      <c r="M104" s="2341"/>
    </row>
    <row r="105" spans="1:13" ht="30" customHeight="1" x14ac:dyDescent="0.2">
      <c r="A105" s="2031">
        <v>57</v>
      </c>
      <c r="B105" s="2029" t="s">
        <v>1107</v>
      </c>
      <c r="C105" s="2149" t="s">
        <v>1353</v>
      </c>
      <c r="D105" s="2040">
        <v>317000000</v>
      </c>
      <c r="E105" s="2037">
        <v>7.0000000000000007E-2</v>
      </c>
      <c r="F105" s="2040">
        <f>D105*E105</f>
        <v>22190000.000000004</v>
      </c>
      <c r="G105" s="1032">
        <v>10000000</v>
      </c>
      <c r="H105" s="1032" t="s">
        <v>3288</v>
      </c>
      <c r="I105" s="1057" t="s">
        <v>3314</v>
      </c>
      <c r="J105" s="24" t="s">
        <v>3315</v>
      </c>
      <c r="K105" s="2040">
        <f>G105+G106</f>
        <v>22190000</v>
      </c>
      <c r="L105" s="2040">
        <f>F105-K105</f>
        <v>0</v>
      </c>
      <c r="M105" s="2203" t="s">
        <v>3135</v>
      </c>
    </row>
    <row r="106" spans="1:13" ht="30" customHeight="1" x14ac:dyDescent="0.2">
      <c r="A106" s="2032"/>
      <c r="B106" s="2030"/>
      <c r="C106" s="2150"/>
      <c r="D106" s="2042"/>
      <c r="E106" s="2039"/>
      <c r="F106" s="2042"/>
      <c r="G106" s="1416">
        <v>12190000</v>
      </c>
      <c r="H106" s="1416" t="s">
        <v>3371</v>
      </c>
      <c r="I106" s="1431" t="s">
        <v>3400</v>
      </c>
      <c r="J106" s="24" t="s">
        <v>696</v>
      </c>
      <c r="K106" s="2042"/>
      <c r="L106" s="2042"/>
      <c r="M106" s="2204"/>
    </row>
    <row r="107" spans="1:13" ht="30" customHeight="1" x14ac:dyDescent="0.2">
      <c r="A107" s="1026">
        <v>58</v>
      </c>
      <c r="B107" s="1064" t="s">
        <v>1094</v>
      </c>
      <c r="C107" s="1046" t="s">
        <v>916</v>
      </c>
      <c r="D107" s="1032">
        <v>11000000</v>
      </c>
      <c r="E107" s="1060">
        <v>5.5E-2</v>
      </c>
      <c r="F107" s="1032">
        <v>600000</v>
      </c>
      <c r="G107" s="1032">
        <v>600000</v>
      </c>
      <c r="H107" s="1032" t="s">
        <v>2945</v>
      </c>
      <c r="I107" s="1048" t="s">
        <v>2959</v>
      </c>
      <c r="J107" s="88" t="s">
        <v>1096</v>
      </c>
      <c r="K107" s="1032">
        <f>G107</f>
        <v>600000</v>
      </c>
      <c r="L107" s="1032">
        <f t="shared" si="11"/>
        <v>0</v>
      </c>
      <c r="M107" s="1064"/>
    </row>
    <row r="108" spans="1:13" ht="30" customHeight="1" x14ac:dyDescent="0.2">
      <c r="A108" s="2031">
        <v>59</v>
      </c>
      <c r="B108" s="2101" t="s">
        <v>197</v>
      </c>
      <c r="C108" s="2149" t="s">
        <v>1350</v>
      </c>
      <c r="D108" s="1032">
        <v>90000000</v>
      </c>
      <c r="E108" s="1060">
        <v>0.05</v>
      </c>
      <c r="F108" s="1032">
        <f t="shared" si="9"/>
        <v>4500000</v>
      </c>
      <c r="G108" s="2157">
        <v>5200000</v>
      </c>
      <c r="H108" s="2157" t="s">
        <v>2695</v>
      </c>
      <c r="I108" s="2342" t="s">
        <v>2706</v>
      </c>
      <c r="J108" s="2343" t="s">
        <v>2707</v>
      </c>
      <c r="K108" s="2040">
        <f>G108</f>
        <v>5200000</v>
      </c>
      <c r="L108" s="2040">
        <f>(F108+F109)-K108</f>
        <v>0</v>
      </c>
      <c r="M108" s="2051"/>
    </row>
    <row r="109" spans="1:13" ht="30" customHeight="1" x14ac:dyDescent="0.2">
      <c r="A109" s="2034"/>
      <c r="B109" s="2222"/>
      <c r="C109" s="2158"/>
      <c r="D109" s="1032">
        <v>10000000</v>
      </c>
      <c r="E109" s="1060">
        <v>7.0000000000000007E-2</v>
      </c>
      <c r="F109" s="1032">
        <f t="shared" si="9"/>
        <v>700000.00000000012</v>
      </c>
      <c r="G109" s="2157"/>
      <c r="H109" s="2157"/>
      <c r="I109" s="2342"/>
      <c r="J109" s="2343"/>
      <c r="K109" s="2042"/>
      <c r="L109" s="2042"/>
      <c r="M109" s="2052"/>
    </row>
    <row r="110" spans="1:13" ht="30" customHeight="1" x14ac:dyDescent="0.2">
      <c r="A110" s="2032"/>
      <c r="B110" s="2102"/>
      <c r="C110" s="2150"/>
      <c r="D110" s="1521">
        <v>115000000</v>
      </c>
      <c r="E110" s="1370"/>
      <c r="F110" s="1521"/>
      <c r="G110" s="2254" t="s">
        <v>3501</v>
      </c>
      <c r="H110" s="2255"/>
      <c r="I110" s="2255"/>
      <c r="J110" s="2255"/>
      <c r="K110" s="2256"/>
      <c r="L110" s="1513"/>
      <c r="M110" s="1514"/>
    </row>
    <row r="111" spans="1:13" ht="30" customHeight="1" x14ac:dyDescent="0.2">
      <c r="A111" s="1065">
        <v>60</v>
      </c>
      <c r="B111" s="1064" t="s">
        <v>1591</v>
      </c>
      <c r="C111" s="1046"/>
      <c r="D111" s="1038"/>
      <c r="E111" s="44"/>
      <c r="F111" s="1038">
        <f t="shared" si="9"/>
        <v>0</v>
      </c>
      <c r="G111" s="1032"/>
      <c r="H111" s="1032"/>
      <c r="I111" s="1048"/>
      <c r="J111" s="24"/>
      <c r="K111" s="1032">
        <f>G111</f>
        <v>0</v>
      </c>
      <c r="L111" s="1038">
        <f t="shared" si="11"/>
        <v>0</v>
      </c>
      <c r="M111" s="1064" t="s">
        <v>2658</v>
      </c>
    </row>
    <row r="112" spans="1:13" ht="30" customHeight="1" x14ac:dyDescent="0.2">
      <c r="A112" s="1027">
        <v>61</v>
      </c>
      <c r="B112" s="1064" t="s">
        <v>199</v>
      </c>
      <c r="C112" s="1046"/>
      <c r="D112" s="1032">
        <v>100000000</v>
      </c>
      <c r="E112" s="1060">
        <v>7.0000000000000007E-2</v>
      </c>
      <c r="F112" s="1032">
        <f t="shared" si="9"/>
        <v>7000000.0000000009</v>
      </c>
      <c r="G112" s="1032">
        <v>7000000</v>
      </c>
      <c r="H112" s="1032" t="s">
        <v>2341</v>
      </c>
      <c r="I112" s="1057" t="s">
        <v>2772</v>
      </c>
      <c r="J112" s="24" t="s">
        <v>2773</v>
      </c>
      <c r="K112" s="1032">
        <f>G112</f>
        <v>7000000</v>
      </c>
      <c r="L112" s="1032">
        <f t="shared" si="11"/>
        <v>0</v>
      </c>
      <c r="M112" s="1064"/>
    </row>
    <row r="113" spans="1:13" ht="30" customHeight="1" x14ac:dyDescent="0.2">
      <c r="A113" s="2031">
        <v>62</v>
      </c>
      <c r="B113" s="2029" t="s">
        <v>200</v>
      </c>
      <c r="C113" s="2149"/>
      <c r="D113" s="1295">
        <v>125000000</v>
      </c>
      <c r="E113" s="1298">
        <v>5.1999999999999998E-2</v>
      </c>
      <c r="F113" s="1295">
        <f t="shared" si="9"/>
        <v>6500000</v>
      </c>
      <c r="G113" s="1295">
        <v>6500000</v>
      </c>
      <c r="H113" s="1295" t="s">
        <v>3060</v>
      </c>
      <c r="I113" s="1299" t="s">
        <v>3080</v>
      </c>
      <c r="J113" s="310" t="s">
        <v>2587</v>
      </c>
      <c r="K113" s="1295">
        <f>G113</f>
        <v>6500000</v>
      </c>
      <c r="L113" s="1295">
        <f t="shared" si="11"/>
        <v>0</v>
      </c>
      <c r="M113" s="103" t="s">
        <v>3081</v>
      </c>
    </row>
    <row r="114" spans="1:13" ht="30" customHeight="1" x14ac:dyDescent="0.2">
      <c r="A114" s="2032"/>
      <c r="B114" s="2030"/>
      <c r="C114" s="2150"/>
      <c r="D114" s="1947"/>
      <c r="E114" s="1948"/>
      <c r="F114" s="1949"/>
      <c r="G114" s="1391">
        <v>15300000</v>
      </c>
      <c r="H114" s="1391" t="s">
        <v>3271</v>
      </c>
      <c r="I114" s="1393" t="s">
        <v>3282</v>
      </c>
      <c r="J114" s="310" t="s">
        <v>3283</v>
      </c>
      <c r="K114" s="1382">
        <f>G114</f>
        <v>15300000</v>
      </c>
      <c r="L114" s="1382"/>
      <c r="M114" s="1384" t="s">
        <v>3284</v>
      </c>
    </row>
    <row r="115" spans="1:13" ht="30" customHeight="1" x14ac:dyDescent="0.2">
      <c r="A115" s="2031">
        <v>63</v>
      </c>
      <c r="B115" s="2029" t="s">
        <v>201</v>
      </c>
      <c r="C115" s="2149" t="s">
        <v>916</v>
      </c>
      <c r="D115" s="2040">
        <v>1600000000</v>
      </c>
      <c r="E115" s="2037">
        <v>6.5000000000000002E-2</v>
      </c>
      <c r="F115" s="2040">
        <f>D115*E115</f>
        <v>104000000</v>
      </c>
      <c r="G115" s="247">
        <v>20000000</v>
      </c>
      <c r="H115" s="1120" t="s">
        <v>2719</v>
      </c>
      <c r="I115" s="1121" t="s">
        <v>2723</v>
      </c>
      <c r="J115" s="1120" t="s">
        <v>2722</v>
      </c>
      <c r="K115" s="2040">
        <f>G115+G116</f>
        <v>24000000</v>
      </c>
      <c r="L115" s="2040">
        <f>24000000-K115</f>
        <v>0</v>
      </c>
      <c r="M115" s="2051" t="s">
        <v>2655</v>
      </c>
    </row>
    <row r="116" spans="1:13" ht="30" customHeight="1" x14ac:dyDescent="0.2">
      <c r="A116" s="2032"/>
      <c r="B116" s="2030"/>
      <c r="C116" s="2150"/>
      <c r="D116" s="2042"/>
      <c r="E116" s="2039"/>
      <c r="F116" s="2042"/>
      <c r="G116" s="1115">
        <v>4000000</v>
      </c>
      <c r="H116" s="1115" t="s">
        <v>2719</v>
      </c>
      <c r="I116" s="1115">
        <v>277218</v>
      </c>
      <c r="J116" s="1117" t="s">
        <v>2724</v>
      </c>
      <c r="K116" s="2042"/>
      <c r="L116" s="2042"/>
      <c r="M116" s="2052"/>
    </row>
    <row r="117" spans="1:13" ht="30" customHeight="1" x14ac:dyDescent="0.2">
      <c r="A117" s="1065">
        <v>64</v>
      </c>
      <c r="B117" s="1025" t="s">
        <v>1408</v>
      </c>
      <c r="C117" s="1046" t="s">
        <v>916</v>
      </c>
      <c r="D117" s="1032">
        <v>200000000</v>
      </c>
      <c r="E117" s="1029">
        <v>5.0999999999999997E-2</v>
      </c>
      <c r="F117" s="1032">
        <f t="shared" si="9"/>
        <v>10200000</v>
      </c>
      <c r="G117" s="1032">
        <v>10200000</v>
      </c>
      <c r="H117" s="1032" t="s">
        <v>2831</v>
      </c>
      <c r="I117" s="1057" t="s">
        <v>2841</v>
      </c>
      <c r="J117" s="24" t="s">
        <v>1407</v>
      </c>
      <c r="K117" s="1032">
        <f>G117</f>
        <v>10200000</v>
      </c>
      <c r="L117" s="1032">
        <f t="shared" si="11"/>
        <v>0</v>
      </c>
      <c r="M117" s="103" t="s">
        <v>1409</v>
      </c>
    </row>
    <row r="118" spans="1:13" ht="30" customHeight="1" x14ac:dyDescent="0.2">
      <c r="A118" s="1027">
        <v>65</v>
      </c>
      <c r="B118" s="1064" t="s">
        <v>203</v>
      </c>
      <c r="C118" s="1046"/>
      <c r="D118" s="1032">
        <v>500000000</v>
      </c>
      <c r="E118" s="1060">
        <v>0.04</v>
      </c>
      <c r="F118" s="1032">
        <f t="shared" si="9"/>
        <v>20000000</v>
      </c>
      <c r="G118" s="1032"/>
      <c r="H118" s="1032"/>
      <c r="I118" s="1048"/>
      <c r="J118" s="24"/>
      <c r="K118" s="1032"/>
      <c r="L118" s="1032">
        <f t="shared" si="11"/>
        <v>20000000</v>
      </c>
      <c r="M118" s="1064" t="s">
        <v>1615</v>
      </c>
    </row>
    <row r="119" spans="1:13" ht="30" customHeight="1" x14ac:dyDescent="0.2">
      <c r="A119" s="426">
        <v>66</v>
      </c>
      <c r="B119" s="1066" t="s">
        <v>204</v>
      </c>
      <c r="C119" s="1059"/>
      <c r="D119" s="1041"/>
      <c r="E119" s="44"/>
      <c r="F119" s="1041">
        <f t="shared" si="9"/>
        <v>0</v>
      </c>
      <c r="G119" s="1047"/>
      <c r="H119" s="1047"/>
      <c r="I119" s="423"/>
      <c r="J119" s="1063"/>
      <c r="K119" s="1047">
        <f>F119</f>
        <v>0</v>
      </c>
      <c r="L119" s="1041">
        <f>F119-K119</f>
        <v>0</v>
      </c>
      <c r="M119" s="103" t="s">
        <v>2662</v>
      </c>
    </row>
    <row r="120" spans="1:13" ht="30" customHeight="1" x14ac:dyDescent="0.2">
      <c r="A120" s="1065">
        <v>68</v>
      </c>
      <c r="B120" s="1064" t="s">
        <v>205</v>
      </c>
      <c r="C120" s="1046" t="s">
        <v>1350</v>
      </c>
      <c r="D120" s="1032">
        <v>150000000</v>
      </c>
      <c r="E120" s="1060">
        <v>0.05</v>
      </c>
      <c r="F120" s="1032">
        <f t="shared" si="9"/>
        <v>7500000</v>
      </c>
      <c r="G120" s="1032">
        <v>7500000</v>
      </c>
      <c r="H120" s="1032" t="s">
        <v>2674</v>
      </c>
      <c r="I120" s="1048" t="s">
        <v>2679</v>
      </c>
      <c r="J120" s="70" t="s">
        <v>2680</v>
      </c>
      <c r="K120" s="1032">
        <f>G120</f>
        <v>7500000</v>
      </c>
      <c r="L120" s="1032">
        <f>F120-K120</f>
        <v>0</v>
      </c>
      <c r="M120" s="1064"/>
    </row>
    <row r="121" spans="1:13" ht="30" customHeight="1" x14ac:dyDescent="0.2">
      <c r="A121" s="1026">
        <v>69</v>
      </c>
      <c r="B121" s="1066" t="s">
        <v>206</v>
      </c>
      <c r="C121" s="1059" t="s">
        <v>916</v>
      </c>
      <c r="D121" s="1047">
        <v>280000000</v>
      </c>
      <c r="E121" s="1060">
        <f>F121/D121</f>
        <v>7.0000000000000007E-2</v>
      </c>
      <c r="F121" s="1047">
        <v>19600000</v>
      </c>
      <c r="G121" s="1047">
        <v>19600000</v>
      </c>
      <c r="H121" s="1047" t="s">
        <v>2831</v>
      </c>
      <c r="I121" s="1062" t="s">
        <v>2884</v>
      </c>
      <c r="J121" s="1063" t="s">
        <v>2885</v>
      </c>
      <c r="K121" s="1047">
        <f>G121</f>
        <v>19600000</v>
      </c>
      <c r="L121" s="1047">
        <f>F121-K121</f>
        <v>0</v>
      </c>
      <c r="M121" s="1058"/>
    </row>
    <row r="122" spans="1:13" ht="30" customHeight="1" x14ac:dyDescent="0.2">
      <c r="A122" s="1065">
        <v>70</v>
      </c>
      <c r="B122" s="1064" t="s">
        <v>207</v>
      </c>
      <c r="C122" s="1046" t="s">
        <v>916</v>
      </c>
      <c r="D122" s="1032">
        <v>100000000</v>
      </c>
      <c r="E122" s="1029">
        <v>0.04</v>
      </c>
      <c r="F122" s="1032">
        <f t="shared" si="9"/>
        <v>4000000</v>
      </c>
      <c r="G122" s="1032">
        <v>4000000</v>
      </c>
      <c r="H122" s="1032" t="s">
        <v>2674</v>
      </c>
      <c r="I122" s="1048" t="s">
        <v>2687</v>
      </c>
      <c r="J122" s="1051" t="s">
        <v>1457</v>
      </c>
      <c r="K122" s="1032">
        <f>G122</f>
        <v>4000000</v>
      </c>
      <c r="L122" s="1032">
        <f t="shared" si="11"/>
        <v>0</v>
      </c>
      <c r="M122" s="1064"/>
    </row>
    <row r="123" spans="1:13" ht="30" customHeight="1" x14ac:dyDescent="0.2">
      <c r="A123" s="1026">
        <v>71</v>
      </c>
      <c r="B123" s="1064" t="s">
        <v>208</v>
      </c>
      <c r="C123" s="1059" t="s">
        <v>971</v>
      </c>
      <c r="D123" s="1047">
        <v>20000000</v>
      </c>
      <c r="E123" s="1060">
        <v>0.05</v>
      </c>
      <c r="F123" s="1047">
        <f t="shared" si="9"/>
        <v>1000000</v>
      </c>
      <c r="G123" s="1047">
        <v>1000000</v>
      </c>
      <c r="H123" s="1047" t="s">
        <v>1477</v>
      </c>
      <c r="I123" s="424" t="s">
        <v>1478</v>
      </c>
      <c r="J123" s="1063" t="s">
        <v>1479</v>
      </c>
      <c r="K123" s="1047">
        <f>G123</f>
        <v>1000000</v>
      </c>
      <c r="L123" s="1047">
        <f t="shared" si="11"/>
        <v>0</v>
      </c>
      <c r="M123" s="2043"/>
    </row>
    <row r="124" spans="1:13" ht="30" customHeight="1" x14ac:dyDescent="0.2">
      <c r="A124" s="1217"/>
      <c r="B124" s="1216"/>
      <c r="C124" s="1224"/>
      <c r="D124" s="1218">
        <v>30000000</v>
      </c>
      <c r="E124" s="1221"/>
      <c r="F124" s="1218"/>
      <c r="G124" s="2200" t="s">
        <v>2906</v>
      </c>
      <c r="H124" s="2201"/>
      <c r="I124" s="2201"/>
      <c r="J124" s="2201"/>
      <c r="K124" s="2202"/>
      <c r="L124" s="1218"/>
      <c r="M124" s="2045"/>
    </row>
    <row r="125" spans="1:13" ht="30" customHeight="1" x14ac:dyDescent="0.2">
      <c r="A125" s="2031">
        <v>72</v>
      </c>
      <c r="B125" s="2029" t="s">
        <v>1053</v>
      </c>
      <c r="C125" s="2149"/>
      <c r="D125" s="2040">
        <v>1685000000</v>
      </c>
      <c r="E125" s="2037">
        <v>0.06</v>
      </c>
      <c r="F125" s="2040">
        <f t="shared" si="9"/>
        <v>101100000</v>
      </c>
      <c r="G125" s="1032">
        <v>50000000</v>
      </c>
      <c r="H125" s="1032" t="s">
        <v>3148</v>
      </c>
      <c r="I125" s="1053" t="s">
        <v>3210</v>
      </c>
      <c r="J125" s="24" t="s">
        <v>3211</v>
      </c>
      <c r="K125" s="2040">
        <f>G125+G126</f>
        <v>100000000</v>
      </c>
      <c r="L125" s="2040">
        <f t="shared" si="11"/>
        <v>1100000</v>
      </c>
      <c r="M125" s="2101"/>
    </row>
    <row r="126" spans="1:13" ht="30" customHeight="1" x14ac:dyDescent="0.2">
      <c r="A126" s="2032"/>
      <c r="B126" s="2030"/>
      <c r="C126" s="2150"/>
      <c r="D126" s="2042"/>
      <c r="E126" s="2039"/>
      <c r="F126" s="2042"/>
      <c r="G126" s="1347">
        <v>50000000</v>
      </c>
      <c r="H126" s="1347" t="s">
        <v>3227</v>
      </c>
      <c r="I126" s="1358" t="s">
        <v>3242</v>
      </c>
      <c r="J126" s="24" t="s">
        <v>3211</v>
      </c>
      <c r="K126" s="2042"/>
      <c r="L126" s="2042"/>
      <c r="M126" s="2102"/>
    </row>
    <row r="127" spans="1:13" ht="30" customHeight="1" x14ac:dyDescent="0.2">
      <c r="A127" s="1027">
        <v>73</v>
      </c>
      <c r="B127" s="1064" t="s">
        <v>209</v>
      </c>
      <c r="C127" s="1046" t="s">
        <v>1348</v>
      </c>
      <c r="D127" s="1032">
        <v>20000000</v>
      </c>
      <c r="E127" s="1060">
        <v>0.05</v>
      </c>
      <c r="F127" s="1032">
        <f t="shared" si="9"/>
        <v>1000000</v>
      </c>
      <c r="G127" s="1032">
        <v>1000000</v>
      </c>
      <c r="H127" s="1032" t="s">
        <v>2719</v>
      </c>
      <c r="I127" s="1048" t="s">
        <v>2728</v>
      </c>
      <c r="J127" s="24" t="s">
        <v>973</v>
      </c>
      <c r="K127" s="1032">
        <f>G127</f>
        <v>1000000</v>
      </c>
      <c r="L127" s="1032">
        <f t="shared" si="11"/>
        <v>0</v>
      </c>
      <c r="M127" s="1064"/>
    </row>
    <row r="128" spans="1:13" ht="30" customHeight="1" x14ac:dyDescent="0.2">
      <c r="A128" s="1065">
        <v>74</v>
      </c>
      <c r="B128" s="1064" t="s">
        <v>210</v>
      </c>
      <c r="C128" s="1046" t="s">
        <v>916</v>
      </c>
      <c r="D128" s="1032">
        <v>125000000</v>
      </c>
      <c r="E128" s="1060">
        <v>0.04</v>
      </c>
      <c r="F128" s="1032">
        <f t="shared" si="9"/>
        <v>5000000</v>
      </c>
      <c r="G128" s="1032">
        <v>5000000</v>
      </c>
      <c r="H128" s="1032" t="s">
        <v>2674</v>
      </c>
      <c r="I128" s="1048" t="s">
        <v>2677</v>
      </c>
      <c r="J128" s="24" t="s">
        <v>2678</v>
      </c>
      <c r="K128" s="1032">
        <f>G128</f>
        <v>5000000</v>
      </c>
      <c r="L128" s="1032">
        <f t="shared" si="11"/>
        <v>0</v>
      </c>
      <c r="M128" s="1064"/>
    </row>
    <row r="129" spans="1:13" ht="30" customHeight="1" x14ac:dyDescent="0.2">
      <c r="A129" s="1027">
        <v>75</v>
      </c>
      <c r="B129" s="1064" t="s">
        <v>211</v>
      </c>
      <c r="C129" s="1046" t="s">
        <v>916</v>
      </c>
      <c r="D129" s="1032">
        <v>50000000</v>
      </c>
      <c r="E129" s="1060">
        <v>0.05</v>
      </c>
      <c r="F129" s="1032">
        <f t="shared" si="9"/>
        <v>2500000</v>
      </c>
      <c r="G129" s="1032">
        <v>2500000</v>
      </c>
      <c r="H129" s="1032" t="s">
        <v>2945</v>
      </c>
      <c r="I129" s="1048" t="s">
        <v>2957</v>
      </c>
      <c r="J129" s="24" t="s">
        <v>977</v>
      </c>
      <c r="K129" s="1032">
        <f>G129</f>
        <v>2500000</v>
      </c>
      <c r="L129" s="1032">
        <f t="shared" si="11"/>
        <v>0</v>
      </c>
      <c r="M129" s="1064"/>
    </row>
    <row r="130" spans="1:13" ht="30" customHeight="1" x14ac:dyDescent="0.2">
      <c r="A130" s="1065">
        <v>76</v>
      </c>
      <c r="B130" s="1064" t="s">
        <v>212</v>
      </c>
      <c r="C130" s="1046" t="s">
        <v>1348</v>
      </c>
      <c r="D130" s="1032">
        <v>100000000</v>
      </c>
      <c r="E130" s="1060">
        <v>0.05</v>
      </c>
      <c r="F130" s="1032">
        <f t="shared" si="9"/>
        <v>5000000</v>
      </c>
      <c r="G130" s="1032">
        <v>5000000</v>
      </c>
      <c r="H130" s="1032" t="s">
        <v>2719</v>
      </c>
      <c r="I130" s="1048" t="s">
        <v>2727</v>
      </c>
      <c r="J130" s="24" t="s">
        <v>1634</v>
      </c>
      <c r="K130" s="1032">
        <f>G130</f>
        <v>5000000</v>
      </c>
      <c r="L130" s="1032">
        <f t="shared" si="11"/>
        <v>0</v>
      </c>
      <c r="M130" s="1064"/>
    </row>
    <row r="131" spans="1:13" ht="30" customHeight="1" x14ac:dyDescent="0.2">
      <c r="A131" s="2031">
        <v>77</v>
      </c>
      <c r="B131" s="2029" t="s">
        <v>213</v>
      </c>
      <c r="C131" s="2149" t="s">
        <v>1820</v>
      </c>
      <c r="D131" s="1032">
        <v>30000000</v>
      </c>
      <c r="E131" s="1060">
        <v>7.0000000000000007E-2</v>
      </c>
      <c r="F131" s="1032">
        <f t="shared" si="9"/>
        <v>2100000</v>
      </c>
      <c r="G131" s="2040">
        <v>3675000</v>
      </c>
      <c r="H131" s="2040" t="s">
        <v>2776</v>
      </c>
      <c r="I131" s="2159" t="s">
        <v>2794</v>
      </c>
      <c r="J131" s="2119" t="s">
        <v>1666</v>
      </c>
      <c r="K131" s="2040">
        <f>G131</f>
        <v>3675000</v>
      </c>
      <c r="L131" s="2040">
        <f>(F131+F132)-K131</f>
        <v>0</v>
      </c>
      <c r="M131" s="2051" t="s">
        <v>982</v>
      </c>
    </row>
    <row r="132" spans="1:13" ht="30" customHeight="1" x14ac:dyDescent="0.2">
      <c r="A132" s="2032"/>
      <c r="B132" s="2030"/>
      <c r="C132" s="2150"/>
      <c r="D132" s="1032">
        <v>35000000</v>
      </c>
      <c r="E132" s="1060">
        <v>4.4999999999999998E-2</v>
      </c>
      <c r="F132" s="1032">
        <f t="shared" si="9"/>
        <v>1575000</v>
      </c>
      <c r="G132" s="2042"/>
      <c r="H132" s="2042"/>
      <c r="I132" s="2160"/>
      <c r="J132" s="2120"/>
      <c r="K132" s="2042"/>
      <c r="L132" s="2042"/>
      <c r="M132" s="2052"/>
    </row>
    <row r="133" spans="1:13" ht="30" customHeight="1" x14ac:dyDescent="0.2">
      <c r="A133" s="1065">
        <v>78</v>
      </c>
      <c r="B133" s="1064" t="s">
        <v>214</v>
      </c>
      <c r="C133" s="1046"/>
      <c r="D133" s="1038"/>
      <c r="E133" s="44"/>
      <c r="F133" s="1038">
        <f t="shared" si="9"/>
        <v>0</v>
      </c>
      <c r="G133" s="1032">
        <v>1900000</v>
      </c>
      <c r="H133" s="1032" t="s">
        <v>2341</v>
      </c>
      <c r="I133" s="1048" t="s">
        <v>2759</v>
      </c>
      <c r="J133" s="88" t="s">
        <v>984</v>
      </c>
      <c r="K133" s="1032">
        <f t="shared" ref="K133:K139" si="12">G133</f>
        <v>1900000</v>
      </c>
      <c r="L133" s="1038">
        <f t="shared" si="11"/>
        <v>-1900000</v>
      </c>
      <c r="M133" s="1064"/>
    </row>
    <row r="134" spans="1:13" ht="30" customHeight="1" x14ac:dyDescent="0.2">
      <c r="A134" s="1065">
        <v>79</v>
      </c>
      <c r="B134" s="1064" t="s">
        <v>215</v>
      </c>
      <c r="C134" s="1046" t="s">
        <v>916</v>
      </c>
      <c r="D134" s="1032">
        <v>15000000</v>
      </c>
      <c r="E134" s="1060">
        <v>4.4999999999999998E-2</v>
      </c>
      <c r="F134" s="1032">
        <f t="shared" si="9"/>
        <v>675000</v>
      </c>
      <c r="G134" s="1032">
        <v>675000</v>
      </c>
      <c r="H134" s="1032" t="s">
        <v>2831</v>
      </c>
      <c r="I134" s="1048" t="s">
        <v>2900</v>
      </c>
      <c r="J134" s="24" t="s">
        <v>986</v>
      </c>
      <c r="K134" s="1032">
        <f t="shared" si="12"/>
        <v>675000</v>
      </c>
      <c r="L134" s="1032">
        <f t="shared" si="11"/>
        <v>0</v>
      </c>
      <c r="M134" s="1064"/>
    </row>
    <row r="135" spans="1:13" ht="30" customHeight="1" x14ac:dyDescent="0.2">
      <c r="A135" s="1065">
        <v>80</v>
      </c>
      <c r="B135" s="1064" t="s">
        <v>185</v>
      </c>
      <c r="C135" s="1046" t="s">
        <v>1348</v>
      </c>
      <c r="D135" s="1032">
        <v>145000000</v>
      </c>
      <c r="E135" s="1060">
        <v>4.4999999999999998E-2</v>
      </c>
      <c r="F135" s="1032">
        <v>6775000</v>
      </c>
      <c r="G135" s="1032">
        <v>6775000</v>
      </c>
      <c r="H135" s="1032" t="s">
        <v>2695</v>
      </c>
      <c r="I135" s="1048" t="s">
        <v>2710</v>
      </c>
      <c r="J135" s="1047" t="s">
        <v>2711</v>
      </c>
      <c r="K135" s="1032">
        <f t="shared" si="12"/>
        <v>6775000</v>
      </c>
      <c r="L135" s="1032">
        <f t="shared" si="11"/>
        <v>0</v>
      </c>
      <c r="M135" s="1064"/>
    </row>
    <row r="136" spans="1:13" ht="30" customHeight="1" x14ac:dyDescent="0.2">
      <c r="A136" s="1065">
        <v>81</v>
      </c>
      <c r="B136" s="1064" t="s">
        <v>216</v>
      </c>
      <c r="C136" s="1046"/>
      <c r="D136" s="1291">
        <v>5000000</v>
      </c>
      <c r="E136" s="1298">
        <v>0.04</v>
      </c>
      <c r="F136" s="1291">
        <f t="shared" si="9"/>
        <v>200000</v>
      </c>
      <c r="G136" s="1291">
        <v>200000</v>
      </c>
      <c r="H136" s="1291" t="s">
        <v>3060</v>
      </c>
      <c r="I136" s="1296" t="s">
        <v>3069</v>
      </c>
      <c r="J136" s="24" t="s">
        <v>1435</v>
      </c>
      <c r="K136" s="1291">
        <f t="shared" si="12"/>
        <v>200000</v>
      </c>
      <c r="L136" s="1291">
        <f t="shared" si="11"/>
        <v>0</v>
      </c>
      <c r="M136" s="1064"/>
    </row>
    <row r="137" spans="1:13" ht="30" customHeight="1" x14ac:dyDescent="0.2">
      <c r="A137" s="1065">
        <v>82</v>
      </c>
      <c r="B137" s="1064" t="s">
        <v>217</v>
      </c>
      <c r="C137" s="1046"/>
      <c r="D137" s="1032">
        <v>16000000</v>
      </c>
      <c r="E137" s="1060">
        <v>0.05</v>
      </c>
      <c r="F137" s="1032">
        <f t="shared" si="9"/>
        <v>800000</v>
      </c>
      <c r="G137" s="1032">
        <v>800000</v>
      </c>
      <c r="H137" s="1032" t="s">
        <v>2855</v>
      </c>
      <c r="I137" s="1048" t="s">
        <v>2940</v>
      </c>
      <c r="J137" s="88" t="s">
        <v>993</v>
      </c>
      <c r="K137" s="1032">
        <f t="shared" si="12"/>
        <v>800000</v>
      </c>
      <c r="L137" s="1032">
        <f t="shared" si="11"/>
        <v>0</v>
      </c>
      <c r="M137" s="1064"/>
    </row>
    <row r="138" spans="1:13" ht="30" customHeight="1" x14ac:dyDescent="0.2">
      <c r="A138" s="1065">
        <v>83</v>
      </c>
      <c r="B138" s="1064" t="s">
        <v>218</v>
      </c>
      <c r="C138" s="1046" t="s">
        <v>1110</v>
      </c>
      <c r="D138" s="1032">
        <v>160000000</v>
      </c>
      <c r="E138" s="1060">
        <v>0.05</v>
      </c>
      <c r="F138" s="1032">
        <f>D138*E138</f>
        <v>8000000</v>
      </c>
      <c r="G138" s="1032">
        <v>8000000</v>
      </c>
      <c r="H138" s="1032" t="s">
        <v>2695</v>
      </c>
      <c r="I138" s="1048" t="s">
        <v>2700</v>
      </c>
      <c r="J138" s="1047" t="s">
        <v>1792</v>
      </c>
      <c r="K138" s="1032">
        <f t="shared" si="12"/>
        <v>8000000</v>
      </c>
      <c r="L138" s="1032">
        <f t="shared" si="11"/>
        <v>0</v>
      </c>
      <c r="M138" s="1064"/>
    </row>
    <row r="139" spans="1:13" ht="30" customHeight="1" x14ac:dyDescent="0.2">
      <c r="A139" s="1065">
        <v>84</v>
      </c>
      <c r="B139" s="1064" t="s">
        <v>219</v>
      </c>
      <c r="C139" s="1046"/>
      <c r="D139" s="1032">
        <v>400000000</v>
      </c>
      <c r="E139" s="1060">
        <v>6.0999999999999999E-2</v>
      </c>
      <c r="F139" s="1032">
        <f t="shared" si="9"/>
        <v>24400000</v>
      </c>
      <c r="G139" s="1032">
        <v>24400000</v>
      </c>
      <c r="H139" s="1032" t="s">
        <v>2719</v>
      </c>
      <c r="I139" s="1048" t="s">
        <v>2725</v>
      </c>
      <c r="J139" s="88" t="s">
        <v>1649</v>
      </c>
      <c r="K139" s="1032">
        <f t="shared" si="12"/>
        <v>24400000</v>
      </c>
      <c r="L139" s="1032">
        <f t="shared" si="11"/>
        <v>0</v>
      </c>
      <c r="M139" s="1064"/>
    </row>
    <row r="140" spans="1:13" ht="30" customHeight="1" x14ac:dyDescent="0.2">
      <c r="A140" s="2031">
        <v>85</v>
      </c>
      <c r="B140" s="2029" t="s">
        <v>1004</v>
      </c>
      <c r="C140" s="2149" t="s">
        <v>916</v>
      </c>
      <c r="D140" s="1116">
        <v>200000000</v>
      </c>
      <c r="E140" s="480">
        <v>0.06</v>
      </c>
      <c r="F140" s="1116">
        <f t="shared" si="9"/>
        <v>12000000</v>
      </c>
      <c r="G140" s="1047">
        <v>10000000</v>
      </c>
      <c r="H140" s="1047" t="s">
        <v>2719</v>
      </c>
      <c r="I140" s="1062" t="s">
        <v>2731</v>
      </c>
      <c r="J140" s="88" t="s">
        <v>2732</v>
      </c>
      <c r="K140" s="2040">
        <f>G141+G140</f>
        <v>10000000</v>
      </c>
      <c r="L140" s="2040">
        <f>F144-K140</f>
        <v>32600000</v>
      </c>
      <c r="M140" s="2212"/>
    </row>
    <row r="141" spans="1:13" ht="30" customHeight="1" x14ac:dyDescent="0.2">
      <c r="A141" s="2034"/>
      <c r="B141" s="2033"/>
      <c r="C141" s="2158"/>
      <c r="D141" s="1116">
        <v>458000000</v>
      </c>
      <c r="E141" s="480">
        <v>0.05</v>
      </c>
      <c r="F141" s="1116">
        <f t="shared" si="9"/>
        <v>22900000</v>
      </c>
      <c r="G141" s="247"/>
      <c r="H141" s="247"/>
      <c r="I141" s="1126"/>
      <c r="J141" s="1127"/>
      <c r="K141" s="2041"/>
      <c r="L141" s="2041"/>
      <c r="M141" s="2253"/>
    </row>
    <row r="142" spans="1:13" ht="30" customHeight="1" x14ac:dyDescent="0.2">
      <c r="A142" s="2034"/>
      <c r="B142" s="2033"/>
      <c r="C142" s="2158"/>
      <c r="D142" s="1116">
        <v>10000000</v>
      </c>
      <c r="E142" s="480">
        <v>7.0000000000000007E-2</v>
      </c>
      <c r="F142" s="1116">
        <f t="shared" si="9"/>
        <v>700000.00000000012</v>
      </c>
      <c r="G142" s="247"/>
      <c r="H142" s="247"/>
      <c r="I142" s="1126"/>
      <c r="J142" s="1127"/>
      <c r="K142" s="2041"/>
      <c r="L142" s="2041"/>
      <c r="M142" s="2253"/>
    </row>
    <row r="143" spans="1:13" ht="30" customHeight="1" x14ac:dyDescent="0.2">
      <c r="A143" s="2034"/>
      <c r="B143" s="2033"/>
      <c r="C143" s="2158"/>
      <c r="D143" s="1116">
        <v>42000000</v>
      </c>
      <c r="E143" s="480">
        <v>7.0000000000000007E-2</v>
      </c>
      <c r="F143" s="1116">
        <f t="shared" si="9"/>
        <v>2940000.0000000005</v>
      </c>
      <c r="G143" s="247"/>
      <c r="H143" s="247"/>
      <c r="I143" s="247"/>
      <c r="J143" s="247"/>
      <c r="K143" s="2041"/>
      <c r="L143" s="2041"/>
      <c r="M143" s="1123" t="s">
        <v>1854</v>
      </c>
    </row>
    <row r="144" spans="1:13" ht="30" customHeight="1" x14ac:dyDescent="0.2">
      <c r="A144" s="2032"/>
      <c r="B144" s="2033"/>
      <c r="C144" s="2158"/>
      <c r="D144" s="1176">
        <f>SUM(D140:D143)</f>
        <v>710000000</v>
      </c>
      <c r="E144" s="1180"/>
      <c r="F144" s="1176">
        <v>42600000</v>
      </c>
      <c r="G144" s="1032"/>
      <c r="H144" s="1032"/>
      <c r="I144" s="1053"/>
      <c r="J144" s="1051"/>
      <c r="K144" s="2041"/>
      <c r="L144" s="2041"/>
      <c r="M144" s="1123"/>
    </row>
    <row r="145" spans="1:17" ht="30" customHeight="1" x14ac:dyDescent="0.2">
      <c r="A145" s="1174"/>
      <c r="B145" s="2033"/>
      <c r="C145" s="2158"/>
      <c r="D145" s="1186">
        <f>D144+107400000</f>
        <v>817400000</v>
      </c>
      <c r="E145" s="1187"/>
      <c r="F145" s="1186"/>
      <c r="G145" s="2154" t="s">
        <v>2821</v>
      </c>
      <c r="H145" s="2155"/>
      <c r="I145" s="2155"/>
      <c r="J145" s="2156"/>
      <c r="K145" s="1175"/>
      <c r="L145" s="1175"/>
      <c r="M145" s="1179"/>
    </row>
    <row r="146" spans="1:17" ht="30" customHeight="1" x14ac:dyDescent="0.2">
      <c r="A146" s="1174"/>
      <c r="B146" s="2033"/>
      <c r="C146" s="2158"/>
      <c r="D146" s="1186">
        <f>D145+L140</f>
        <v>850000000</v>
      </c>
      <c r="E146" s="1187"/>
      <c r="F146" s="1186"/>
      <c r="G146" s="2154" t="s">
        <v>2822</v>
      </c>
      <c r="H146" s="2155"/>
      <c r="I146" s="2155"/>
      <c r="J146" s="2156"/>
      <c r="K146" s="1175"/>
      <c r="L146" s="1175"/>
      <c r="M146" s="1179"/>
    </row>
    <row r="147" spans="1:17" ht="30" customHeight="1" x14ac:dyDescent="0.2">
      <c r="A147" s="1174"/>
      <c r="B147" s="2030"/>
      <c r="C147" s="2150"/>
      <c r="D147" s="1186">
        <v>850000000</v>
      </c>
      <c r="E147" s="1187">
        <f>F147/D147</f>
        <v>6.1647058823529409E-2</v>
      </c>
      <c r="F147" s="1186">
        <v>52400000</v>
      </c>
      <c r="G147" s="2192" t="s">
        <v>2876</v>
      </c>
      <c r="H147" s="2193"/>
      <c r="I147" s="2193"/>
      <c r="J147" s="2194"/>
      <c r="K147" s="1175"/>
      <c r="L147" s="1175"/>
      <c r="M147" s="1179"/>
    </row>
    <row r="148" spans="1:17" ht="30" customHeight="1" x14ac:dyDescent="0.2">
      <c r="A148" s="1065">
        <v>86</v>
      </c>
      <c r="B148" s="2029" t="s">
        <v>220</v>
      </c>
      <c r="C148" s="2149" t="s">
        <v>916</v>
      </c>
      <c r="D148" s="1631">
        <v>105000000</v>
      </c>
      <c r="E148" s="1634">
        <v>0.05</v>
      </c>
      <c r="F148" s="1631">
        <f t="shared" si="9"/>
        <v>5250000</v>
      </c>
      <c r="G148" s="1032">
        <v>2250000</v>
      </c>
      <c r="H148" s="1032" t="s">
        <v>2719</v>
      </c>
      <c r="I148" s="1048" t="s">
        <v>2742</v>
      </c>
      <c r="J148" s="1047" t="s">
        <v>2743</v>
      </c>
      <c r="K148" s="1138">
        <f>G148</f>
        <v>2250000</v>
      </c>
      <c r="L148" s="1135">
        <f>F148-K148</f>
        <v>3000000</v>
      </c>
      <c r="M148" s="1112"/>
    </row>
    <row r="149" spans="1:17" ht="30" customHeight="1" x14ac:dyDescent="0.2">
      <c r="A149" s="1630"/>
      <c r="B149" s="2030"/>
      <c r="C149" s="2150"/>
      <c r="D149" s="1631">
        <v>108000000</v>
      </c>
      <c r="E149" s="1634">
        <v>0.05</v>
      </c>
      <c r="F149" s="1631">
        <f>D149*E149</f>
        <v>5400000</v>
      </c>
      <c r="G149" s="2154" t="s">
        <v>3544</v>
      </c>
      <c r="H149" s="2155"/>
      <c r="I149" s="2155"/>
      <c r="J149" s="2155"/>
      <c r="K149" s="2156"/>
      <c r="L149" s="1632"/>
      <c r="M149" s="1653"/>
    </row>
    <row r="150" spans="1:17" ht="30" customHeight="1" x14ac:dyDescent="0.2">
      <c r="A150" s="1027"/>
      <c r="B150" s="1025" t="s">
        <v>177</v>
      </c>
      <c r="C150" s="1046"/>
      <c r="D150" s="1324">
        <v>723000000</v>
      </c>
      <c r="E150" s="1336"/>
      <c r="F150" s="1324"/>
      <c r="G150" s="1324">
        <v>43000000</v>
      </c>
      <c r="H150" s="1324" t="s">
        <v>2855</v>
      </c>
      <c r="I150" s="1333" t="s">
        <v>3204</v>
      </c>
      <c r="J150" s="21" t="s">
        <v>3205</v>
      </c>
      <c r="K150" s="1324">
        <f>G150</f>
        <v>43000000</v>
      </c>
      <c r="L150" s="1032">
        <f>43000000-K150</f>
        <v>0</v>
      </c>
      <c r="M150" s="2223" t="s">
        <v>2495</v>
      </c>
      <c r="N150" s="2224"/>
      <c r="O150" s="2224"/>
      <c r="P150" s="2224"/>
      <c r="Q150" s="2225"/>
    </row>
    <row r="151" spans="1:17" ht="30" customHeight="1" x14ac:dyDescent="0.2">
      <c r="A151" s="1065">
        <v>88</v>
      </c>
      <c r="B151" s="1064" t="s">
        <v>221</v>
      </c>
      <c r="C151" s="1046" t="s">
        <v>1350</v>
      </c>
      <c r="D151" s="1032">
        <v>45000000</v>
      </c>
      <c r="E151" s="1060">
        <v>0.04</v>
      </c>
      <c r="F151" s="1032">
        <v>2050000</v>
      </c>
      <c r="G151" s="1032">
        <v>2050000</v>
      </c>
      <c r="H151" s="1156" t="s">
        <v>2695</v>
      </c>
      <c r="I151" s="1048" t="s">
        <v>2712</v>
      </c>
      <c r="J151" s="21" t="s">
        <v>2713</v>
      </c>
      <c r="K151" s="1032">
        <f>G151</f>
        <v>2050000</v>
      </c>
      <c r="L151" s="1032">
        <f t="shared" si="11"/>
        <v>0</v>
      </c>
      <c r="M151" s="1064"/>
    </row>
    <row r="152" spans="1:17" ht="30" customHeight="1" x14ac:dyDescent="0.2">
      <c r="A152" s="2031">
        <v>89</v>
      </c>
      <c r="B152" s="2029" t="s">
        <v>222</v>
      </c>
      <c r="C152" s="2149" t="s">
        <v>1348</v>
      </c>
      <c r="D152" s="1527">
        <v>93000000</v>
      </c>
      <c r="E152" s="1060">
        <v>7.0000000000000007E-2</v>
      </c>
      <c r="F152" s="1047">
        <v>6500000</v>
      </c>
      <c r="G152" s="1162">
        <v>20000000</v>
      </c>
      <c r="H152" s="1162" t="s">
        <v>2798</v>
      </c>
      <c r="I152" s="1170" t="s">
        <v>2807</v>
      </c>
      <c r="J152" s="43" t="s">
        <v>2808</v>
      </c>
      <c r="K152" s="2040">
        <f>G152+G153</f>
        <v>22500000</v>
      </c>
      <c r="L152" s="2040">
        <f>(F152+F153)-K152</f>
        <v>0</v>
      </c>
      <c r="M152" s="2101"/>
    </row>
    <row r="153" spans="1:17" ht="30" customHeight="1" x14ac:dyDescent="0.2">
      <c r="A153" s="2034"/>
      <c r="B153" s="2033"/>
      <c r="C153" s="2158"/>
      <c r="D153" s="1509">
        <v>350000000</v>
      </c>
      <c r="E153" s="1060">
        <v>4.4999999999999998E-2</v>
      </c>
      <c r="F153" s="1047">
        <v>16000000</v>
      </c>
      <c r="G153" s="1162">
        <v>2500000</v>
      </c>
      <c r="H153" s="1162" t="s">
        <v>2798</v>
      </c>
      <c r="I153" s="1170" t="s">
        <v>2809</v>
      </c>
      <c r="J153" s="43" t="s">
        <v>2810</v>
      </c>
      <c r="K153" s="2042"/>
      <c r="L153" s="2042"/>
      <c r="M153" s="2102"/>
    </row>
    <row r="154" spans="1:17" ht="30" customHeight="1" x14ac:dyDescent="0.2">
      <c r="A154" s="2034"/>
      <c r="B154" s="2033"/>
      <c r="C154" s="2158"/>
      <c r="D154" s="1509">
        <v>100000000</v>
      </c>
      <c r="E154" s="1396"/>
      <c r="F154" s="1383"/>
      <c r="G154" s="2200" t="s">
        <v>3309</v>
      </c>
      <c r="H154" s="2201"/>
      <c r="I154" s="2201"/>
      <c r="J154" s="2202"/>
      <c r="K154" s="1386"/>
      <c r="L154" s="1386"/>
      <c r="M154" s="1397"/>
    </row>
    <row r="155" spans="1:17" ht="30" customHeight="1" x14ac:dyDescent="0.2">
      <c r="A155" s="2034"/>
      <c r="B155" s="2033"/>
      <c r="C155" s="2158"/>
      <c r="D155" s="1383"/>
      <c r="E155" s="1396"/>
      <c r="F155" s="1383"/>
      <c r="G155" s="2279" t="s">
        <v>3462</v>
      </c>
      <c r="H155" s="2280"/>
      <c r="I155" s="2280"/>
      <c r="J155" s="2281"/>
      <c r="K155" s="1386"/>
      <c r="L155" s="1386"/>
      <c r="M155" s="1397"/>
    </row>
    <row r="156" spans="1:17" ht="30" customHeight="1" x14ac:dyDescent="0.2">
      <c r="A156" s="2034"/>
      <c r="B156" s="2033"/>
      <c r="C156" s="2158"/>
      <c r="D156" s="1472">
        <v>93000000</v>
      </c>
      <c r="E156" s="1504">
        <v>7.0000000000000007E-2</v>
      </c>
      <c r="F156" s="1491">
        <v>6500000</v>
      </c>
      <c r="G156" s="2289" t="s">
        <v>3463</v>
      </c>
      <c r="H156" s="2290"/>
      <c r="I156" s="2290"/>
      <c r="J156" s="2291"/>
      <c r="K156" s="1477"/>
      <c r="L156" s="1477"/>
      <c r="M156" s="1501"/>
    </row>
    <row r="157" spans="1:17" ht="30" customHeight="1" x14ac:dyDescent="0.2">
      <c r="A157" s="2032"/>
      <c r="B157" s="2030"/>
      <c r="C157" s="2150"/>
      <c r="D157" s="1472">
        <v>450000000</v>
      </c>
      <c r="E157" s="1504">
        <v>0.05</v>
      </c>
      <c r="F157" s="1478">
        <f>D157*E157</f>
        <v>22500000</v>
      </c>
      <c r="G157" s="2292"/>
      <c r="H157" s="2293"/>
      <c r="I157" s="2293"/>
      <c r="J157" s="2294"/>
      <c r="K157" s="1477"/>
      <c r="L157" s="1477"/>
      <c r="M157" s="1501"/>
    </row>
    <row r="158" spans="1:17" ht="30" customHeight="1" x14ac:dyDescent="0.2">
      <c r="A158" s="2031">
        <v>90</v>
      </c>
      <c r="B158" s="2029" t="s">
        <v>223</v>
      </c>
      <c r="C158" s="2149" t="s">
        <v>1215</v>
      </c>
      <c r="D158" s="1032">
        <v>130000000</v>
      </c>
      <c r="E158" s="1060">
        <v>7.0000000000000007E-2</v>
      </c>
      <c r="F158" s="1032">
        <f>D158*E158</f>
        <v>9100000</v>
      </c>
      <c r="G158" s="2040">
        <v>14460000</v>
      </c>
      <c r="H158" s="2040" t="s">
        <v>2855</v>
      </c>
      <c r="I158" s="2175" t="s">
        <v>2917</v>
      </c>
      <c r="J158" s="2128" t="s">
        <v>785</v>
      </c>
      <c r="K158" s="2040">
        <f>G158</f>
        <v>14460000</v>
      </c>
      <c r="L158" s="2040">
        <f>(F158+F159)-K158</f>
        <v>0</v>
      </c>
      <c r="M158" s="2101"/>
    </row>
    <row r="159" spans="1:17" ht="30" customHeight="1" x14ac:dyDescent="0.2">
      <c r="A159" s="2032"/>
      <c r="B159" s="2030"/>
      <c r="C159" s="2150"/>
      <c r="D159" s="1032">
        <v>100000000</v>
      </c>
      <c r="E159" s="1060">
        <v>5.3999999999999999E-2</v>
      </c>
      <c r="F159" s="1032">
        <v>5360000</v>
      </c>
      <c r="G159" s="2042"/>
      <c r="H159" s="2042"/>
      <c r="I159" s="2176"/>
      <c r="J159" s="2129"/>
      <c r="K159" s="2042"/>
      <c r="L159" s="2042"/>
      <c r="M159" s="2102"/>
    </row>
    <row r="160" spans="1:17" ht="30" customHeight="1" x14ac:dyDescent="0.2">
      <c r="A160" s="1065">
        <v>91</v>
      </c>
      <c r="B160" s="1064" t="s">
        <v>224</v>
      </c>
      <c r="C160" s="1046"/>
      <c r="D160" s="1032">
        <v>50000000</v>
      </c>
      <c r="E160" s="1060">
        <v>0.05</v>
      </c>
      <c r="F160" s="1032">
        <f t="shared" si="9"/>
        <v>2500000</v>
      </c>
      <c r="G160" s="1032">
        <v>2500000</v>
      </c>
      <c r="H160" s="1032" t="s">
        <v>2341</v>
      </c>
      <c r="I160" s="1048" t="s">
        <v>2763</v>
      </c>
      <c r="J160" s="21" t="s">
        <v>1668</v>
      </c>
      <c r="K160" s="1032">
        <f>G160</f>
        <v>2500000</v>
      </c>
      <c r="L160" s="1032">
        <f t="shared" si="11"/>
        <v>0</v>
      </c>
      <c r="M160" s="1064"/>
    </row>
    <row r="161" spans="1:13" ht="30" customHeight="1" x14ac:dyDescent="0.2">
      <c r="A161" s="2031">
        <v>92</v>
      </c>
      <c r="B161" s="2267" t="s">
        <v>770</v>
      </c>
      <c r="C161" s="1059" t="s">
        <v>916</v>
      </c>
      <c r="D161" s="1047">
        <v>450000000</v>
      </c>
      <c r="E161" s="1060">
        <v>5.5E-2</v>
      </c>
      <c r="F161" s="1047">
        <v>24400000</v>
      </c>
      <c r="G161" s="1047">
        <v>24150000</v>
      </c>
      <c r="H161" s="1047" t="s">
        <v>2847</v>
      </c>
      <c r="I161" s="423" t="s">
        <v>2858</v>
      </c>
      <c r="J161" s="1063" t="s">
        <v>826</v>
      </c>
      <c r="K161" s="2040">
        <f>G161+G162</f>
        <v>24400000</v>
      </c>
      <c r="L161" s="2040">
        <f t="shared" si="11"/>
        <v>0</v>
      </c>
      <c r="M161" s="1066" t="s">
        <v>2152</v>
      </c>
    </row>
    <row r="162" spans="1:13" ht="30" customHeight="1" x14ac:dyDescent="0.2">
      <c r="A162" s="2034"/>
      <c r="B162" s="2267"/>
      <c r="C162" s="1340"/>
      <c r="D162" s="1324"/>
      <c r="E162" s="1327"/>
      <c r="F162" s="1324"/>
      <c r="G162" s="1324">
        <v>250000</v>
      </c>
      <c r="H162" s="2040" t="s">
        <v>3041</v>
      </c>
      <c r="I162" s="2159">
        <v>37557</v>
      </c>
      <c r="J162" s="2128" t="s">
        <v>3153</v>
      </c>
      <c r="K162" s="2042"/>
      <c r="L162" s="2042"/>
      <c r="M162" s="1338"/>
    </row>
    <row r="163" spans="1:13" ht="30" customHeight="1" x14ac:dyDescent="0.2">
      <c r="A163" s="2032"/>
      <c r="B163" s="2267"/>
      <c r="C163" s="1059" t="s">
        <v>1342</v>
      </c>
      <c r="D163" s="1032">
        <v>273000000</v>
      </c>
      <c r="E163" s="1029">
        <f>F163/D163</f>
        <v>5.4615384615384614E-2</v>
      </c>
      <c r="F163" s="1032">
        <v>14910000</v>
      </c>
      <c r="G163" s="1032">
        <f>14910000</f>
        <v>14910000</v>
      </c>
      <c r="H163" s="2042"/>
      <c r="I163" s="2160"/>
      <c r="J163" s="2129"/>
      <c r="K163" s="1032">
        <f>G163</f>
        <v>14910000</v>
      </c>
      <c r="L163" s="1032">
        <f>F163-K163</f>
        <v>0</v>
      </c>
      <c r="M163" s="1067"/>
    </row>
    <row r="164" spans="1:13" ht="30" customHeight="1" x14ac:dyDescent="0.2">
      <c r="A164" s="2031">
        <v>93</v>
      </c>
      <c r="B164" s="2029" t="s">
        <v>225</v>
      </c>
      <c r="C164" s="2149"/>
      <c r="D164" s="1032">
        <v>300000000</v>
      </c>
      <c r="E164" s="1029">
        <v>5.5E-2</v>
      </c>
      <c r="F164" s="1032">
        <f t="shared" si="9"/>
        <v>16500000</v>
      </c>
      <c r="G164" s="1032">
        <v>16500000</v>
      </c>
      <c r="H164" s="2040" t="s">
        <v>2695</v>
      </c>
      <c r="I164" s="2159" t="s">
        <v>2823</v>
      </c>
      <c r="J164" s="2128" t="s">
        <v>2824</v>
      </c>
      <c r="K164" s="1184">
        <f>G164</f>
        <v>16500000</v>
      </c>
      <c r="L164" s="1032">
        <f t="shared" si="11"/>
        <v>0</v>
      </c>
      <c r="M164" s="2101"/>
    </row>
    <row r="165" spans="1:13" ht="30" customHeight="1" x14ac:dyDescent="0.2">
      <c r="A165" s="2034"/>
      <c r="B165" s="2033"/>
      <c r="C165" s="2158"/>
      <c r="D165" s="2097" t="s">
        <v>2826</v>
      </c>
      <c r="E165" s="2195"/>
      <c r="F165" s="2098"/>
      <c r="G165" s="1183">
        <v>75000000</v>
      </c>
      <c r="H165" s="2042"/>
      <c r="I165" s="2160"/>
      <c r="J165" s="2129"/>
      <c r="K165" s="2157">
        <f>G165+G166</f>
        <v>150000000</v>
      </c>
      <c r="L165" s="2040"/>
      <c r="M165" s="2222"/>
    </row>
    <row r="166" spans="1:13" ht="30" customHeight="1" x14ac:dyDescent="0.2">
      <c r="A166" s="2034"/>
      <c r="B166" s="2033"/>
      <c r="C166" s="2158"/>
      <c r="D166" s="2099"/>
      <c r="E166" s="2196"/>
      <c r="F166" s="2100"/>
      <c r="G166" s="1183">
        <v>75000000</v>
      </c>
      <c r="H166" s="1183" t="s">
        <v>2650</v>
      </c>
      <c r="I166" s="1185" t="s">
        <v>2825</v>
      </c>
      <c r="J166" s="24" t="s">
        <v>2824</v>
      </c>
      <c r="K166" s="2157"/>
      <c r="L166" s="2042"/>
      <c r="M166" s="2222"/>
    </row>
    <row r="167" spans="1:13" ht="30" customHeight="1" x14ac:dyDescent="0.2">
      <c r="A167" s="2032"/>
      <c r="B167" s="2030"/>
      <c r="C167" s="2150"/>
      <c r="D167" s="1184">
        <v>150000000</v>
      </c>
      <c r="E167" s="1184"/>
      <c r="F167" s="1184"/>
      <c r="G167" s="1183"/>
      <c r="H167" s="2200" t="s">
        <v>2827</v>
      </c>
      <c r="I167" s="2201"/>
      <c r="J167" s="2201"/>
      <c r="K167" s="2202"/>
      <c r="L167" s="1183"/>
      <c r="M167" s="2102"/>
    </row>
    <row r="168" spans="1:13" ht="30" customHeight="1" x14ac:dyDescent="0.2">
      <c r="A168" s="1065">
        <v>94</v>
      </c>
      <c r="B168" s="1064" t="s">
        <v>1182</v>
      </c>
      <c r="C168" s="1046"/>
      <c r="D168" s="1032">
        <v>25000000</v>
      </c>
      <c r="E168" s="1060">
        <v>0.04</v>
      </c>
      <c r="F168" s="1032">
        <f>D168*E168</f>
        <v>1000000</v>
      </c>
      <c r="G168" s="1032">
        <v>1000000</v>
      </c>
      <c r="H168" s="1032" t="s">
        <v>2831</v>
      </c>
      <c r="I168" s="1048" t="s">
        <v>2902</v>
      </c>
      <c r="J168" s="24" t="s">
        <v>2903</v>
      </c>
      <c r="K168" s="1032">
        <f>G168</f>
        <v>1000000</v>
      </c>
      <c r="L168" s="1032">
        <f>F168-K168</f>
        <v>0</v>
      </c>
      <c r="M168" s="1064" t="s">
        <v>1514</v>
      </c>
    </row>
    <row r="169" spans="1:13" ht="30" customHeight="1" x14ac:dyDescent="0.2">
      <c r="A169" s="1065">
        <v>95</v>
      </c>
      <c r="B169" s="1064" t="s">
        <v>226</v>
      </c>
      <c r="C169" s="1046"/>
      <c r="D169" s="1032">
        <v>350000000</v>
      </c>
      <c r="E169" s="1060">
        <v>0.05</v>
      </c>
      <c r="F169" s="1032">
        <f t="shared" si="9"/>
        <v>17500000</v>
      </c>
      <c r="G169" s="1032">
        <v>17500000</v>
      </c>
      <c r="H169" s="1032" t="s">
        <v>2341</v>
      </c>
      <c r="I169" s="1048" t="s">
        <v>2767</v>
      </c>
      <c r="J169" s="24" t="s">
        <v>1678</v>
      </c>
      <c r="K169" s="1032">
        <f>G169</f>
        <v>17500000</v>
      </c>
      <c r="L169" s="1032">
        <f t="shared" si="11"/>
        <v>0</v>
      </c>
      <c r="M169" s="1064" t="s">
        <v>1676</v>
      </c>
    </row>
    <row r="170" spans="1:13" ht="30" customHeight="1" x14ac:dyDescent="0.2">
      <c r="A170" s="1065">
        <v>96</v>
      </c>
      <c r="B170" s="1064" t="s">
        <v>227</v>
      </c>
      <c r="C170" s="1046"/>
      <c r="D170" s="1032">
        <v>70000000</v>
      </c>
      <c r="E170" s="1060">
        <v>0.05</v>
      </c>
      <c r="F170" s="1032">
        <f t="shared" si="9"/>
        <v>3500000</v>
      </c>
      <c r="G170" s="1032">
        <v>3500000</v>
      </c>
      <c r="H170" s="1032" t="s">
        <v>2341</v>
      </c>
      <c r="I170" s="1048" t="s">
        <v>2762</v>
      </c>
      <c r="J170" s="1047" t="s">
        <v>1512</v>
      </c>
      <c r="K170" s="1032">
        <f>F170</f>
        <v>3500000</v>
      </c>
      <c r="L170" s="1032">
        <f t="shared" si="11"/>
        <v>0</v>
      </c>
      <c r="M170" s="1064"/>
    </row>
    <row r="171" spans="1:13" ht="30" customHeight="1" x14ac:dyDescent="0.2">
      <c r="A171" s="1065">
        <v>97</v>
      </c>
      <c r="B171" s="1064" t="s">
        <v>228</v>
      </c>
      <c r="C171" s="1046"/>
      <c r="D171" s="1032">
        <v>100000000</v>
      </c>
      <c r="E171" s="1060">
        <v>0.04</v>
      </c>
      <c r="F171" s="1032">
        <f t="shared" si="9"/>
        <v>4000000</v>
      </c>
      <c r="G171" s="1032"/>
      <c r="H171" s="1032"/>
      <c r="I171" s="1048"/>
      <c r="J171" s="24"/>
      <c r="K171" s="1032"/>
      <c r="L171" s="1032">
        <f t="shared" si="11"/>
        <v>4000000</v>
      </c>
      <c r="M171" s="1064"/>
    </row>
    <row r="172" spans="1:13" ht="30" customHeight="1" x14ac:dyDescent="0.2">
      <c r="A172" s="1065">
        <v>98</v>
      </c>
      <c r="B172" s="1064" t="s">
        <v>229</v>
      </c>
      <c r="C172" s="1046"/>
      <c r="D172" s="1032">
        <v>20000000</v>
      </c>
      <c r="E172" s="1060">
        <v>0.05</v>
      </c>
      <c r="F172" s="1032">
        <f t="shared" si="9"/>
        <v>1000000</v>
      </c>
      <c r="G172" s="1032">
        <v>1000000</v>
      </c>
      <c r="H172" s="1032" t="s">
        <v>3148</v>
      </c>
      <c r="I172" s="1048" t="s">
        <v>3196</v>
      </c>
      <c r="J172" s="1047" t="s">
        <v>812</v>
      </c>
      <c r="K172" s="1032">
        <f>G172</f>
        <v>1000000</v>
      </c>
      <c r="L172" s="1032">
        <f t="shared" si="11"/>
        <v>0</v>
      </c>
      <c r="M172" s="1064"/>
    </row>
    <row r="173" spans="1:13" ht="30" customHeight="1" x14ac:dyDescent="0.2">
      <c r="A173" s="1065">
        <v>99</v>
      </c>
      <c r="B173" s="1064" t="s">
        <v>230</v>
      </c>
      <c r="C173" s="1046" t="s">
        <v>1352</v>
      </c>
      <c r="D173" s="1032">
        <v>100000000</v>
      </c>
      <c r="E173" s="1060">
        <v>0.04</v>
      </c>
      <c r="F173" s="1032">
        <f t="shared" si="9"/>
        <v>4000000</v>
      </c>
      <c r="G173" s="1032">
        <v>4000000</v>
      </c>
      <c r="H173" s="1099" t="s">
        <v>2695</v>
      </c>
      <c r="I173" s="1048" t="s">
        <v>2703</v>
      </c>
      <c r="J173" s="88" t="s">
        <v>2704</v>
      </c>
      <c r="K173" s="1032">
        <f>G173</f>
        <v>4000000</v>
      </c>
      <c r="L173" s="1032">
        <f t="shared" si="11"/>
        <v>0</v>
      </c>
      <c r="M173" s="1064"/>
    </row>
    <row r="174" spans="1:13" ht="30" customHeight="1" x14ac:dyDescent="0.2">
      <c r="A174" s="1065">
        <v>100</v>
      </c>
      <c r="B174" s="1064" t="s">
        <v>231</v>
      </c>
      <c r="C174" s="1046" t="s">
        <v>401</v>
      </c>
      <c r="D174" s="1263">
        <v>101000000</v>
      </c>
      <c r="E174" s="1272">
        <v>5.0999999999999997E-2</v>
      </c>
      <c r="F174" s="1263">
        <v>5100000</v>
      </c>
      <c r="G174" s="1263">
        <v>5100000</v>
      </c>
      <c r="H174" s="1263" t="s">
        <v>2040</v>
      </c>
      <c r="I174" s="1269" t="s">
        <v>3001</v>
      </c>
      <c r="J174" s="24" t="s">
        <v>3002</v>
      </c>
      <c r="K174" s="1263">
        <f>G174</f>
        <v>5100000</v>
      </c>
      <c r="L174" s="1263">
        <f t="shared" si="11"/>
        <v>0</v>
      </c>
      <c r="M174" s="1064"/>
    </row>
    <row r="175" spans="1:13" ht="30" customHeight="1" x14ac:dyDescent="0.2">
      <c r="A175" s="2268">
        <v>101</v>
      </c>
      <c r="B175" s="2296" t="s">
        <v>180</v>
      </c>
      <c r="C175" s="2266" t="s">
        <v>1110</v>
      </c>
      <c r="D175" s="2157">
        <v>80000000</v>
      </c>
      <c r="E175" s="2262">
        <v>0.06</v>
      </c>
      <c r="F175" s="2040">
        <f t="shared" si="9"/>
        <v>4800000</v>
      </c>
      <c r="G175" s="1032">
        <v>4000000</v>
      </c>
      <c r="H175" s="1032" t="s">
        <v>2847</v>
      </c>
      <c r="I175" s="1048" t="s">
        <v>2864</v>
      </c>
      <c r="J175" s="1047" t="s">
        <v>2865</v>
      </c>
      <c r="K175" s="2040">
        <f>G175+G176</f>
        <v>4800000</v>
      </c>
      <c r="L175" s="2040">
        <f t="shared" si="11"/>
        <v>0</v>
      </c>
      <c r="M175" s="2212" t="s">
        <v>1815</v>
      </c>
    </row>
    <row r="176" spans="1:13" ht="30" customHeight="1" x14ac:dyDescent="0.2">
      <c r="A176" s="2268"/>
      <c r="B176" s="2296"/>
      <c r="C176" s="2266"/>
      <c r="D176" s="2157"/>
      <c r="E176" s="2262"/>
      <c r="F176" s="2042"/>
      <c r="G176" s="1218">
        <v>800000</v>
      </c>
      <c r="H176" s="1218" t="s">
        <v>2855</v>
      </c>
      <c r="I176" s="1228" t="s">
        <v>2916</v>
      </c>
      <c r="J176" s="1227" t="s">
        <v>816</v>
      </c>
      <c r="K176" s="2042"/>
      <c r="L176" s="2042"/>
      <c r="M176" s="2213"/>
    </row>
    <row r="177" spans="1:13" ht="30" customHeight="1" x14ac:dyDescent="0.2">
      <c r="A177" s="2268"/>
      <c r="B177" s="2296"/>
      <c r="C177" s="2266"/>
      <c r="D177" s="1454">
        <v>13000000</v>
      </c>
      <c r="E177" s="1370">
        <v>0.05</v>
      </c>
      <c r="F177" s="1467">
        <f>D177*E177</f>
        <v>650000</v>
      </c>
      <c r="G177" s="1471"/>
      <c r="H177" s="2200" t="s">
        <v>3447</v>
      </c>
      <c r="I177" s="2201"/>
      <c r="J177" s="2201"/>
      <c r="K177" s="2202"/>
      <c r="L177" s="1465"/>
      <c r="M177" s="1469"/>
    </row>
    <row r="178" spans="1:13" ht="30" customHeight="1" x14ac:dyDescent="0.2">
      <c r="A178" s="2268"/>
      <c r="B178" s="2296"/>
      <c r="C178" s="2266"/>
      <c r="D178" s="1454">
        <v>80000000</v>
      </c>
      <c r="E178" s="1370">
        <v>0.06</v>
      </c>
      <c r="F178" s="1467">
        <f>D178*E178</f>
        <v>4800000</v>
      </c>
      <c r="G178" s="1465"/>
      <c r="H178" s="2200" t="s">
        <v>3490</v>
      </c>
      <c r="I178" s="2201"/>
      <c r="J178" s="2201"/>
      <c r="K178" s="2202"/>
      <c r="L178" s="1465"/>
      <c r="M178" s="1469"/>
    </row>
    <row r="179" spans="1:13" ht="30" customHeight="1" x14ac:dyDescent="0.2">
      <c r="A179" s="2268"/>
      <c r="B179" s="2296"/>
      <c r="C179" s="2266"/>
      <c r="D179" s="1454"/>
      <c r="E179" s="1370"/>
      <c r="F179" s="1496"/>
      <c r="G179" s="1478">
        <v>5235000</v>
      </c>
      <c r="H179" s="1478">
        <v>5235000</v>
      </c>
      <c r="I179" s="1493" t="s">
        <v>3449</v>
      </c>
      <c r="J179" s="1491" t="s">
        <v>3491</v>
      </c>
      <c r="K179" s="1488">
        <f>G179</f>
        <v>5235000</v>
      </c>
      <c r="L179" s="1478"/>
      <c r="M179" s="1503" t="s">
        <v>3492</v>
      </c>
    </row>
    <row r="180" spans="1:13" ht="30" customHeight="1" x14ac:dyDescent="0.2">
      <c r="A180" s="1245"/>
      <c r="B180" s="1466" t="s">
        <v>2967</v>
      </c>
      <c r="C180" s="1498" t="s">
        <v>916</v>
      </c>
      <c r="D180" s="1484">
        <v>200000000</v>
      </c>
      <c r="E180" s="1485">
        <v>0.06</v>
      </c>
      <c r="F180" s="1484">
        <f t="shared" si="9"/>
        <v>12000000</v>
      </c>
      <c r="G180" s="1484"/>
      <c r="H180" s="1484"/>
      <c r="I180" s="845"/>
      <c r="J180" s="1486"/>
      <c r="K180" s="1484"/>
      <c r="L180" s="1484"/>
      <c r="M180" s="126"/>
    </row>
    <row r="181" spans="1:13" ht="30" customHeight="1" x14ac:dyDescent="0.2">
      <c r="A181" s="2031">
        <v>102</v>
      </c>
      <c r="B181" s="2029" t="s">
        <v>232</v>
      </c>
      <c r="C181" s="2149"/>
      <c r="D181" s="2040">
        <v>30000000</v>
      </c>
      <c r="E181" s="2037">
        <v>0.05</v>
      </c>
      <c r="F181" s="2040">
        <f t="shared" si="9"/>
        <v>1500000</v>
      </c>
      <c r="G181" s="1032">
        <v>1500000</v>
      </c>
      <c r="H181" s="1032" t="s">
        <v>3442</v>
      </c>
      <c r="I181" s="1048" t="s">
        <v>3443</v>
      </c>
      <c r="J181" s="30" t="s">
        <v>488</v>
      </c>
      <c r="K181" s="1032">
        <f>G181</f>
        <v>1500000</v>
      </c>
      <c r="L181" s="1032">
        <f>F181-K181</f>
        <v>0</v>
      </c>
      <c r="M181" s="2212" t="s">
        <v>3451</v>
      </c>
    </row>
    <row r="182" spans="1:13" ht="30" customHeight="1" x14ac:dyDescent="0.2">
      <c r="A182" s="2034"/>
      <c r="B182" s="2033"/>
      <c r="C182" s="2158"/>
      <c r="D182" s="2042"/>
      <c r="E182" s="2039"/>
      <c r="F182" s="2042"/>
      <c r="G182" s="1491">
        <v>30000000</v>
      </c>
      <c r="H182" s="1491" t="s">
        <v>3449</v>
      </c>
      <c r="I182" s="1508" t="s">
        <v>3450</v>
      </c>
      <c r="J182" s="30" t="s">
        <v>1093</v>
      </c>
      <c r="K182" s="1491">
        <f>G182</f>
        <v>30000000</v>
      </c>
      <c r="L182" s="1478"/>
      <c r="M182" s="2253"/>
    </row>
    <row r="183" spans="1:13" ht="30" customHeight="1" x14ac:dyDescent="0.2">
      <c r="A183" s="2032"/>
      <c r="B183" s="2030"/>
      <c r="C183" s="2150"/>
      <c r="D183" s="1032">
        <v>30000000</v>
      </c>
      <c r="E183" s="1060">
        <v>4.4999999999999998E-2</v>
      </c>
      <c r="F183" s="1032">
        <f t="shared" si="9"/>
        <v>1350000</v>
      </c>
      <c r="G183" s="1947" t="s">
        <v>3448</v>
      </c>
      <c r="H183" s="1948"/>
      <c r="I183" s="1948"/>
      <c r="J183" s="1948"/>
      <c r="K183" s="1949"/>
      <c r="L183" s="1478"/>
      <c r="M183" s="2213"/>
    </row>
    <row r="184" spans="1:13" ht="30" customHeight="1" x14ac:dyDescent="0.2">
      <c r="A184" s="2031">
        <v>103</v>
      </c>
      <c r="B184" s="2029" t="s">
        <v>233</v>
      </c>
      <c r="C184" s="2149" t="s">
        <v>1215</v>
      </c>
      <c r="D184" s="1032">
        <v>17000000</v>
      </c>
      <c r="E184" s="1060">
        <v>5.5E-2</v>
      </c>
      <c r="F184" s="1032">
        <v>950000</v>
      </c>
      <c r="G184" s="1032">
        <v>950000</v>
      </c>
      <c r="H184" s="1032" t="s">
        <v>2341</v>
      </c>
      <c r="I184" s="1048" t="s">
        <v>2755</v>
      </c>
      <c r="J184" s="21" t="s">
        <v>1647</v>
      </c>
      <c r="K184" s="1032">
        <f>G184</f>
        <v>950000</v>
      </c>
      <c r="L184" s="1032">
        <f t="shared" si="11"/>
        <v>0</v>
      </c>
      <c r="M184" s="1064"/>
    </row>
    <row r="185" spans="1:13" ht="30" customHeight="1" x14ac:dyDescent="0.2">
      <c r="A185" s="2032"/>
      <c r="B185" s="2030"/>
      <c r="C185" s="2150"/>
      <c r="D185" s="1145">
        <v>37000000</v>
      </c>
      <c r="E185" s="1146">
        <v>5.5E-2</v>
      </c>
      <c r="F185" s="1145">
        <f>D185*E185</f>
        <v>2035000</v>
      </c>
      <c r="G185" s="2192" t="s">
        <v>2770</v>
      </c>
      <c r="H185" s="2193"/>
      <c r="I185" s="2193"/>
      <c r="J185" s="2193"/>
      <c r="K185" s="2194"/>
      <c r="L185" s="1145"/>
      <c r="M185" s="1147" t="s">
        <v>3212</v>
      </c>
    </row>
    <row r="186" spans="1:13" ht="30" customHeight="1" x14ac:dyDescent="0.2">
      <c r="A186" s="1065">
        <v>104</v>
      </c>
      <c r="B186" s="1064" t="s">
        <v>234</v>
      </c>
      <c r="C186" s="1046" t="s">
        <v>1215</v>
      </c>
      <c r="D186" s="1032">
        <v>20000000</v>
      </c>
      <c r="E186" s="1060">
        <v>0.05</v>
      </c>
      <c r="F186" s="1032">
        <f t="shared" si="9"/>
        <v>1000000</v>
      </c>
      <c r="G186" s="1032">
        <v>1000000</v>
      </c>
      <c r="H186" s="1032" t="s">
        <v>2855</v>
      </c>
      <c r="I186" s="1048" t="s">
        <v>2932</v>
      </c>
      <c r="J186" s="24" t="s">
        <v>1641</v>
      </c>
      <c r="K186" s="1032">
        <f>G186</f>
        <v>1000000</v>
      </c>
      <c r="L186" s="1032">
        <f t="shared" si="11"/>
        <v>0</v>
      </c>
      <c r="M186" s="1064"/>
    </row>
    <row r="187" spans="1:13" ht="30" customHeight="1" x14ac:dyDescent="0.2">
      <c r="A187" s="1065">
        <v>105</v>
      </c>
      <c r="B187" s="1064" t="s">
        <v>235</v>
      </c>
      <c r="C187" s="1046"/>
      <c r="D187" s="1038"/>
      <c r="E187" s="44"/>
      <c r="F187" s="1038">
        <f t="shared" ref="F187:F226" si="13">D187*E187</f>
        <v>0</v>
      </c>
      <c r="G187" s="1032">
        <v>1900000</v>
      </c>
      <c r="H187" s="1032" t="s">
        <v>2719</v>
      </c>
      <c r="I187" s="1048" t="s">
        <v>2750</v>
      </c>
      <c r="J187" s="24" t="s">
        <v>795</v>
      </c>
      <c r="K187" s="1032">
        <f>G187</f>
        <v>1900000</v>
      </c>
      <c r="L187" s="1038">
        <f t="shared" si="11"/>
        <v>-1900000</v>
      </c>
      <c r="M187" s="1064"/>
    </row>
    <row r="188" spans="1:13" ht="30" customHeight="1" x14ac:dyDescent="0.2">
      <c r="A188" s="1065">
        <v>106</v>
      </c>
      <c r="B188" s="1064" t="s">
        <v>236</v>
      </c>
      <c r="C188" s="1046"/>
      <c r="D188" s="1032">
        <v>100000000</v>
      </c>
      <c r="E188" s="1060">
        <v>0.04</v>
      </c>
      <c r="F188" s="1032">
        <f t="shared" si="13"/>
        <v>4000000</v>
      </c>
      <c r="G188" s="1032">
        <v>4000000</v>
      </c>
      <c r="H188" s="1032" t="s">
        <v>2776</v>
      </c>
      <c r="I188" s="1048" t="s">
        <v>2780</v>
      </c>
      <c r="J188" s="1047" t="s">
        <v>797</v>
      </c>
      <c r="K188" s="1032">
        <f>F188</f>
        <v>4000000</v>
      </c>
      <c r="L188" s="1032">
        <f t="shared" ref="L188:L226" si="14">F188-K188</f>
        <v>0</v>
      </c>
      <c r="M188" s="1064"/>
    </row>
    <row r="189" spans="1:13" ht="30" customHeight="1" x14ac:dyDescent="0.2">
      <c r="A189" s="1065">
        <v>107</v>
      </c>
      <c r="B189" s="1064" t="s">
        <v>237</v>
      </c>
      <c r="C189" s="1046"/>
      <c r="D189" s="1032">
        <v>65000000</v>
      </c>
      <c r="E189" s="1060">
        <v>3.4000000000000002E-2</v>
      </c>
      <c r="F189" s="1032">
        <v>2200000</v>
      </c>
      <c r="G189" s="1032">
        <v>2200000</v>
      </c>
      <c r="H189" s="1032" t="s">
        <v>2341</v>
      </c>
      <c r="I189" s="1048" t="s">
        <v>2774</v>
      </c>
      <c r="J189" s="1047" t="s">
        <v>1787</v>
      </c>
      <c r="K189" s="1032">
        <f t="shared" ref="K189:K197" si="15">G189</f>
        <v>2200000</v>
      </c>
      <c r="L189" s="1032">
        <f t="shared" si="14"/>
        <v>0</v>
      </c>
      <c r="M189" s="1064"/>
    </row>
    <row r="190" spans="1:13" ht="30" customHeight="1" x14ac:dyDescent="0.2">
      <c r="A190" s="2031">
        <v>108</v>
      </c>
      <c r="B190" s="2029" t="s">
        <v>238</v>
      </c>
      <c r="C190" s="2149"/>
      <c r="D190" s="1225"/>
      <c r="E190" s="44"/>
      <c r="F190" s="1225">
        <f t="shared" si="13"/>
        <v>0</v>
      </c>
      <c r="G190" s="1032">
        <v>20000000</v>
      </c>
      <c r="H190" s="1032" t="s">
        <v>2341</v>
      </c>
      <c r="I190" s="1048" t="s">
        <v>2771</v>
      </c>
      <c r="J190" s="24" t="s">
        <v>1767</v>
      </c>
      <c r="K190" s="2157">
        <f>G190+G191+G192</f>
        <v>61800000</v>
      </c>
      <c r="L190" s="2080">
        <f t="shared" si="14"/>
        <v>-61800000</v>
      </c>
      <c r="M190" s="2366" t="s">
        <v>2209</v>
      </c>
    </row>
    <row r="191" spans="1:13" ht="30" customHeight="1" x14ac:dyDescent="0.2">
      <c r="A191" s="2034"/>
      <c r="B191" s="2033"/>
      <c r="C191" s="2158"/>
      <c r="D191" s="1225"/>
      <c r="E191" s="44"/>
      <c r="F191" s="1225"/>
      <c r="G191" s="1156">
        <v>30000000</v>
      </c>
      <c r="H191" s="1156" t="s">
        <v>2798</v>
      </c>
      <c r="I191" s="1163" t="s">
        <v>2799</v>
      </c>
      <c r="J191" s="24" t="s">
        <v>799</v>
      </c>
      <c r="K191" s="2157"/>
      <c r="L191" s="2126"/>
      <c r="M191" s="2367"/>
    </row>
    <row r="192" spans="1:13" ht="30" customHeight="1" x14ac:dyDescent="0.2">
      <c r="A192" s="2034"/>
      <c r="B192" s="2033"/>
      <c r="C192" s="2158"/>
      <c r="D192" s="1222"/>
      <c r="E192" s="1223"/>
      <c r="F192" s="1222"/>
      <c r="G192" s="1218">
        <v>11800000</v>
      </c>
      <c r="H192" s="1226" t="s">
        <v>2855</v>
      </c>
      <c r="I192" s="878" t="s">
        <v>2919</v>
      </c>
      <c r="J192" s="591" t="s">
        <v>1767</v>
      </c>
      <c r="K192" s="2157"/>
      <c r="L192" s="2081"/>
      <c r="M192" s="2368"/>
    </row>
    <row r="193" spans="1:13" ht="30" customHeight="1" x14ac:dyDescent="0.2">
      <c r="A193" s="2032"/>
      <c r="B193" s="2030"/>
      <c r="C193" s="2150"/>
      <c r="D193" s="1218">
        <v>35000000</v>
      </c>
      <c r="E193" s="1221"/>
      <c r="F193" s="1218"/>
      <c r="G193" s="1218"/>
      <c r="H193" s="2200" t="s">
        <v>2911</v>
      </c>
      <c r="I193" s="2201"/>
      <c r="J193" s="2201"/>
      <c r="K193" s="2202"/>
      <c r="L193" s="1222"/>
      <c r="M193" s="1241" t="s">
        <v>2912</v>
      </c>
    </row>
    <row r="194" spans="1:13" ht="30" customHeight="1" x14ac:dyDescent="0.2">
      <c r="A194" s="1065">
        <v>109</v>
      </c>
      <c r="B194" s="1064" t="s">
        <v>239</v>
      </c>
      <c r="C194" s="1046"/>
      <c r="D194" s="1032">
        <v>1000000000</v>
      </c>
      <c r="E194" s="1060">
        <v>0.05</v>
      </c>
      <c r="F194" s="1032">
        <f t="shared" si="13"/>
        <v>50000000</v>
      </c>
      <c r="G194" s="1032">
        <v>50000000</v>
      </c>
      <c r="H194" s="1032" t="s">
        <v>2341</v>
      </c>
      <c r="I194" s="1048" t="s">
        <v>2757</v>
      </c>
      <c r="J194" s="24" t="s">
        <v>2758</v>
      </c>
      <c r="K194" s="1032">
        <f t="shared" si="15"/>
        <v>50000000</v>
      </c>
      <c r="L194" s="1032">
        <f t="shared" si="14"/>
        <v>0</v>
      </c>
      <c r="M194" s="1064"/>
    </row>
    <row r="195" spans="1:13" ht="30" customHeight="1" x14ac:dyDescent="0.2">
      <c r="A195" s="1065">
        <v>110</v>
      </c>
      <c r="B195" s="1066" t="s">
        <v>1964</v>
      </c>
      <c r="C195" s="1045" t="s">
        <v>1347</v>
      </c>
      <c r="D195" s="1032">
        <v>14000000</v>
      </c>
      <c r="E195" s="1060">
        <v>4.2999999999999997E-2</v>
      </c>
      <c r="F195" s="1032">
        <v>600000</v>
      </c>
      <c r="G195" s="1032">
        <v>600000</v>
      </c>
      <c r="H195" s="1032" t="s">
        <v>2040</v>
      </c>
      <c r="I195" s="1048" t="s">
        <v>2998</v>
      </c>
      <c r="J195" s="24" t="s">
        <v>1976</v>
      </c>
      <c r="K195" s="1047">
        <f t="shared" si="15"/>
        <v>600000</v>
      </c>
      <c r="L195" s="1047">
        <f>F195-K195</f>
        <v>0</v>
      </c>
      <c r="M195" s="22"/>
    </row>
    <row r="196" spans="1:13" ht="30" customHeight="1" x14ac:dyDescent="0.2">
      <c r="A196" s="1065">
        <v>111</v>
      </c>
      <c r="B196" s="1066" t="s">
        <v>240</v>
      </c>
      <c r="C196" s="1045" t="s">
        <v>1347</v>
      </c>
      <c r="D196" s="1032">
        <v>20000000</v>
      </c>
      <c r="E196" s="1060">
        <v>4.4999999999999998E-2</v>
      </c>
      <c r="F196" s="1032">
        <f>D196*E196</f>
        <v>900000</v>
      </c>
      <c r="G196" s="1032">
        <v>900000</v>
      </c>
      <c r="H196" s="1032" t="s">
        <v>2695</v>
      </c>
      <c r="I196" s="1048" t="s">
        <v>2698</v>
      </c>
      <c r="J196" s="24" t="s">
        <v>563</v>
      </c>
      <c r="K196" s="1047">
        <f t="shared" si="15"/>
        <v>900000</v>
      </c>
      <c r="L196" s="1047">
        <f>F196-K196</f>
        <v>0</v>
      </c>
      <c r="M196" s="22"/>
    </row>
    <row r="197" spans="1:13" ht="30" customHeight="1" x14ac:dyDescent="0.2">
      <c r="A197" s="1065">
        <v>112</v>
      </c>
      <c r="B197" s="1064" t="s">
        <v>241</v>
      </c>
      <c r="C197" s="1059"/>
      <c r="D197" s="1032">
        <v>40000000</v>
      </c>
      <c r="E197" s="1060">
        <v>0.05</v>
      </c>
      <c r="F197" s="1032">
        <f t="shared" si="13"/>
        <v>2000000</v>
      </c>
      <c r="G197" s="1032">
        <v>2000000</v>
      </c>
      <c r="H197" s="1032" t="s">
        <v>2798</v>
      </c>
      <c r="I197" s="1048" t="s">
        <v>2800</v>
      </c>
      <c r="J197" s="88" t="s">
        <v>804</v>
      </c>
      <c r="K197" s="1032">
        <f t="shared" si="15"/>
        <v>2000000</v>
      </c>
      <c r="L197" s="1032">
        <f t="shared" si="14"/>
        <v>0</v>
      </c>
      <c r="M197" s="1064"/>
    </row>
    <row r="198" spans="1:13" ht="30" customHeight="1" x14ac:dyDescent="0.2">
      <c r="A198" s="2031">
        <v>113</v>
      </c>
      <c r="B198" s="2101" t="s">
        <v>242</v>
      </c>
      <c r="C198" s="2149" t="s">
        <v>411</v>
      </c>
      <c r="D198" s="1032">
        <v>252000000</v>
      </c>
      <c r="E198" s="1060">
        <v>4.4999999999999998E-2</v>
      </c>
      <c r="F198" s="1032">
        <f t="shared" si="13"/>
        <v>11340000</v>
      </c>
      <c r="G198" s="1959" t="s">
        <v>2914</v>
      </c>
      <c r="H198" s="2365"/>
      <c r="I198" s="2365"/>
      <c r="J198" s="2365"/>
      <c r="K198" s="1960"/>
      <c r="L198" s="1032">
        <f t="shared" si="14"/>
        <v>11340000</v>
      </c>
      <c r="M198" s="2101"/>
    </row>
    <row r="199" spans="1:13" ht="30" customHeight="1" x14ac:dyDescent="0.2">
      <c r="A199" s="2034"/>
      <c r="B199" s="2222"/>
      <c r="C199" s="2158"/>
      <c r="D199" s="2040"/>
      <c r="E199" s="2037"/>
      <c r="F199" s="2040">
        <v>25840000</v>
      </c>
      <c r="G199" s="1218">
        <v>20000000</v>
      </c>
      <c r="H199" s="1218" t="s">
        <v>2040</v>
      </c>
      <c r="I199" s="1228" t="s">
        <v>2987</v>
      </c>
      <c r="J199" s="24" t="s">
        <v>2988</v>
      </c>
      <c r="K199" s="2040">
        <f>G199+G200</f>
        <v>25840000</v>
      </c>
      <c r="L199" s="2040">
        <f>F199-K199</f>
        <v>0</v>
      </c>
      <c r="M199" s="2222"/>
    </row>
    <row r="200" spans="1:13" ht="30" customHeight="1" x14ac:dyDescent="0.2">
      <c r="A200" s="2034"/>
      <c r="B200" s="2222"/>
      <c r="C200" s="2158"/>
      <c r="D200" s="2042"/>
      <c r="E200" s="2039"/>
      <c r="F200" s="2042"/>
      <c r="G200" s="1218">
        <v>5840000</v>
      </c>
      <c r="H200" s="1218" t="s">
        <v>3288</v>
      </c>
      <c r="I200" s="1228" t="s">
        <v>3324</v>
      </c>
      <c r="J200" s="24" t="s">
        <v>2988</v>
      </c>
      <c r="K200" s="2042"/>
      <c r="L200" s="2042"/>
      <c r="M200" s="2222"/>
    </row>
    <row r="201" spans="1:13" ht="30" customHeight="1" x14ac:dyDescent="0.2">
      <c r="A201" s="2032"/>
      <c r="B201" s="2102"/>
      <c r="C201" s="2150"/>
      <c r="D201" s="1218">
        <v>250000000</v>
      </c>
      <c r="E201" s="1231">
        <v>0.05</v>
      </c>
      <c r="F201" s="1218">
        <f>D201*E201</f>
        <v>12500000</v>
      </c>
      <c r="G201" s="2192" t="s">
        <v>2915</v>
      </c>
      <c r="H201" s="2193"/>
      <c r="I201" s="2193"/>
      <c r="J201" s="2193"/>
      <c r="K201" s="2194"/>
      <c r="L201" s="1218"/>
      <c r="M201" s="2102"/>
    </row>
    <row r="202" spans="1:13" ht="30" customHeight="1" x14ac:dyDescent="0.2">
      <c r="A202" s="1065">
        <v>114</v>
      </c>
      <c r="B202" s="1064" t="s">
        <v>243</v>
      </c>
      <c r="C202" s="1046"/>
      <c r="D202" s="1032">
        <v>100000000</v>
      </c>
      <c r="E202" s="1060">
        <v>4.4999999999999998E-2</v>
      </c>
      <c r="F202" s="1032">
        <f t="shared" si="13"/>
        <v>4500000</v>
      </c>
      <c r="G202" s="1032"/>
      <c r="H202" s="1032"/>
      <c r="I202" s="1048"/>
      <c r="J202" s="89" t="s">
        <v>1722</v>
      </c>
      <c r="K202" s="1032">
        <f>G202</f>
        <v>0</v>
      </c>
      <c r="L202" s="1032">
        <f t="shared" si="14"/>
        <v>4500000</v>
      </c>
      <c r="M202" s="1064"/>
    </row>
    <row r="203" spans="1:13" ht="30" customHeight="1" x14ac:dyDescent="0.2">
      <c r="A203" s="426">
        <v>115</v>
      </c>
      <c r="B203" s="1066" t="s">
        <v>244</v>
      </c>
      <c r="C203" s="421" t="s">
        <v>1175</v>
      </c>
      <c r="D203" s="1047">
        <v>20000000</v>
      </c>
      <c r="E203" s="1060">
        <v>0.05</v>
      </c>
      <c r="F203" s="1047">
        <f t="shared" si="13"/>
        <v>1000000</v>
      </c>
      <c r="G203" s="1032">
        <v>1000000</v>
      </c>
      <c r="H203" s="1032" t="s">
        <v>3430</v>
      </c>
      <c r="I203" s="1048" t="s">
        <v>3431</v>
      </c>
      <c r="J203" s="24" t="s">
        <v>1444</v>
      </c>
      <c r="K203" s="1032">
        <f>G203</f>
        <v>1000000</v>
      </c>
      <c r="L203" s="1032">
        <f t="shared" si="14"/>
        <v>0</v>
      </c>
      <c r="M203" s="1036"/>
    </row>
    <row r="204" spans="1:13" ht="30" customHeight="1" x14ac:dyDescent="0.2">
      <c r="A204" s="2031">
        <v>117</v>
      </c>
      <c r="B204" s="2029" t="s">
        <v>246</v>
      </c>
      <c r="C204" s="2149" t="s">
        <v>916</v>
      </c>
      <c r="D204" s="1032">
        <v>300000000</v>
      </c>
      <c r="E204" s="1029">
        <v>4.4999999999999998E-2</v>
      </c>
      <c r="F204" s="1032">
        <f t="shared" si="13"/>
        <v>13500000</v>
      </c>
      <c r="G204" s="1032">
        <v>13500000</v>
      </c>
      <c r="H204" s="2040" t="s">
        <v>2776</v>
      </c>
      <c r="I204" s="2159" t="s">
        <v>2787</v>
      </c>
      <c r="J204" s="2128" t="s">
        <v>2788</v>
      </c>
      <c r="K204" s="2040">
        <f>G204+G205</f>
        <v>20000000</v>
      </c>
      <c r="L204" s="2040">
        <f>(G204+G205)-K204</f>
        <v>0</v>
      </c>
      <c r="M204" s="2051" t="s">
        <v>3135</v>
      </c>
    </row>
    <row r="205" spans="1:13" ht="30" customHeight="1" x14ac:dyDescent="0.2">
      <c r="A205" s="2034"/>
      <c r="B205" s="2033"/>
      <c r="C205" s="2158"/>
      <c r="D205" s="1156">
        <v>145000000</v>
      </c>
      <c r="E205" s="1157">
        <v>4.4999999999999998E-2</v>
      </c>
      <c r="F205" s="1156">
        <v>6500000</v>
      </c>
      <c r="G205" s="1156">
        <v>6500000</v>
      </c>
      <c r="H205" s="2042"/>
      <c r="I205" s="2160"/>
      <c r="J205" s="2129"/>
      <c r="K205" s="2042"/>
      <c r="L205" s="2042"/>
      <c r="M205" s="2052"/>
    </row>
    <row r="206" spans="1:13" ht="30" customHeight="1" x14ac:dyDescent="0.2">
      <c r="A206" s="2032"/>
      <c r="B206" s="2030"/>
      <c r="C206" s="2150"/>
      <c r="D206" s="1156">
        <v>445000000</v>
      </c>
      <c r="E206" s="1157">
        <v>4.4999999999999998E-2</v>
      </c>
      <c r="F206" s="1156">
        <v>20000000</v>
      </c>
      <c r="G206" s="1478">
        <v>20000000</v>
      </c>
      <c r="H206" s="1478" t="s">
        <v>3449</v>
      </c>
      <c r="I206" s="1493" t="s">
        <v>3482</v>
      </c>
      <c r="J206" s="89" t="s">
        <v>2788</v>
      </c>
      <c r="K206" s="1478">
        <f>G206</f>
        <v>20000000</v>
      </c>
      <c r="L206" s="1156">
        <f>F206-K206</f>
        <v>0</v>
      </c>
      <c r="M206" s="103" t="s">
        <v>3483</v>
      </c>
    </row>
    <row r="207" spans="1:13" ht="30" customHeight="1" x14ac:dyDescent="0.2">
      <c r="A207" s="1065">
        <v>118</v>
      </c>
      <c r="B207" s="1064" t="s">
        <v>247</v>
      </c>
      <c r="C207" s="1046"/>
      <c r="D207" s="1032">
        <v>20000000</v>
      </c>
      <c r="E207" s="1060">
        <v>0.05</v>
      </c>
      <c r="F207" s="1032">
        <f t="shared" si="13"/>
        <v>1000000</v>
      </c>
      <c r="G207" s="1032">
        <v>1000000</v>
      </c>
      <c r="H207" s="1032" t="s">
        <v>2341</v>
      </c>
      <c r="I207" s="1048" t="s">
        <v>2760</v>
      </c>
      <c r="J207" s="89" t="s">
        <v>625</v>
      </c>
      <c r="K207" s="1032">
        <f t="shared" ref="K207:K213" si="16">G207</f>
        <v>1000000</v>
      </c>
      <c r="L207" s="1032">
        <f t="shared" si="14"/>
        <v>0</v>
      </c>
      <c r="M207" s="1064"/>
    </row>
    <row r="208" spans="1:13" ht="30" customHeight="1" x14ac:dyDescent="0.2">
      <c r="A208" s="2031">
        <v>119</v>
      </c>
      <c r="B208" s="2029" t="s">
        <v>248</v>
      </c>
      <c r="C208" s="2149"/>
      <c r="D208" s="1032">
        <v>100000000</v>
      </c>
      <c r="E208" s="1060">
        <v>0.04</v>
      </c>
      <c r="F208" s="1032">
        <f t="shared" si="13"/>
        <v>4000000</v>
      </c>
      <c r="G208" s="1032">
        <v>4000000</v>
      </c>
      <c r="H208" s="1032" t="s">
        <v>2847</v>
      </c>
      <c r="I208" s="1048" t="s">
        <v>2859</v>
      </c>
      <c r="J208" s="24" t="s">
        <v>1731</v>
      </c>
      <c r="K208" s="1032">
        <f t="shared" si="16"/>
        <v>4000000</v>
      </c>
      <c r="L208" s="1032">
        <f t="shared" si="14"/>
        <v>0</v>
      </c>
      <c r="M208" s="103" t="s">
        <v>2908</v>
      </c>
    </row>
    <row r="209" spans="1:13" ht="30" customHeight="1" x14ac:dyDescent="0.2">
      <c r="A209" s="2032"/>
      <c r="B209" s="2030"/>
      <c r="C209" s="2150"/>
      <c r="D209" s="1947" t="s">
        <v>1398</v>
      </c>
      <c r="E209" s="1948"/>
      <c r="F209" s="1949"/>
      <c r="G209" s="2154" t="s">
        <v>2965</v>
      </c>
      <c r="H209" s="2155"/>
      <c r="I209" s="2155"/>
      <c r="J209" s="2155"/>
      <c r="K209" s="2156"/>
      <c r="L209" s="1218"/>
      <c r="M209" s="1220"/>
    </row>
    <row r="210" spans="1:13" ht="30" customHeight="1" x14ac:dyDescent="0.2">
      <c r="A210" s="2031">
        <v>120</v>
      </c>
      <c r="B210" s="2029" t="s">
        <v>249</v>
      </c>
      <c r="C210" s="2149" t="s">
        <v>379</v>
      </c>
      <c r="D210" s="2040">
        <v>617000000</v>
      </c>
      <c r="E210" s="2037">
        <v>7.0000000000000007E-2</v>
      </c>
      <c r="F210" s="2040">
        <v>43200000</v>
      </c>
      <c r="G210" s="1047">
        <v>30000000</v>
      </c>
      <c r="H210" s="1047" t="s">
        <v>2040</v>
      </c>
      <c r="I210" s="424" t="s">
        <v>3007</v>
      </c>
      <c r="J210" s="1063" t="s">
        <v>3008</v>
      </c>
      <c r="K210" s="2040">
        <f>G210+G211</f>
        <v>43200000</v>
      </c>
      <c r="L210" s="2040">
        <f>F210-K210</f>
        <v>0</v>
      </c>
      <c r="M210" s="2101"/>
    </row>
    <row r="211" spans="1:13" ht="30" customHeight="1" x14ac:dyDescent="0.2">
      <c r="A211" s="2032"/>
      <c r="B211" s="2030"/>
      <c r="C211" s="2150"/>
      <c r="D211" s="2042"/>
      <c r="E211" s="2039"/>
      <c r="F211" s="2042"/>
      <c r="G211" s="1416">
        <v>13200000</v>
      </c>
      <c r="H211" s="1416" t="s">
        <v>3371</v>
      </c>
      <c r="I211" s="1424" t="s">
        <v>3399</v>
      </c>
      <c r="J211" s="1430" t="s">
        <v>3008</v>
      </c>
      <c r="K211" s="2042"/>
      <c r="L211" s="2042"/>
      <c r="M211" s="2102"/>
    </row>
    <row r="212" spans="1:13" ht="30" customHeight="1" x14ac:dyDescent="0.2">
      <c r="A212" s="1065">
        <v>122</v>
      </c>
      <c r="B212" s="1064" t="s">
        <v>251</v>
      </c>
      <c r="C212" s="1046"/>
      <c r="D212" s="1032">
        <v>50000000</v>
      </c>
      <c r="E212" s="1060">
        <v>4.4999999999999998E-2</v>
      </c>
      <c r="F212" s="1032">
        <f t="shared" si="13"/>
        <v>2250000</v>
      </c>
      <c r="G212" s="1032">
        <v>2250000</v>
      </c>
      <c r="H212" s="1032" t="s">
        <v>2776</v>
      </c>
      <c r="I212" s="1048" t="s">
        <v>2784</v>
      </c>
      <c r="J212" s="21" t="s">
        <v>1664</v>
      </c>
      <c r="K212" s="1032">
        <f t="shared" si="16"/>
        <v>2250000</v>
      </c>
      <c r="L212" s="1032">
        <f t="shared" si="14"/>
        <v>0</v>
      </c>
      <c r="M212" s="1064"/>
    </row>
    <row r="213" spans="1:13" ht="30" customHeight="1" x14ac:dyDescent="0.2">
      <c r="A213" s="2031">
        <v>123</v>
      </c>
      <c r="B213" s="2029" t="s">
        <v>1748</v>
      </c>
      <c r="C213" s="1046" t="s">
        <v>1350</v>
      </c>
      <c r="D213" s="1032">
        <v>60000000</v>
      </c>
      <c r="E213" s="1060">
        <v>0.05</v>
      </c>
      <c r="F213" s="1032">
        <f t="shared" si="13"/>
        <v>3000000</v>
      </c>
      <c r="G213" s="2040">
        <v>4400000</v>
      </c>
      <c r="H213" s="2040" t="s">
        <v>2855</v>
      </c>
      <c r="I213" s="2159" t="s">
        <v>2928</v>
      </c>
      <c r="J213" s="2128" t="s">
        <v>588</v>
      </c>
      <c r="K213" s="2040">
        <f t="shared" si="16"/>
        <v>4400000</v>
      </c>
      <c r="L213" s="2040">
        <f>(F213+F214)-K213</f>
        <v>0</v>
      </c>
      <c r="M213" s="2101"/>
    </row>
    <row r="214" spans="1:13" ht="30" customHeight="1" x14ac:dyDescent="0.2">
      <c r="A214" s="2032"/>
      <c r="B214" s="2030"/>
      <c r="C214" s="1046" t="s">
        <v>1351</v>
      </c>
      <c r="D214" s="1032">
        <v>20000000</v>
      </c>
      <c r="E214" s="1060">
        <v>7.0000000000000007E-2</v>
      </c>
      <c r="F214" s="1032">
        <f t="shared" si="13"/>
        <v>1400000.0000000002</v>
      </c>
      <c r="G214" s="2042"/>
      <c r="H214" s="2042"/>
      <c r="I214" s="2160"/>
      <c r="J214" s="2129"/>
      <c r="K214" s="2042"/>
      <c r="L214" s="2042"/>
      <c r="M214" s="2102"/>
    </row>
    <row r="215" spans="1:13" ht="30" customHeight="1" x14ac:dyDescent="0.2">
      <c r="A215" s="1065">
        <v>124</v>
      </c>
      <c r="B215" s="1064" t="s">
        <v>253</v>
      </c>
      <c r="C215" s="1046" t="s">
        <v>401</v>
      </c>
      <c r="D215" s="1032">
        <v>200000000</v>
      </c>
      <c r="E215" s="1060">
        <v>0.05</v>
      </c>
      <c r="F215" s="1032">
        <f t="shared" si="13"/>
        <v>10000000</v>
      </c>
      <c r="G215" s="1032">
        <v>10000000</v>
      </c>
      <c r="H215" s="1032" t="s">
        <v>2945</v>
      </c>
      <c r="I215" s="1053" t="s">
        <v>2964</v>
      </c>
      <c r="J215" s="21" t="s">
        <v>1473</v>
      </c>
      <c r="K215" s="1032">
        <f>G215</f>
        <v>10000000</v>
      </c>
      <c r="L215" s="1032">
        <f t="shared" si="14"/>
        <v>0</v>
      </c>
      <c r="M215" s="1064"/>
    </row>
    <row r="216" spans="1:13" ht="30" customHeight="1" x14ac:dyDescent="0.2">
      <c r="A216" s="426">
        <v>125</v>
      </c>
      <c r="B216" s="1066" t="s">
        <v>254</v>
      </c>
      <c r="C216" s="1059"/>
      <c r="D216" s="1047">
        <v>160000000</v>
      </c>
      <c r="E216" s="1060">
        <v>7.0000000000000007E-2</v>
      </c>
      <c r="F216" s="1047">
        <v>11000000</v>
      </c>
      <c r="G216" s="1032">
        <v>11000000</v>
      </c>
      <c r="H216" s="1032" t="s">
        <v>2776</v>
      </c>
      <c r="I216" s="1048" t="s">
        <v>2783</v>
      </c>
      <c r="J216" s="24" t="s">
        <v>1704</v>
      </c>
      <c r="K216" s="1032">
        <f>G216</f>
        <v>11000000</v>
      </c>
      <c r="L216" s="1032">
        <f t="shared" si="14"/>
        <v>0</v>
      </c>
      <c r="M216" s="1064"/>
    </row>
    <row r="217" spans="1:13" ht="30" customHeight="1" x14ac:dyDescent="0.2">
      <c r="A217" s="1065">
        <v>126</v>
      </c>
      <c r="B217" s="1064" t="s">
        <v>255</v>
      </c>
      <c r="C217" s="1046" t="s">
        <v>411</v>
      </c>
      <c r="D217" s="1032">
        <v>180000000</v>
      </c>
      <c r="E217" s="1029">
        <v>4.4999999999999998E-2</v>
      </c>
      <c r="F217" s="1032">
        <f t="shared" si="13"/>
        <v>8100000</v>
      </c>
      <c r="G217" s="1032">
        <v>8100000</v>
      </c>
      <c r="H217" s="1032" t="s">
        <v>2040</v>
      </c>
      <c r="I217" s="1048" t="s">
        <v>2983</v>
      </c>
      <c r="J217" s="24" t="s">
        <v>2984</v>
      </c>
      <c r="K217" s="1032">
        <f>G217</f>
        <v>8100000</v>
      </c>
      <c r="L217" s="1246">
        <f t="shared" si="14"/>
        <v>0</v>
      </c>
      <c r="M217" s="1064"/>
    </row>
    <row r="218" spans="1:13" ht="30" customHeight="1" x14ac:dyDescent="0.2">
      <c r="A218" s="2031">
        <v>127</v>
      </c>
      <c r="B218" s="2029" t="s">
        <v>256</v>
      </c>
      <c r="C218" s="2149"/>
      <c r="D218" s="2040">
        <v>800000000</v>
      </c>
      <c r="E218" s="2037">
        <v>0.05</v>
      </c>
      <c r="F218" s="2040">
        <f t="shared" si="13"/>
        <v>40000000</v>
      </c>
      <c r="G218" s="1032">
        <v>20000000</v>
      </c>
      <c r="H218" s="1032" t="s">
        <v>2674</v>
      </c>
      <c r="I218" s="1053" t="s">
        <v>2681</v>
      </c>
      <c r="J218" s="24" t="s">
        <v>2682</v>
      </c>
      <c r="K218" s="2040">
        <f>G218+G219</f>
        <v>40000000</v>
      </c>
      <c r="L218" s="2040">
        <f t="shared" si="14"/>
        <v>0</v>
      </c>
      <c r="M218" s="2101"/>
    </row>
    <row r="219" spans="1:13" ht="30" customHeight="1" x14ac:dyDescent="0.2">
      <c r="A219" s="2032"/>
      <c r="B219" s="2030"/>
      <c r="C219" s="2150"/>
      <c r="D219" s="2042"/>
      <c r="E219" s="2039"/>
      <c r="F219" s="2042"/>
      <c r="G219" s="1032">
        <v>20000000</v>
      </c>
      <c r="H219" s="1032" t="s">
        <v>2695</v>
      </c>
      <c r="I219" s="1053" t="s">
        <v>2696</v>
      </c>
      <c r="J219" s="24" t="s">
        <v>2682</v>
      </c>
      <c r="K219" s="2042"/>
      <c r="L219" s="2042"/>
      <c r="M219" s="2102"/>
    </row>
    <row r="220" spans="1:13" ht="30" customHeight="1" x14ac:dyDescent="0.2">
      <c r="A220" s="1065">
        <v>128</v>
      </c>
      <c r="B220" s="1064" t="s">
        <v>257</v>
      </c>
      <c r="C220" s="1046"/>
      <c r="D220" s="1038"/>
      <c r="E220" s="44"/>
      <c r="F220" s="1038">
        <f t="shared" si="13"/>
        <v>0</v>
      </c>
      <c r="G220" s="1032">
        <v>3000000</v>
      </c>
      <c r="H220" s="1032" t="s">
        <v>3371</v>
      </c>
      <c r="I220" s="1048" t="s">
        <v>3377</v>
      </c>
      <c r="J220" s="24" t="s">
        <v>3378</v>
      </c>
      <c r="K220" s="1032">
        <f>G220</f>
        <v>3000000</v>
      </c>
      <c r="L220" s="1038">
        <f t="shared" si="14"/>
        <v>-3000000</v>
      </c>
      <c r="M220" s="1064"/>
    </row>
    <row r="221" spans="1:13" ht="30" customHeight="1" x14ac:dyDescent="0.2">
      <c r="A221" s="2031">
        <v>129</v>
      </c>
      <c r="B221" s="2029" t="s">
        <v>258</v>
      </c>
      <c r="C221" s="2149" t="s">
        <v>1138</v>
      </c>
      <c r="D221" s="1031"/>
      <c r="E221" s="1028"/>
      <c r="F221" s="1031"/>
      <c r="G221" s="1032">
        <v>9000000</v>
      </c>
      <c r="H221" s="1032" t="s">
        <v>2674</v>
      </c>
      <c r="I221" s="1048" t="s">
        <v>2683</v>
      </c>
      <c r="J221" s="24" t="s">
        <v>604</v>
      </c>
      <c r="K221" s="1032">
        <f>G221</f>
        <v>9000000</v>
      </c>
      <c r="L221" s="1032">
        <f>12000000-3000000-K221</f>
        <v>0</v>
      </c>
      <c r="M221" s="103" t="s">
        <v>2663</v>
      </c>
    </row>
    <row r="222" spans="1:13" ht="30" customHeight="1" x14ac:dyDescent="0.2">
      <c r="A222" s="2034"/>
      <c r="B222" s="2030"/>
      <c r="C222" s="2150"/>
      <c r="D222" s="1030">
        <v>200000000</v>
      </c>
      <c r="E222" s="1028">
        <v>0.06</v>
      </c>
      <c r="F222" s="1030">
        <f>D222*E222</f>
        <v>12000000</v>
      </c>
      <c r="G222" s="1032">
        <v>12000000</v>
      </c>
      <c r="H222" s="1032" t="s">
        <v>3371</v>
      </c>
      <c r="I222" s="1048" t="s">
        <v>3395</v>
      </c>
      <c r="J222" s="24" t="s">
        <v>3396</v>
      </c>
      <c r="K222" s="1030">
        <f>G222</f>
        <v>12000000</v>
      </c>
      <c r="L222" s="1030">
        <f>F222-K222</f>
        <v>0</v>
      </c>
      <c r="M222" s="103" t="s">
        <v>3135</v>
      </c>
    </row>
    <row r="223" spans="1:13" ht="30" customHeight="1" x14ac:dyDescent="0.2">
      <c r="A223" s="2031">
        <v>130</v>
      </c>
      <c r="B223" s="2029" t="s">
        <v>1213</v>
      </c>
      <c r="C223" s="2149" t="s">
        <v>1354</v>
      </c>
      <c r="D223" s="2040">
        <v>200000000</v>
      </c>
      <c r="E223" s="2037">
        <v>0.05</v>
      </c>
      <c r="F223" s="2040">
        <f t="shared" si="13"/>
        <v>10000000</v>
      </c>
      <c r="G223" s="1047">
        <v>50000000</v>
      </c>
      <c r="H223" s="1047" t="s">
        <v>2719</v>
      </c>
      <c r="I223" s="424" t="s">
        <v>2734</v>
      </c>
      <c r="J223" s="1063" t="s">
        <v>2735</v>
      </c>
      <c r="K223" s="1047">
        <f>G223</f>
        <v>50000000</v>
      </c>
      <c r="L223" s="1047"/>
      <c r="M223" s="103" t="s">
        <v>2736</v>
      </c>
    </row>
    <row r="224" spans="1:13" ht="30" customHeight="1" x14ac:dyDescent="0.2">
      <c r="A224" s="2034"/>
      <c r="B224" s="2033"/>
      <c r="C224" s="2158"/>
      <c r="D224" s="2042"/>
      <c r="E224" s="2039"/>
      <c r="F224" s="2042"/>
      <c r="G224" s="1120">
        <v>10000000</v>
      </c>
      <c r="H224" s="1120" t="s">
        <v>3041</v>
      </c>
      <c r="I224" s="1125" t="s">
        <v>3133</v>
      </c>
      <c r="J224" s="1124" t="s">
        <v>3134</v>
      </c>
      <c r="K224" s="1120">
        <f>G224</f>
        <v>10000000</v>
      </c>
      <c r="L224" s="1111">
        <f>F223-K224</f>
        <v>0</v>
      </c>
      <c r="M224" s="103" t="s">
        <v>3135</v>
      </c>
    </row>
    <row r="225" spans="1:13" ht="30" customHeight="1" x14ac:dyDescent="0.2">
      <c r="A225" s="2032"/>
      <c r="B225" s="2030"/>
      <c r="C225" s="2150"/>
      <c r="D225" s="1115">
        <v>150000000</v>
      </c>
      <c r="E225" s="1114">
        <v>0.05</v>
      </c>
      <c r="F225" s="1115">
        <f>D225*E225</f>
        <v>7500000</v>
      </c>
      <c r="G225" s="2154" t="s">
        <v>2733</v>
      </c>
      <c r="H225" s="2155"/>
      <c r="I225" s="2155"/>
      <c r="J225" s="2155"/>
      <c r="K225" s="2155"/>
      <c r="L225" s="2156"/>
      <c r="M225" s="1118"/>
    </row>
    <row r="226" spans="1:13" ht="30" customHeight="1" x14ac:dyDescent="0.2">
      <c r="A226" s="1065">
        <v>131</v>
      </c>
      <c r="B226" s="1025" t="s">
        <v>259</v>
      </c>
      <c r="C226" s="1046"/>
      <c r="D226" s="1032">
        <v>200000000</v>
      </c>
      <c r="E226" s="1029">
        <v>0.05</v>
      </c>
      <c r="F226" s="1032">
        <f t="shared" si="13"/>
        <v>10000000</v>
      </c>
      <c r="G226" s="1032">
        <v>10000000</v>
      </c>
      <c r="H226" s="1032" t="s">
        <v>2776</v>
      </c>
      <c r="I226" s="1048" t="s">
        <v>2791</v>
      </c>
      <c r="J226" s="28" t="s">
        <v>1789</v>
      </c>
      <c r="K226" s="1032">
        <f>G226</f>
        <v>10000000</v>
      </c>
      <c r="L226" s="1032">
        <f t="shared" si="14"/>
        <v>0</v>
      </c>
      <c r="M226" s="103" t="s">
        <v>1790</v>
      </c>
    </row>
    <row r="227" spans="1:13" ht="30" customHeight="1" x14ac:dyDescent="0.2">
      <c r="A227" s="2031">
        <v>132</v>
      </c>
      <c r="B227" s="2383" t="s">
        <v>1266</v>
      </c>
      <c r="C227" s="2149" t="s">
        <v>1750</v>
      </c>
      <c r="D227" s="2040"/>
      <c r="E227" s="2037"/>
      <c r="F227" s="2040"/>
      <c r="G227" s="2157"/>
      <c r="H227" s="2157"/>
      <c r="I227" s="2157"/>
      <c r="J227" s="2157"/>
      <c r="K227" s="2157"/>
      <c r="L227" s="2040"/>
      <c r="M227" s="103" t="s">
        <v>2008</v>
      </c>
    </row>
    <row r="228" spans="1:13" ht="30" customHeight="1" x14ac:dyDescent="0.2">
      <c r="A228" s="2034"/>
      <c r="B228" s="2384"/>
      <c r="C228" s="2158"/>
      <c r="D228" s="2042"/>
      <c r="E228" s="2039"/>
      <c r="F228" s="2042"/>
      <c r="G228" s="2157"/>
      <c r="H228" s="2157"/>
      <c r="I228" s="2157"/>
      <c r="J228" s="2157"/>
      <c r="K228" s="2157"/>
      <c r="L228" s="2042"/>
      <c r="M228" s="103" t="s">
        <v>2664</v>
      </c>
    </row>
    <row r="229" spans="1:13" ht="30" customHeight="1" x14ac:dyDescent="0.2">
      <c r="A229" s="2032"/>
      <c r="B229" s="2385"/>
      <c r="C229" s="2150"/>
      <c r="D229" s="1540">
        <v>490000000</v>
      </c>
      <c r="E229" s="1537">
        <v>0.05</v>
      </c>
      <c r="F229" s="1540">
        <f>D229*E229</f>
        <v>24500000</v>
      </c>
      <c r="G229" s="1540">
        <v>14500000</v>
      </c>
      <c r="H229" s="1540" t="s">
        <v>3288</v>
      </c>
      <c r="I229" s="1586" t="s">
        <v>3312</v>
      </c>
      <c r="J229" s="1555" t="s">
        <v>1268</v>
      </c>
      <c r="K229" s="1540">
        <f>G229</f>
        <v>14500000</v>
      </c>
      <c r="L229" s="1540">
        <f>F229-K229</f>
        <v>10000000</v>
      </c>
      <c r="M229" s="103" t="s">
        <v>3313</v>
      </c>
    </row>
    <row r="230" spans="1:13" ht="30" customHeight="1" x14ac:dyDescent="0.2">
      <c r="A230" s="1596">
        <v>133</v>
      </c>
      <c r="B230" s="1532" t="s">
        <v>178</v>
      </c>
      <c r="C230" s="1564" t="s">
        <v>1821</v>
      </c>
      <c r="D230" s="1540">
        <v>100000000</v>
      </c>
      <c r="E230" s="1537">
        <v>4.4999999999999998E-2</v>
      </c>
      <c r="F230" s="1540">
        <f t="shared" ref="F230:F305" si="17">D230*E230</f>
        <v>4500000</v>
      </c>
      <c r="G230" s="1540">
        <v>4500000</v>
      </c>
      <c r="H230" s="1540" t="s">
        <v>2831</v>
      </c>
      <c r="I230" s="1566" t="s">
        <v>2895</v>
      </c>
      <c r="J230" s="24" t="s">
        <v>534</v>
      </c>
      <c r="K230" s="1540">
        <f>G230</f>
        <v>4500000</v>
      </c>
      <c r="L230" s="1540">
        <f t="shared" ref="L230:L305" si="18">F230-K230</f>
        <v>0</v>
      </c>
      <c r="M230" s="1545" t="s">
        <v>3256</v>
      </c>
    </row>
    <row r="231" spans="1:13" ht="30" customHeight="1" x14ac:dyDescent="0.2">
      <c r="A231" s="2031">
        <v>134</v>
      </c>
      <c r="B231" s="2029" t="s">
        <v>169</v>
      </c>
      <c r="C231" s="2149"/>
      <c r="D231" s="2040">
        <v>110000000</v>
      </c>
      <c r="E231" s="2037">
        <v>0.04</v>
      </c>
      <c r="F231" s="2040">
        <f t="shared" si="17"/>
        <v>4400000</v>
      </c>
      <c r="G231" s="1540">
        <v>3000000</v>
      </c>
      <c r="H231" s="1540" t="s">
        <v>2847</v>
      </c>
      <c r="I231" s="1566" t="s">
        <v>2866</v>
      </c>
      <c r="J231" s="24" t="s">
        <v>522</v>
      </c>
      <c r="K231" s="2040">
        <f>G231+G232</f>
        <v>4400000</v>
      </c>
      <c r="L231" s="2040">
        <f t="shared" si="18"/>
        <v>0</v>
      </c>
      <c r="M231" s="2101"/>
    </row>
    <row r="232" spans="1:13" ht="30" customHeight="1" x14ac:dyDescent="0.2">
      <c r="A232" s="2032"/>
      <c r="B232" s="2030"/>
      <c r="C232" s="2150"/>
      <c r="D232" s="2042"/>
      <c r="E232" s="2039"/>
      <c r="F232" s="2042"/>
      <c r="G232" s="1540">
        <v>1400000</v>
      </c>
      <c r="H232" s="1540" t="s">
        <v>2847</v>
      </c>
      <c r="I232" s="1566" t="s">
        <v>2867</v>
      </c>
      <c r="J232" s="24" t="s">
        <v>2868</v>
      </c>
      <c r="K232" s="2042"/>
      <c r="L232" s="2042"/>
      <c r="M232" s="2102"/>
    </row>
    <row r="233" spans="1:13" ht="30" customHeight="1" x14ac:dyDescent="0.2">
      <c r="A233" s="2031">
        <v>135</v>
      </c>
      <c r="B233" s="2029" t="s">
        <v>7</v>
      </c>
      <c r="C233" s="1595" t="s">
        <v>401</v>
      </c>
      <c r="D233" s="1540">
        <v>100000000</v>
      </c>
      <c r="E233" s="1593">
        <v>0.05</v>
      </c>
      <c r="F233" s="1540">
        <f t="shared" si="17"/>
        <v>5000000</v>
      </c>
      <c r="G233" s="1540">
        <v>5000000</v>
      </c>
      <c r="H233" s="1540" t="s">
        <v>2776</v>
      </c>
      <c r="I233" s="1566" t="s">
        <v>2785</v>
      </c>
      <c r="J233" s="30" t="s">
        <v>1645</v>
      </c>
      <c r="K233" s="2040">
        <f>G233+G234</f>
        <v>11000000</v>
      </c>
      <c r="L233" s="2040">
        <f>(F233+F234)-K233</f>
        <v>0</v>
      </c>
      <c r="M233" s="2101"/>
    </row>
    <row r="234" spans="1:13" ht="30" customHeight="1" x14ac:dyDescent="0.2">
      <c r="A234" s="2032"/>
      <c r="B234" s="2030"/>
      <c r="C234" s="1595" t="s">
        <v>1354</v>
      </c>
      <c r="D234" s="1540">
        <v>124000000</v>
      </c>
      <c r="E234" s="1593">
        <v>4.9000000000000002E-2</v>
      </c>
      <c r="F234" s="1540">
        <v>6000000</v>
      </c>
      <c r="G234" s="1540">
        <v>6000000</v>
      </c>
      <c r="H234" s="1540" t="s">
        <v>3245</v>
      </c>
      <c r="I234" s="1566" t="s">
        <v>3250</v>
      </c>
      <c r="J234" s="57" t="s">
        <v>2326</v>
      </c>
      <c r="K234" s="2042"/>
      <c r="L234" s="2042"/>
      <c r="M234" s="2102"/>
    </row>
    <row r="235" spans="1:13" ht="30" customHeight="1" x14ac:dyDescent="0.2">
      <c r="A235" s="1596">
        <v>136</v>
      </c>
      <c r="B235" s="1594" t="s">
        <v>260</v>
      </c>
      <c r="C235" s="1564"/>
      <c r="D235" s="1550"/>
      <c r="E235" s="44"/>
      <c r="F235" s="1550">
        <f t="shared" si="17"/>
        <v>0</v>
      </c>
      <c r="G235" s="1540"/>
      <c r="H235" s="1540"/>
      <c r="I235" s="1566"/>
      <c r="J235" s="28"/>
      <c r="K235" s="1540"/>
      <c r="L235" s="1550">
        <f t="shared" si="18"/>
        <v>0</v>
      </c>
      <c r="M235" s="1545" t="s">
        <v>3306</v>
      </c>
    </row>
    <row r="236" spans="1:13" ht="30" customHeight="1" x14ac:dyDescent="0.2">
      <c r="A236" s="426">
        <v>137</v>
      </c>
      <c r="B236" s="1591" t="s">
        <v>182</v>
      </c>
      <c r="C236" s="1595" t="s">
        <v>1219</v>
      </c>
      <c r="D236" s="1540">
        <v>210000000</v>
      </c>
      <c r="E236" s="1593">
        <f>F236/D236</f>
        <v>4.8571428571428571E-2</v>
      </c>
      <c r="F236" s="1540">
        <v>10200000</v>
      </c>
      <c r="G236" s="1540">
        <v>10200000</v>
      </c>
      <c r="H236" s="1540" t="s">
        <v>2831</v>
      </c>
      <c r="I236" s="1566" t="s">
        <v>2839</v>
      </c>
      <c r="J236" s="28" t="s">
        <v>1814</v>
      </c>
      <c r="K236" s="1540">
        <f t="shared" ref="K236:K246" si="19">G236</f>
        <v>10200000</v>
      </c>
      <c r="L236" s="1540">
        <f t="shared" si="18"/>
        <v>0</v>
      </c>
      <c r="M236" s="1545" t="s">
        <v>2080</v>
      </c>
    </row>
    <row r="237" spans="1:13" ht="30" customHeight="1" x14ac:dyDescent="0.2">
      <c r="A237" s="2031">
        <v>138</v>
      </c>
      <c r="B237" s="2029" t="s">
        <v>262</v>
      </c>
      <c r="C237" s="2149" t="s">
        <v>1215</v>
      </c>
      <c r="D237" s="1540">
        <v>500000000</v>
      </c>
      <c r="E237" s="1593">
        <v>0.06</v>
      </c>
      <c r="F237" s="1540">
        <f t="shared" si="17"/>
        <v>30000000</v>
      </c>
      <c r="G237" s="1540">
        <v>30000000</v>
      </c>
      <c r="H237" s="1540" t="s">
        <v>2831</v>
      </c>
      <c r="I237" s="1586" t="s">
        <v>2891</v>
      </c>
      <c r="J237" s="24" t="s">
        <v>542</v>
      </c>
      <c r="K237" s="1540">
        <f t="shared" si="19"/>
        <v>30000000</v>
      </c>
      <c r="L237" s="1540">
        <f t="shared" si="18"/>
        <v>0</v>
      </c>
      <c r="M237" s="1594"/>
    </row>
    <row r="238" spans="1:13" ht="30" customHeight="1" x14ac:dyDescent="0.2">
      <c r="A238" s="2034"/>
      <c r="B238" s="2033"/>
      <c r="C238" s="2158"/>
      <c r="D238" s="1540">
        <v>200000000</v>
      </c>
      <c r="E238" s="1593"/>
      <c r="F238" s="1540"/>
      <c r="G238" s="2192" t="s">
        <v>3038</v>
      </c>
      <c r="H238" s="2193"/>
      <c r="I238" s="2193"/>
      <c r="J238" s="2194"/>
      <c r="K238" s="1540"/>
      <c r="L238" s="1540"/>
      <c r="M238" s="1594"/>
    </row>
    <row r="239" spans="1:13" ht="30" customHeight="1" x14ac:dyDescent="0.2">
      <c r="A239" s="2034"/>
      <c r="B239" s="2033"/>
      <c r="C239" s="2158"/>
      <c r="D239" s="1540">
        <v>280000000</v>
      </c>
      <c r="E239" s="1593"/>
      <c r="F239" s="1540"/>
      <c r="G239" s="2192" t="s">
        <v>3039</v>
      </c>
      <c r="H239" s="2193"/>
      <c r="I239" s="2193"/>
      <c r="J239" s="2194"/>
      <c r="K239" s="1540"/>
      <c r="L239" s="1540"/>
      <c r="M239" s="1594"/>
    </row>
    <row r="240" spans="1:13" ht="30" customHeight="1" x14ac:dyDescent="0.2">
      <c r="A240" s="2032"/>
      <c r="B240" s="2033"/>
      <c r="C240" s="2158"/>
      <c r="D240" s="1540">
        <v>980000000</v>
      </c>
      <c r="E240" s="1593"/>
      <c r="F240" s="1540"/>
      <c r="G240" s="2192" t="s">
        <v>3040</v>
      </c>
      <c r="H240" s="2193"/>
      <c r="I240" s="2193"/>
      <c r="J240" s="2194"/>
      <c r="K240" s="1540"/>
      <c r="L240" s="1540"/>
      <c r="M240" s="1594"/>
    </row>
    <row r="241" spans="1:13" ht="30" customHeight="1" x14ac:dyDescent="0.2">
      <c r="A241" s="1535"/>
      <c r="B241" s="2033"/>
      <c r="C241" s="2158"/>
      <c r="D241" s="1540"/>
      <c r="E241" s="1593"/>
      <c r="F241" s="1540"/>
      <c r="G241" s="2192" t="s">
        <v>3149</v>
      </c>
      <c r="H241" s="2193"/>
      <c r="I241" s="2193"/>
      <c r="J241" s="2194"/>
      <c r="K241" s="1540"/>
      <c r="L241" s="1540"/>
      <c r="M241" s="1594"/>
    </row>
    <row r="242" spans="1:13" ht="30" customHeight="1" x14ac:dyDescent="0.2">
      <c r="A242" s="1535"/>
      <c r="B242" s="2030"/>
      <c r="C242" s="2150"/>
      <c r="D242" s="1540"/>
      <c r="E242" s="1593"/>
      <c r="F242" s="1540"/>
      <c r="G242" s="1607"/>
      <c r="H242" s="1608"/>
      <c r="I242" s="1608"/>
      <c r="J242" s="1575"/>
      <c r="K242" s="1540"/>
      <c r="L242" s="1540"/>
      <c r="M242" s="1594"/>
    </row>
    <row r="243" spans="1:13" ht="30" customHeight="1" x14ac:dyDescent="0.2">
      <c r="A243" s="1596">
        <v>139</v>
      </c>
      <c r="B243" s="22" t="s">
        <v>163</v>
      </c>
      <c r="C243" s="1564" t="s">
        <v>1821</v>
      </c>
      <c r="D243" s="1565">
        <v>110000000</v>
      </c>
      <c r="E243" s="1593">
        <v>0.05</v>
      </c>
      <c r="F243" s="1565">
        <f t="shared" si="17"/>
        <v>5500000</v>
      </c>
      <c r="G243" s="1540">
        <v>5500000</v>
      </c>
      <c r="H243" s="1540" t="s">
        <v>2831</v>
      </c>
      <c r="I243" s="1566" t="s">
        <v>2898</v>
      </c>
      <c r="J243" s="30" t="s">
        <v>2899</v>
      </c>
      <c r="K243" s="1565">
        <f t="shared" si="19"/>
        <v>5500000</v>
      </c>
      <c r="L243" s="1565">
        <f t="shared" si="18"/>
        <v>0</v>
      </c>
      <c r="M243" s="22"/>
    </row>
    <row r="244" spans="1:13" ht="30" customHeight="1" x14ac:dyDescent="0.2">
      <c r="A244" s="1596"/>
      <c r="B244" s="22" t="s">
        <v>2404</v>
      </c>
      <c r="C244" s="1564" t="s">
        <v>265</v>
      </c>
      <c r="D244" s="1565">
        <v>50000000</v>
      </c>
      <c r="E244" s="1593">
        <v>0.05</v>
      </c>
      <c r="F244" s="1565">
        <f>D244*E244</f>
        <v>2500000</v>
      </c>
      <c r="G244" s="1540">
        <v>2500000</v>
      </c>
      <c r="H244" s="1540" t="s">
        <v>2855</v>
      </c>
      <c r="I244" s="1566" t="s">
        <v>2933</v>
      </c>
      <c r="J244" s="30" t="s">
        <v>1837</v>
      </c>
      <c r="K244" s="1565">
        <f t="shared" si="19"/>
        <v>2500000</v>
      </c>
      <c r="L244" s="1565">
        <f t="shared" si="18"/>
        <v>0</v>
      </c>
      <c r="M244" s="22"/>
    </row>
    <row r="245" spans="1:13" ht="30" customHeight="1" x14ac:dyDescent="0.2">
      <c r="A245" s="1596">
        <v>140</v>
      </c>
      <c r="B245" s="1594" t="s">
        <v>546</v>
      </c>
      <c r="C245" s="1564" t="s">
        <v>380</v>
      </c>
      <c r="D245" s="1540">
        <v>150000000</v>
      </c>
      <c r="E245" s="1593">
        <v>0.04</v>
      </c>
      <c r="F245" s="1540">
        <f t="shared" si="17"/>
        <v>6000000</v>
      </c>
      <c r="G245" s="1540">
        <v>6000000</v>
      </c>
      <c r="H245" s="1540" t="s">
        <v>2040</v>
      </c>
      <c r="I245" s="1566" t="s">
        <v>2994</v>
      </c>
      <c r="J245" s="21" t="s">
        <v>2995</v>
      </c>
      <c r="K245" s="1540">
        <f t="shared" si="19"/>
        <v>6000000</v>
      </c>
      <c r="L245" s="1540">
        <f t="shared" si="18"/>
        <v>0</v>
      </c>
      <c r="M245" s="1594"/>
    </row>
    <row r="246" spans="1:13" ht="30" customHeight="1" x14ac:dyDescent="0.2">
      <c r="A246" s="1596">
        <v>141</v>
      </c>
      <c r="B246" s="1594" t="s">
        <v>8</v>
      </c>
      <c r="C246" s="1564"/>
      <c r="D246" s="1540">
        <v>30000000</v>
      </c>
      <c r="E246" s="1593">
        <v>0.05</v>
      </c>
      <c r="F246" s="1540">
        <f t="shared" si="17"/>
        <v>1500000</v>
      </c>
      <c r="G246" s="1540"/>
      <c r="H246" s="1540"/>
      <c r="I246" s="1566"/>
      <c r="J246" s="24" t="s">
        <v>548</v>
      </c>
      <c r="K246" s="1540">
        <f t="shared" si="19"/>
        <v>0</v>
      </c>
      <c r="L246" s="1540">
        <f t="shared" si="18"/>
        <v>1500000</v>
      </c>
      <c r="M246" s="1594"/>
    </row>
    <row r="247" spans="1:13" ht="30" customHeight="1" x14ac:dyDescent="0.2">
      <c r="A247" s="2031">
        <v>142</v>
      </c>
      <c r="B247" s="2101" t="s">
        <v>9</v>
      </c>
      <c r="C247" s="2149"/>
      <c r="D247" s="2040">
        <v>2000000000</v>
      </c>
      <c r="E247" s="2037"/>
      <c r="F247" s="2040">
        <f>D248*E247</f>
        <v>0</v>
      </c>
      <c r="G247" s="2154" t="s">
        <v>2748</v>
      </c>
      <c r="H247" s="2155"/>
      <c r="I247" s="2155"/>
      <c r="J247" s="2156"/>
      <c r="K247" s="2040">
        <f>G248+G249+G250</f>
        <v>160000000</v>
      </c>
      <c r="L247" s="2040">
        <f>160000000-K247</f>
        <v>0</v>
      </c>
      <c r="M247" s="103" t="s">
        <v>1875</v>
      </c>
    </row>
    <row r="248" spans="1:13" ht="30" customHeight="1" x14ac:dyDescent="0.2">
      <c r="A248" s="2034"/>
      <c r="B248" s="2222"/>
      <c r="C248" s="2158"/>
      <c r="D248" s="2041"/>
      <c r="E248" s="2038"/>
      <c r="F248" s="2041"/>
      <c r="G248" s="1540">
        <v>40000000</v>
      </c>
      <c r="H248" s="1540" t="s">
        <v>3041</v>
      </c>
      <c r="I248" s="1567" t="s">
        <v>3162</v>
      </c>
      <c r="J248" s="1590" t="s">
        <v>550</v>
      </c>
      <c r="K248" s="2041"/>
      <c r="L248" s="2041"/>
      <c r="M248" s="103" t="s">
        <v>1883</v>
      </c>
    </row>
    <row r="249" spans="1:13" ht="30" customHeight="1" x14ac:dyDescent="0.2">
      <c r="A249" s="2034"/>
      <c r="B249" s="2222"/>
      <c r="C249" s="2158"/>
      <c r="D249" s="2041"/>
      <c r="E249" s="2038"/>
      <c r="F249" s="2041"/>
      <c r="G249" s="1540">
        <v>90400000</v>
      </c>
      <c r="H249" s="2154" t="s">
        <v>3163</v>
      </c>
      <c r="I249" s="2155"/>
      <c r="J249" s="2156"/>
      <c r="K249" s="2041"/>
      <c r="L249" s="2041"/>
      <c r="M249" s="2051" t="s">
        <v>2749</v>
      </c>
    </row>
    <row r="250" spans="1:13" ht="30" customHeight="1" x14ac:dyDescent="0.2">
      <c r="A250" s="2034"/>
      <c r="B250" s="2222"/>
      <c r="C250" s="2158"/>
      <c r="D250" s="2041"/>
      <c r="E250" s="2038"/>
      <c r="F250" s="2041"/>
      <c r="G250" s="1540">
        <v>29600000</v>
      </c>
      <c r="H250" s="1540" t="s">
        <v>3146</v>
      </c>
      <c r="I250" s="1567" t="s">
        <v>3176</v>
      </c>
      <c r="J250" s="1590" t="s">
        <v>550</v>
      </c>
      <c r="K250" s="2041"/>
      <c r="L250" s="2041"/>
      <c r="M250" s="2191"/>
    </row>
    <row r="251" spans="1:13" ht="30" customHeight="1" x14ac:dyDescent="0.2">
      <c r="A251" s="2034"/>
      <c r="B251" s="2222"/>
      <c r="C251" s="2158"/>
      <c r="D251" s="2041"/>
      <c r="E251" s="2038"/>
      <c r="F251" s="2041"/>
      <c r="G251" s="1540"/>
      <c r="H251" s="1540"/>
      <c r="I251" s="1567"/>
      <c r="J251" s="1590"/>
      <c r="K251" s="2041"/>
      <c r="L251" s="2041"/>
      <c r="M251" s="2191"/>
    </row>
    <row r="252" spans="1:13" ht="30" customHeight="1" x14ac:dyDescent="0.2">
      <c r="A252" s="2034"/>
      <c r="B252" s="2222"/>
      <c r="C252" s="2158"/>
      <c r="D252" s="2041"/>
      <c r="E252" s="2038"/>
      <c r="F252" s="2041"/>
      <c r="G252" s="1540"/>
      <c r="H252" s="1540"/>
      <c r="I252" s="1567"/>
      <c r="J252" s="1590"/>
      <c r="K252" s="2041"/>
      <c r="L252" s="2041"/>
      <c r="M252" s="2191"/>
    </row>
    <row r="253" spans="1:13" ht="30" customHeight="1" x14ac:dyDescent="0.2">
      <c r="A253" s="2034"/>
      <c r="B253" s="2222"/>
      <c r="C253" s="2158"/>
      <c r="D253" s="2041"/>
      <c r="E253" s="2038"/>
      <c r="F253" s="2041"/>
      <c r="G253" s="1540"/>
      <c r="H253" s="1540"/>
      <c r="I253" s="1567"/>
      <c r="J253" s="427"/>
      <c r="K253" s="2041"/>
      <c r="L253" s="2041"/>
      <c r="M253" s="2191"/>
    </row>
    <row r="254" spans="1:13" ht="30" customHeight="1" x14ac:dyDescent="0.2">
      <c r="A254" s="2034"/>
      <c r="B254" s="2222"/>
      <c r="C254" s="2158"/>
      <c r="D254" s="2041"/>
      <c r="E254" s="2038"/>
      <c r="F254" s="2041"/>
      <c r="G254" s="1540"/>
      <c r="H254" s="1540"/>
      <c r="I254" s="1567"/>
      <c r="J254" s="1590"/>
      <c r="K254" s="2041"/>
      <c r="L254" s="2041"/>
      <c r="M254" s="2191"/>
    </row>
    <row r="255" spans="1:13" ht="30" customHeight="1" x14ac:dyDescent="0.2">
      <c r="A255" s="2034"/>
      <c r="B255" s="2222"/>
      <c r="C255" s="2158"/>
      <c r="D255" s="2041"/>
      <c r="E255" s="2038"/>
      <c r="F255" s="2041"/>
      <c r="G255" s="1540"/>
      <c r="H255" s="1540"/>
      <c r="I255" s="1567"/>
      <c r="J255" s="1590"/>
      <c r="K255" s="2041"/>
      <c r="L255" s="2041"/>
      <c r="M255" s="2191"/>
    </row>
    <row r="256" spans="1:13" ht="30" customHeight="1" x14ac:dyDescent="0.2">
      <c r="A256" s="2032"/>
      <c r="B256" s="2102"/>
      <c r="C256" s="2150"/>
      <c r="D256" s="2042"/>
      <c r="E256" s="2039"/>
      <c r="F256" s="2042"/>
      <c r="G256" s="1540"/>
      <c r="H256" s="1540"/>
      <c r="I256" s="1567"/>
      <c r="J256" s="1590"/>
      <c r="K256" s="2042"/>
      <c r="L256" s="2042"/>
      <c r="M256" s="2052"/>
    </row>
    <row r="257" spans="1:17" ht="30" customHeight="1" x14ac:dyDescent="0.2">
      <c r="A257" s="1596">
        <v>143</v>
      </c>
      <c r="B257" s="1594" t="s">
        <v>10</v>
      </c>
      <c r="C257" s="1564"/>
      <c r="D257" s="1540">
        <v>50000000</v>
      </c>
      <c r="E257" s="1593">
        <v>0.04</v>
      </c>
      <c r="F257" s="1540">
        <f t="shared" si="17"/>
        <v>2000000</v>
      </c>
      <c r="G257" s="1540">
        <v>4000000</v>
      </c>
      <c r="H257" s="1540" t="s">
        <v>3060</v>
      </c>
      <c r="I257" s="1566" t="s">
        <v>3073</v>
      </c>
      <c r="J257" s="30" t="s">
        <v>3074</v>
      </c>
      <c r="K257" s="1540">
        <f>G257</f>
        <v>4000000</v>
      </c>
      <c r="L257" s="1540">
        <f t="shared" si="18"/>
        <v>-2000000</v>
      </c>
      <c r="M257" s="103" t="s">
        <v>3075</v>
      </c>
    </row>
    <row r="258" spans="1:17" ht="30" customHeight="1" x14ac:dyDescent="0.2">
      <c r="A258" s="1596">
        <v>144</v>
      </c>
      <c r="B258" s="1594" t="s">
        <v>527</v>
      </c>
      <c r="C258" s="1564"/>
      <c r="D258" s="1540">
        <v>5000000</v>
      </c>
      <c r="E258" s="1593">
        <v>0.05</v>
      </c>
      <c r="F258" s="1540">
        <f t="shared" si="17"/>
        <v>250000</v>
      </c>
      <c r="G258" s="1540">
        <v>250000</v>
      </c>
      <c r="H258" s="1540" t="s">
        <v>3018</v>
      </c>
      <c r="I258" s="1566" t="s">
        <v>3101</v>
      </c>
      <c r="J258" s="24" t="s">
        <v>529</v>
      </c>
      <c r="K258" s="1540">
        <f>G258</f>
        <v>250000</v>
      </c>
      <c r="L258" s="1540">
        <f t="shared" si="18"/>
        <v>0</v>
      </c>
      <c r="M258" s="1594"/>
    </row>
    <row r="259" spans="1:17" ht="30" customHeight="1" x14ac:dyDescent="0.2">
      <c r="A259" s="1596">
        <v>145</v>
      </c>
      <c r="B259" s="1594" t="s">
        <v>11</v>
      </c>
      <c r="C259" s="1564" t="s">
        <v>1215</v>
      </c>
      <c r="D259" s="1540">
        <v>105000000</v>
      </c>
      <c r="E259" s="1593">
        <v>0.04</v>
      </c>
      <c r="F259" s="1540">
        <f t="shared" si="17"/>
        <v>4200000</v>
      </c>
      <c r="G259" s="1540">
        <v>4200000</v>
      </c>
      <c r="H259" s="1540" t="s">
        <v>2831</v>
      </c>
      <c r="I259" s="1566" t="s">
        <v>2897</v>
      </c>
      <c r="J259" s="21" t="s">
        <v>1834</v>
      </c>
      <c r="K259" s="1540">
        <f>G259</f>
        <v>4200000</v>
      </c>
      <c r="L259" s="1540">
        <f t="shared" si="18"/>
        <v>0</v>
      </c>
      <c r="M259" s="1594"/>
    </row>
    <row r="260" spans="1:17" ht="30" customHeight="1" x14ac:dyDescent="0.2">
      <c r="A260" s="1596">
        <v>146</v>
      </c>
      <c r="B260" s="1594" t="s">
        <v>12</v>
      </c>
      <c r="C260" s="1564"/>
      <c r="D260" s="1540">
        <v>50000000</v>
      </c>
      <c r="E260" s="1593">
        <v>4.4999999999999998E-2</v>
      </c>
      <c r="F260" s="1540">
        <f t="shared" si="17"/>
        <v>2250000</v>
      </c>
      <c r="G260" s="1540"/>
      <c r="H260" s="1540"/>
      <c r="I260" s="1566"/>
      <c r="J260" s="24"/>
      <c r="K260" s="1540"/>
      <c r="L260" s="1540">
        <f t="shared" si="18"/>
        <v>2250000</v>
      </c>
      <c r="M260" s="1594"/>
    </row>
    <row r="261" spans="1:17" ht="30" customHeight="1" x14ac:dyDescent="0.2">
      <c r="A261" s="1596">
        <v>147</v>
      </c>
      <c r="B261" s="1594" t="s">
        <v>13</v>
      </c>
      <c r="C261" s="1564" t="s">
        <v>1350</v>
      </c>
      <c r="D261" s="1540">
        <v>30000000</v>
      </c>
      <c r="E261" s="1593">
        <v>0.04</v>
      </c>
      <c r="F261" s="1540">
        <f t="shared" si="17"/>
        <v>1200000</v>
      </c>
      <c r="G261" s="1540">
        <v>1200000</v>
      </c>
      <c r="H261" s="1540" t="s">
        <v>2798</v>
      </c>
      <c r="I261" s="1566" t="s">
        <v>2803</v>
      </c>
      <c r="J261" s="30" t="s">
        <v>525</v>
      </c>
      <c r="K261" s="1540">
        <f>G261</f>
        <v>1200000</v>
      </c>
      <c r="L261" s="1540">
        <f t="shared" si="18"/>
        <v>0</v>
      </c>
      <c r="M261" s="169" t="s">
        <v>526</v>
      </c>
    </row>
    <row r="262" spans="1:17" ht="30" customHeight="1" x14ac:dyDescent="0.2">
      <c r="A262" s="1533">
        <v>148</v>
      </c>
      <c r="B262" s="1591" t="s">
        <v>14</v>
      </c>
      <c r="C262" s="1595" t="s">
        <v>1590</v>
      </c>
      <c r="D262" s="1565">
        <v>55000000</v>
      </c>
      <c r="E262" s="1593">
        <v>0.05</v>
      </c>
      <c r="F262" s="1565">
        <f t="shared" si="17"/>
        <v>2750000</v>
      </c>
      <c r="G262" s="1565">
        <v>2750000</v>
      </c>
      <c r="H262" s="1565" t="s">
        <v>2040</v>
      </c>
      <c r="I262" s="1605" t="s">
        <v>3004</v>
      </c>
      <c r="J262" s="1590" t="s">
        <v>1473</v>
      </c>
      <c r="K262" s="1565">
        <f>G262</f>
        <v>2750000</v>
      </c>
      <c r="L262" s="1565">
        <f t="shared" si="18"/>
        <v>0</v>
      </c>
      <c r="M262" s="1557"/>
    </row>
    <row r="263" spans="1:17" ht="30" customHeight="1" x14ac:dyDescent="0.2">
      <c r="A263" s="1596">
        <v>149</v>
      </c>
      <c r="B263" s="1594" t="s">
        <v>15</v>
      </c>
      <c r="C263" s="1564" t="s">
        <v>1346</v>
      </c>
      <c r="D263" s="1540">
        <v>80000000</v>
      </c>
      <c r="E263" s="1537">
        <v>0.05</v>
      </c>
      <c r="F263" s="1540">
        <f t="shared" si="17"/>
        <v>4000000</v>
      </c>
      <c r="G263" s="1540">
        <v>4000000</v>
      </c>
      <c r="H263" s="1540" t="s">
        <v>3020</v>
      </c>
      <c r="I263" s="1566" t="s">
        <v>3107</v>
      </c>
      <c r="J263" s="425" t="s">
        <v>484</v>
      </c>
      <c r="K263" s="1540">
        <f t="shared" ref="K263:K268" si="20">G263</f>
        <v>4000000</v>
      </c>
      <c r="L263" s="1540">
        <f t="shared" si="18"/>
        <v>0</v>
      </c>
      <c r="M263" s="168" t="s">
        <v>364</v>
      </c>
    </row>
    <row r="264" spans="1:17" ht="30" customHeight="1" x14ac:dyDescent="0.2">
      <c r="A264" s="1596">
        <v>150</v>
      </c>
      <c r="B264" s="1594" t="s">
        <v>16</v>
      </c>
      <c r="C264" s="1564"/>
      <c r="D264" s="1550"/>
      <c r="E264" s="44"/>
      <c r="F264" s="1550">
        <f t="shared" si="17"/>
        <v>0</v>
      </c>
      <c r="G264" s="1540">
        <v>6400000</v>
      </c>
      <c r="H264" s="1540" t="s">
        <v>3109</v>
      </c>
      <c r="I264" s="1566" t="s">
        <v>3129</v>
      </c>
      <c r="J264" s="24" t="s">
        <v>3130</v>
      </c>
      <c r="K264" s="1540">
        <f t="shared" si="20"/>
        <v>6400000</v>
      </c>
      <c r="L264" s="1550">
        <f t="shared" si="18"/>
        <v>-6400000</v>
      </c>
      <c r="M264" s="1545" t="s">
        <v>3131</v>
      </c>
    </row>
    <row r="265" spans="1:17" ht="30" customHeight="1" x14ac:dyDescent="0.2">
      <c r="A265" s="1596">
        <v>151</v>
      </c>
      <c r="B265" s="1594" t="s">
        <v>17</v>
      </c>
      <c r="C265" s="1564" t="s">
        <v>1138</v>
      </c>
      <c r="D265" s="1540">
        <v>180000000</v>
      </c>
      <c r="E265" s="1593">
        <v>0.05</v>
      </c>
      <c r="F265" s="1540">
        <f t="shared" si="17"/>
        <v>9000000</v>
      </c>
      <c r="G265" s="1540">
        <v>9000000</v>
      </c>
      <c r="H265" s="1540" t="s">
        <v>3227</v>
      </c>
      <c r="I265" s="1586" t="s">
        <v>3230</v>
      </c>
      <c r="J265" s="24" t="s">
        <v>2279</v>
      </c>
      <c r="K265" s="1540">
        <f t="shared" si="20"/>
        <v>9000000</v>
      </c>
      <c r="L265" s="1540">
        <f t="shared" si="18"/>
        <v>0</v>
      </c>
      <c r="M265" s="1594"/>
    </row>
    <row r="266" spans="1:17" ht="30" customHeight="1" x14ac:dyDescent="0.2">
      <c r="A266" s="1596">
        <v>152</v>
      </c>
      <c r="B266" s="1594" t="s">
        <v>1146</v>
      </c>
      <c r="C266" s="1564" t="s">
        <v>3151</v>
      </c>
      <c r="D266" s="1540">
        <v>35000000</v>
      </c>
      <c r="E266" s="1593">
        <v>4.7E-2</v>
      </c>
      <c r="F266" s="1540">
        <v>1650000</v>
      </c>
      <c r="G266" s="1540">
        <v>1650000</v>
      </c>
      <c r="H266" s="1540" t="s">
        <v>3333</v>
      </c>
      <c r="I266" s="1566" t="s">
        <v>3335</v>
      </c>
      <c r="J266" s="24" t="s">
        <v>1148</v>
      </c>
      <c r="K266" s="1540">
        <f t="shared" si="20"/>
        <v>1650000</v>
      </c>
      <c r="L266" s="1540">
        <f t="shared" si="18"/>
        <v>0</v>
      </c>
      <c r="M266" s="1594"/>
    </row>
    <row r="267" spans="1:17" ht="30" customHeight="1" x14ac:dyDescent="0.2">
      <c r="A267" s="1596">
        <v>153</v>
      </c>
      <c r="B267" s="1594" t="s">
        <v>18</v>
      </c>
      <c r="C267" s="1564"/>
      <c r="D267" s="1540">
        <v>30000000</v>
      </c>
      <c r="E267" s="1593">
        <v>0.04</v>
      </c>
      <c r="F267" s="1540">
        <f t="shared" si="17"/>
        <v>1200000</v>
      </c>
      <c r="G267" s="1540">
        <v>1200000</v>
      </c>
      <c r="H267" s="1540" t="s">
        <v>3227</v>
      </c>
      <c r="I267" s="1566" t="s">
        <v>3243</v>
      </c>
      <c r="J267" s="24" t="s">
        <v>1181</v>
      </c>
      <c r="K267" s="1540">
        <f t="shared" si="20"/>
        <v>1200000</v>
      </c>
      <c r="L267" s="1540">
        <f t="shared" si="18"/>
        <v>0</v>
      </c>
      <c r="M267" s="1594"/>
    </row>
    <row r="268" spans="1:17" ht="30" customHeight="1" x14ac:dyDescent="0.2">
      <c r="A268" s="1596">
        <v>154</v>
      </c>
      <c r="B268" s="1594" t="s">
        <v>19</v>
      </c>
      <c r="C268" s="1564" t="s">
        <v>1913</v>
      </c>
      <c r="D268" s="1540">
        <v>15000000</v>
      </c>
      <c r="E268" s="1593">
        <v>7.0000000000000007E-2</v>
      </c>
      <c r="F268" s="1540">
        <f t="shared" si="17"/>
        <v>1050000</v>
      </c>
      <c r="G268" s="1540">
        <v>1050000</v>
      </c>
      <c r="H268" s="1540" t="s">
        <v>3371</v>
      </c>
      <c r="I268" s="1566" t="s">
        <v>3392</v>
      </c>
      <c r="J268" s="24" t="s">
        <v>1330</v>
      </c>
      <c r="K268" s="1540">
        <f t="shared" si="20"/>
        <v>1050000</v>
      </c>
      <c r="L268" s="1540">
        <f t="shared" si="18"/>
        <v>0</v>
      </c>
      <c r="M268" s="1594"/>
    </row>
    <row r="269" spans="1:17" ht="30" customHeight="1" x14ac:dyDescent="0.2">
      <c r="A269" s="1596">
        <v>155</v>
      </c>
      <c r="B269" s="1594" t="s">
        <v>20</v>
      </c>
      <c r="C269" s="1564"/>
      <c r="D269" s="1550"/>
      <c r="E269" s="44"/>
      <c r="F269" s="1550">
        <f t="shared" si="17"/>
        <v>0</v>
      </c>
      <c r="G269" s="1540"/>
      <c r="H269" s="1540"/>
      <c r="I269" s="1586"/>
      <c r="J269" s="24"/>
      <c r="K269" s="1540"/>
      <c r="L269" s="1550">
        <f t="shared" si="18"/>
        <v>0</v>
      </c>
      <c r="M269" s="1594"/>
    </row>
    <row r="270" spans="1:17" ht="30" customHeight="1" x14ac:dyDescent="0.2">
      <c r="A270" s="1533">
        <v>156</v>
      </c>
      <c r="B270" s="1591" t="s">
        <v>21</v>
      </c>
      <c r="C270" s="421"/>
      <c r="D270" s="1565">
        <v>50000000</v>
      </c>
      <c r="E270" s="1593">
        <v>0.04</v>
      </c>
      <c r="F270" s="1565">
        <f t="shared" si="17"/>
        <v>2000000</v>
      </c>
      <c r="G270" s="1540">
        <v>2000000</v>
      </c>
      <c r="H270" s="1540" t="s">
        <v>3018</v>
      </c>
      <c r="I270" s="1566" t="s">
        <v>3098</v>
      </c>
      <c r="J270" s="21" t="s">
        <v>472</v>
      </c>
      <c r="K270" s="1565">
        <f>G270</f>
        <v>2000000</v>
      </c>
      <c r="L270" s="1565">
        <f>F270-500000</f>
        <v>1500000</v>
      </c>
      <c r="M270" s="1545" t="s">
        <v>3099</v>
      </c>
    </row>
    <row r="271" spans="1:17" ht="30" customHeight="1" x14ac:dyDescent="0.2">
      <c r="A271" s="1596">
        <v>157</v>
      </c>
      <c r="B271" s="1594" t="s">
        <v>22</v>
      </c>
      <c r="C271" s="1564" t="s">
        <v>1349</v>
      </c>
      <c r="D271" s="1540">
        <v>20000000</v>
      </c>
      <c r="E271" s="1537">
        <v>0.05</v>
      </c>
      <c r="F271" s="1540">
        <f t="shared" si="17"/>
        <v>1000000</v>
      </c>
      <c r="G271" s="1540">
        <v>1000000</v>
      </c>
      <c r="H271" s="1540" t="s">
        <v>3148</v>
      </c>
      <c r="I271" s="1566" t="s">
        <v>3197</v>
      </c>
      <c r="J271" s="24" t="s">
        <v>709</v>
      </c>
      <c r="K271" s="1540">
        <f>G271</f>
        <v>1000000</v>
      </c>
      <c r="L271" s="1540">
        <f t="shared" si="18"/>
        <v>0</v>
      </c>
      <c r="M271" s="1594"/>
    </row>
    <row r="272" spans="1:17" ht="30" customHeight="1" x14ac:dyDescent="0.2">
      <c r="A272" s="2034"/>
      <c r="B272" s="2029" t="s">
        <v>848</v>
      </c>
      <c r="C272" s="1564" t="s">
        <v>1378</v>
      </c>
      <c r="D272" s="1540">
        <v>160000000</v>
      </c>
      <c r="E272" s="1593">
        <v>0.05</v>
      </c>
      <c r="F272" s="1540">
        <f>D272*E272</f>
        <v>8000000</v>
      </c>
      <c r="G272" s="2040">
        <v>9200000</v>
      </c>
      <c r="H272" s="2040" t="s">
        <v>3271</v>
      </c>
      <c r="I272" s="2159" t="s">
        <v>3272</v>
      </c>
      <c r="J272" s="2040" t="s">
        <v>3273</v>
      </c>
      <c r="K272" s="2040">
        <f>G272</f>
        <v>9200000</v>
      </c>
      <c r="L272" s="2040">
        <f>(F272+F273)-K272</f>
        <v>0</v>
      </c>
      <c r="M272" s="2295" t="s">
        <v>2335</v>
      </c>
      <c r="N272" s="2295"/>
      <c r="O272" s="2295"/>
      <c r="P272" s="2295"/>
      <c r="Q272" s="2295"/>
    </row>
    <row r="273" spans="1:17" ht="30" customHeight="1" x14ac:dyDescent="0.2">
      <c r="A273" s="2032"/>
      <c r="B273" s="2030"/>
      <c r="C273" s="1564" t="s">
        <v>1378</v>
      </c>
      <c r="D273" s="1540">
        <v>22000000</v>
      </c>
      <c r="E273" s="1593">
        <v>5.5E-2</v>
      </c>
      <c r="F273" s="1540">
        <v>1200000</v>
      </c>
      <c r="G273" s="2042"/>
      <c r="H273" s="2042"/>
      <c r="I273" s="2160"/>
      <c r="J273" s="2042"/>
      <c r="K273" s="2042"/>
      <c r="L273" s="2042"/>
      <c r="M273" s="1594"/>
    </row>
    <row r="274" spans="1:17" ht="30" customHeight="1" x14ac:dyDescent="0.2">
      <c r="A274" s="1596">
        <v>159</v>
      </c>
      <c r="B274" s="1594" t="s">
        <v>23</v>
      </c>
      <c r="C274" s="1564" t="s">
        <v>1355</v>
      </c>
      <c r="D274" s="1540">
        <v>25000000</v>
      </c>
      <c r="E274" s="1593">
        <v>0.05</v>
      </c>
      <c r="F274" s="1540">
        <f t="shared" si="17"/>
        <v>1250000</v>
      </c>
      <c r="G274" s="1540">
        <v>1250000</v>
      </c>
      <c r="H274" s="1540" t="s">
        <v>3148</v>
      </c>
      <c r="I274" s="1566" t="s">
        <v>3198</v>
      </c>
      <c r="J274" s="24" t="s">
        <v>2322</v>
      </c>
      <c r="K274" s="1540">
        <f>G274</f>
        <v>1250000</v>
      </c>
      <c r="L274" s="1540">
        <f t="shared" si="18"/>
        <v>0</v>
      </c>
      <c r="M274" s="1594"/>
    </row>
    <row r="275" spans="1:17" ht="30" customHeight="1" x14ac:dyDescent="0.2">
      <c r="A275" s="1596">
        <v>160</v>
      </c>
      <c r="B275" s="1594" t="s">
        <v>24</v>
      </c>
      <c r="C275" s="1564"/>
      <c r="D275" s="1540">
        <v>55000000</v>
      </c>
      <c r="E275" s="1593">
        <v>0.05</v>
      </c>
      <c r="F275" s="1540">
        <f t="shared" si="17"/>
        <v>2750000</v>
      </c>
      <c r="G275" s="1540"/>
      <c r="H275" s="1540"/>
      <c r="I275" s="1566"/>
      <c r="J275" s="24" t="s">
        <v>2292</v>
      </c>
      <c r="K275" s="1540">
        <f>G275</f>
        <v>0</v>
      </c>
      <c r="L275" s="1540">
        <f t="shared" si="18"/>
        <v>2750000</v>
      </c>
      <c r="M275" s="1594"/>
    </row>
    <row r="276" spans="1:17" ht="30" customHeight="1" x14ac:dyDescent="0.2">
      <c r="A276" s="1596">
        <v>161</v>
      </c>
      <c r="B276" s="1594" t="s">
        <v>25</v>
      </c>
      <c r="C276" s="1564" t="s">
        <v>1378</v>
      </c>
      <c r="D276" s="1540">
        <v>20000000</v>
      </c>
      <c r="E276" s="1593">
        <v>4.4999999999999998E-2</v>
      </c>
      <c r="F276" s="1540">
        <f t="shared" si="17"/>
        <v>900000</v>
      </c>
      <c r="G276" s="1540">
        <v>900000</v>
      </c>
      <c r="H276" s="1540" t="s">
        <v>3271</v>
      </c>
      <c r="I276" s="1566" t="s">
        <v>3298</v>
      </c>
      <c r="J276" s="24" t="s">
        <v>742</v>
      </c>
      <c r="K276" s="1540">
        <f>G276</f>
        <v>900000</v>
      </c>
      <c r="L276" s="1540">
        <f t="shared" si="18"/>
        <v>0</v>
      </c>
      <c r="M276" s="1594"/>
    </row>
    <row r="277" spans="1:17" ht="30" customHeight="1" x14ac:dyDescent="0.2">
      <c r="A277" s="1596">
        <v>162</v>
      </c>
      <c r="B277" s="1594" t="s">
        <v>26</v>
      </c>
      <c r="C277" s="1564" t="s">
        <v>1378</v>
      </c>
      <c r="D277" s="1540">
        <v>180000000</v>
      </c>
      <c r="E277" s="1593">
        <v>0.05</v>
      </c>
      <c r="F277" s="1540">
        <f t="shared" si="17"/>
        <v>9000000</v>
      </c>
      <c r="G277" s="1540">
        <v>9000000</v>
      </c>
      <c r="H277" s="1540" t="s">
        <v>3271</v>
      </c>
      <c r="I277" s="1566" t="s">
        <v>3275</v>
      </c>
      <c r="J277" s="24" t="s">
        <v>3276</v>
      </c>
      <c r="K277" s="1540">
        <f>G277</f>
        <v>9000000</v>
      </c>
      <c r="L277" s="1540">
        <f t="shared" si="18"/>
        <v>0</v>
      </c>
      <c r="M277" s="1594"/>
    </row>
    <row r="278" spans="1:17" ht="30" customHeight="1" x14ac:dyDescent="0.2">
      <c r="A278" s="1596">
        <v>163</v>
      </c>
      <c r="B278" s="1594" t="s">
        <v>854</v>
      </c>
      <c r="C278" s="1564"/>
      <c r="D278" s="1540">
        <v>200000000</v>
      </c>
      <c r="E278" s="1593">
        <v>0.05</v>
      </c>
      <c r="F278" s="1540">
        <f t="shared" si="17"/>
        <v>10000000</v>
      </c>
      <c r="G278" s="1540">
        <v>10000000</v>
      </c>
      <c r="H278" s="1540" t="s">
        <v>3271</v>
      </c>
      <c r="I278" s="1566" t="s">
        <v>3277</v>
      </c>
      <c r="J278" s="24" t="s">
        <v>3278</v>
      </c>
      <c r="K278" s="1540">
        <f>F278</f>
        <v>10000000</v>
      </c>
      <c r="L278" s="1540">
        <f t="shared" si="18"/>
        <v>0</v>
      </c>
      <c r="M278" s="1594"/>
    </row>
    <row r="279" spans="1:17" ht="30" customHeight="1" x14ac:dyDescent="0.2">
      <c r="A279" s="1596">
        <v>164</v>
      </c>
      <c r="B279" s="1594" t="s">
        <v>27</v>
      </c>
      <c r="C279" s="1564"/>
      <c r="D279" s="1540">
        <v>50000000</v>
      </c>
      <c r="E279" s="1593">
        <v>0.05</v>
      </c>
      <c r="F279" s="1540">
        <f t="shared" si="17"/>
        <v>2500000</v>
      </c>
      <c r="G279" s="1540">
        <v>2500000</v>
      </c>
      <c r="H279" s="1540" t="s">
        <v>3227</v>
      </c>
      <c r="I279" s="1566" t="s">
        <v>3235</v>
      </c>
      <c r="J279" s="24" t="s">
        <v>2329</v>
      </c>
      <c r="K279" s="1540">
        <f t="shared" ref="K279:K284" si="21">G279</f>
        <v>2500000</v>
      </c>
      <c r="L279" s="1540">
        <f t="shared" si="18"/>
        <v>0</v>
      </c>
      <c r="M279" s="1594"/>
    </row>
    <row r="280" spans="1:17" ht="30" customHeight="1" x14ac:dyDescent="0.2">
      <c r="A280" s="1596">
        <v>165</v>
      </c>
      <c r="B280" s="1594" t="s">
        <v>28</v>
      </c>
      <c r="C280" s="1564" t="s">
        <v>700</v>
      </c>
      <c r="D280" s="1540">
        <v>20000000</v>
      </c>
      <c r="E280" s="1593">
        <v>0.04</v>
      </c>
      <c r="F280" s="1540">
        <f t="shared" si="17"/>
        <v>800000</v>
      </c>
      <c r="G280" s="1540">
        <v>800000</v>
      </c>
      <c r="H280" s="1540" t="s">
        <v>3227</v>
      </c>
      <c r="I280" s="1566" t="s">
        <v>3231</v>
      </c>
      <c r="J280" s="24" t="s">
        <v>764</v>
      </c>
      <c r="K280" s="1540">
        <f t="shared" si="21"/>
        <v>800000</v>
      </c>
      <c r="L280" s="1540">
        <f t="shared" si="18"/>
        <v>0</v>
      </c>
      <c r="M280" s="1594"/>
    </row>
    <row r="281" spans="1:17" ht="30" customHeight="1" x14ac:dyDescent="0.2">
      <c r="A281" s="1596">
        <v>166</v>
      </c>
      <c r="B281" s="1594" t="s">
        <v>29</v>
      </c>
      <c r="C281" s="1564" t="s">
        <v>564</v>
      </c>
      <c r="D281" s="1540">
        <v>100000000</v>
      </c>
      <c r="E281" s="1593">
        <v>0.05</v>
      </c>
      <c r="F281" s="1540">
        <f t="shared" si="17"/>
        <v>5000000</v>
      </c>
      <c r="G281" s="1540">
        <v>5000000</v>
      </c>
      <c r="H281" s="1540" t="s">
        <v>3041</v>
      </c>
      <c r="I281" s="1566" t="s">
        <v>3157</v>
      </c>
      <c r="J281" s="30" t="s">
        <v>566</v>
      </c>
      <c r="K281" s="1540">
        <f t="shared" si="21"/>
        <v>5000000</v>
      </c>
      <c r="L281" s="1540">
        <f t="shared" si="18"/>
        <v>0</v>
      </c>
      <c r="M281" s="1594"/>
    </row>
    <row r="282" spans="1:17" ht="30" customHeight="1" x14ac:dyDescent="0.2">
      <c r="A282" s="1596">
        <v>167</v>
      </c>
      <c r="B282" s="1594" t="s">
        <v>758</v>
      </c>
      <c r="C282" s="1564" t="s">
        <v>1378</v>
      </c>
      <c r="D282" s="1540">
        <v>50000000</v>
      </c>
      <c r="E282" s="1593">
        <v>0.05</v>
      </c>
      <c r="F282" s="1540">
        <f t="shared" si="17"/>
        <v>2500000</v>
      </c>
      <c r="G282" s="1540">
        <v>2500000</v>
      </c>
      <c r="H282" s="1540" t="s">
        <v>3148</v>
      </c>
      <c r="I282" s="1566" t="s">
        <v>3199</v>
      </c>
      <c r="J282" s="24" t="s">
        <v>760</v>
      </c>
      <c r="K282" s="1540">
        <f t="shared" si="21"/>
        <v>2500000</v>
      </c>
      <c r="L282" s="1540">
        <f t="shared" si="18"/>
        <v>0</v>
      </c>
      <c r="M282" s="1594"/>
    </row>
    <row r="283" spans="1:17" ht="30" customHeight="1" x14ac:dyDescent="0.2">
      <c r="A283" s="1596">
        <v>168</v>
      </c>
      <c r="B283" s="1594" t="s">
        <v>844</v>
      </c>
      <c r="C283" s="1564"/>
      <c r="D283" s="1540">
        <v>50000000</v>
      </c>
      <c r="E283" s="1593">
        <v>7.0000000000000007E-2</v>
      </c>
      <c r="F283" s="1540">
        <f t="shared" si="17"/>
        <v>3500000.0000000005</v>
      </c>
      <c r="G283" s="1540">
        <v>3500000</v>
      </c>
      <c r="H283" s="1540" t="s">
        <v>3227</v>
      </c>
      <c r="I283" s="1566" t="s">
        <v>3228</v>
      </c>
      <c r="J283" s="24" t="s">
        <v>3229</v>
      </c>
      <c r="K283" s="1540">
        <f t="shared" si="21"/>
        <v>3500000</v>
      </c>
      <c r="L283" s="1540">
        <f t="shared" si="18"/>
        <v>0</v>
      </c>
      <c r="M283" s="1594"/>
    </row>
    <row r="284" spans="1:17" ht="30" customHeight="1" x14ac:dyDescent="0.2">
      <c r="A284" s="2031">
        <v>169</v>
      </c>
      <c r="B284" s="2101" t="s">
        <v>30</v>
      </c>
      <c r="C284" s="2149"/>
      <c r="D284" s="1540">
        <v>18000000</v>
      </c>
      <c r="E284" s="1593">
        <v>4.4999999999999998E-2</v>
      </c>
      <c r="F284" s="1540">
        <f t="shared" si="17"/>
        <v>810000</v>
      </c>
      <c r="G284" s="2040">
        <v>1000000</v>
      </c>
      <c r="H284" s="2040" t="s">
        <v>3227</v>
      </c>
      <c r="I284" s="2159" t="s">
        <v>3233</v>
      </c>
      <c r="J284" s="2040" t="s">
        <v>3234</v>
      </c>
      <c r="K284" s="2040">
        <f t="shared" si="21"/>
        <v>1000000</v>
      </c>
      <c r="L284" s="2040">
        <f>F286-K284</f>
        <v>0</v>
      </c>
      <c r="M284" s="1603"/>
    </row>
    <row r="285" spans="1:17" ht="30" customHeight="1" x14ac:dyDescent="0.2">
      <c r="A285" s="2034"/>
      <c r="B285" s="2222"/>
      <c r="C285" s="2158"/>
      <c r="D285" s="1540">
        <v>2000000</v>
      </c>
      <c r="E285" s="1593">
        <v>4.4999999999999998E-2</v>
      </c>
      <c r="F285" s="1540">
        <f>D285*E285</f>
        <v>90000</v>
      </c>
      <c r="G285" s="2041"/>
      <c r="H285" s="2041"/>
      <c r="I285" s="2170"/>
      <c r="J285" s="2041"/>
      <c r="K285" s="2041"/>
      <c r="L285" s="2041"/>
      <c r="M285" s="2154"/>
      <c r="N285" s="2155"/>
      <c r="O285" s="2155"/>
      <c r="P285" s="2155"/>
      <c r="Q285" s="2156"/>
    </row>
    <row r="286" spans="1:17" ht="30" customHeight="1" x14ac:dyDescent="0.2">
      <c r="A286" s="2032"/>
      <c r="B286" s="2102"/>
      <c r="C286" s="2150"/>
      <c r="D286" s="1576">
        <v>20000000</v>
      </c>
      <c r="E286" s="1370">
        <v>0.05</v>
      </c>
      <c r="F286" s="1576">
        <f>D286*E286</f>
        <v>1000000</v>
      </c>
      <c r="G286" s="2042"/>
      <c r="H286" s="2042"/>
      <c r="I286" s="2160"/>
      <c r="J286" s="2042"/>
      <c r="K286" s="2042"/>
      <c r="L286" s="2042"/>
      <c r="M286" s="2200" t="s">
        <v>2337</v>
      </c>
      <c r="N286" s="2201"/>
      <c r="O286" s="2201"/>
      <c r="P286" s="2201"/>
      <c r="Q286" s="2202"/>
    </row>
    <row r="287" spans="1:17" ht="30" customHeight="1" x14ac:dyDescent="0.2">
      <c r="A287" s="1596">
        <v>170</v>
      </c>
      <c r="B287" s="1594" t="s">
        <v>31</v>
      </c>
      <c r="C287" s="1564" t="s">
        <v>1138</v>
      </c>
      <c r="D287" s="1540">
        <v>70000000</v>
      </c>
      <c r="E287" s="1593">
        <v>0.05</v>
      </c>
      <c r="F287" s="1540">
        <f t="shared" si="17"/>
        <v>3500000</v>
      </c>
      <c r="G287" s="1540">
        <v>3500000</v>
      </c>
      <c r="H287" s="1540" t="s">
        <v>3271</v>
      </c>
      <c r="I287" s="1566" t="s">
        <v>3295</v>
      </c>
      <c r="J287" s="24" t="s">
        <v>1158</v>
      </c>
      <c r="K287" s="1540">
        <f>G287</f>
        <v>3500000</v>
      </c>
      <c r="L287" s="1540">
        <f t="shared" si="18"/>
        <v>0</v>
      </c>
      <c r="M287" s="1594"/>
    </row>
    <row r="288" spans="1:17" ht="30" customHeight="1" x14ac:dyDescent="0.2">
      <c r="A288" s="1596">
        <v>171</v>
      </c>
      <c r="B288" s="1594" t="s">
        <v>32</v>
      </c>
      <c r="C288" s="1564" t="s">
        <v>1348</v>
      </c>
      <c r="D288" s="1550"/>
      <c r="E288" s="44"/>
      <c r="F288" s="1540">
        <v>400000</v>
      </c>
      <c r="G288" s="1540">
        <v>400000</v>
      </c>
      <c r="H288" s="1540" t="s">
        <v>3060</v>
      </c>
      <c r="I288" s="1566" t="s">
        <v>3079</v>
      </c>
      <c r="J288" s="24" t="s">
        <v>686</v>
      </c>
      <c r="K288" s="1540">
        <f>G288</f>
        <v>400000</v>
      </c>
      <c r="L288" s="1540">
        <f t="shared" si="18"/>
        <v>0</v>
      </c>
      <c r="M288" s="103"/>
    </row>
    <row r="289" spans="1:13" ht="30" customHeight="1" x14ac:dyDescent="0.2">
      <c r="A289" s="2031">
        <v>172</v>
      </c>
      <c r="B289" s="2029" t="s">
        <v>33</v>
      </c>
      <c r="C289" s="2266"/>
      <c r="D289" s="1540">
        <v>5000000</v>
      </c>
      <c r="E289" s="1593">
        <v>0.06</v>
      </c>
      <c r="F289" s="1540">
        <f t="shared" si="17"/>
        <v>300000</v>
      </c>
      <c r="G289" s="1540">
        <v>300000</v>
      </c>
      <c r="H289" s="1540" t="s">
        <v>3371</v>
      </c>
      <c r="I289" s="1566" t="s">
        <v>3405</v>
      </c>
      <c r="J289" s="24" t="s">
        <v>648</v>
      </c>
      <c r="K289" s="1540">
        <f>G289</f>
        <v>300000</v>
      </c>
      <c r="L289" s="1540">
        <f t="shared" si="18"/>
        <v>0</v>
      </c>
      <c r="M289" s="1594"/>
    </row>
    <row r="290" spans="1:13" ht="30" customHeight="1" x14ac:dyDescent="0.2">
      <c r="A290" s="2032"/>
      <c r="B290" s="2030"/>
      <c r="C290" s="2266"/>
      <c r="D290" s="1550"/>
      <c r="E290" s="44"/>
      <c r="F290" s="1550"/>
      <c r="G290" s="2200" t="s">
        <v>3402</v>
      </c>
      <c r="H290" s="2201"/>
      <c r="I290" s="2201"/>
      <c r="J290" s="2201"/>
      <c r="K290" s="2202"/>
      <c r="L290" s="1550"/>
      <c r="M290" s="1594"/>
    </row>
    <row r="291" spans="1:13" ht="30" customHeight="1" x14ac:dyDescent="0.2">
      <c r="A291" s="1596">
        <v>173</v>
      </c>
      <c r="B291" s="1594" t="s">
        <v>34</v>
      </c>
      <c r="C291" s="1564"/>
      <c r="D291" s="1540">
        <v>40000000</v>
      </c>
      <c r="E291" s="1593">
        <v>0.05</v>
      </c>
      <c r="F291" s="1540">
        <f t="shared" si="17"/>
        <v>2000000</v>
      </c>
      <c r="G291" s="1540">
        <v>2000000</v>
      </c>
      <c r="H291" s="1540" t="s">
        <v>3227</v>
      </c>
      <c r="I291" s="1566" t="s">
        <v>3232</v>
      </c>
      <c r="J291" s="24" t="s">
        <v>864</v>
      </c>
      <c r="K291" s="1540">
        <f>G291</f>
        <v>2000000</v>
      </c>
      <c r="L291" s="1540">
        <f t="shared" si="18"/>
        <v>0</v>
      </c>
      <c r="M291" s="1594"/>
    </row>
    <row r="292" spans="1:13" ht="30" customHeight="1" x14ac:dyDescent="0.2">
      <c r="A292" s="2031">
        <v>174</v>
      </c>
      <c r="B292" s="2029" t="s">
        <v>35</v>
      </c>
      <c r="C292" s="2149" t="s">
        <v>1342</v>
      </c>
      <c r="D292" s="2040">
        <v>4545000000</v>
      </c>
      <c r="E292" s="2037">
        <v>7.0000000000000007E-2</v>
      </c>
      <c r="F292" s="2040">
        <v>318000000</v>
      </c>
      <c r="G292" s="1540">
        <v>5000000</v>
      </c>
      <c r="H292" s="1540" t="s">
        <v>2674</v>
      </c>
      <c r="I292" s="1566" t="s">
        <v>2688</v>
      </c>
      <c r="J292" s="24" t="s">
        <v>2689</v>
      </c>
      <c r="K292" s="2040">
        <f>G292+G293</f>
        <v>30000000</v>
      </c>
      <c r="L292" s="2040">
        <f>F292-K292</f>
        <v>288000000</v>
      </c>
      <c r="M292" s="1530"/>
    </row>
    <row r="293" spans="1:13" ht="30" customHeight="1" x14ac:dyDescent="0.2">
      <c r="A293" s="2034"/>
      <c r="B293" s="2033"/>
      <c r="C293" s="2158"/>
      <c r="D293" s="2041"/>
      <c r="E293" s="2038"/>
      <c r="F293" s="2041"/>
      <c r="G293" s="1540">
        <v>25000000</v>
      </c>
      <c r="H293" s="1540" t="s">
        <v>2945</v>
      </c>
      <c r="I293" s="1566" t="s">
        <v>2946</v>
      </c>
      <c r="J293" s="24" t="s">
        <v>2947</v>
      </c>
      <c r="K293" s="2042"/>
      <c r="L293" s="2041"/>
      <c r="M293" s="1531" t="s">
        <v>3032</v>
      </c>
    </row>
    <row r="294" spans="1:13" ht="30" customHeight="1" x14ac:dyDescent="0.2">
      <c r="A294" s="2034"/>
      <c r="B294" s="2033"/>
      <c r="C294" s="2158"/>
      <c r="D294" s="2042"/>
      <c r="E294" s="2039"/>
      <c r="F294" s="2042"/>
      <c r="G294" s="2200" t="s">
        <v>2948</v>
      </c>
      <c r="H294" s="2201"/>
      <c r="I294" s="2201"/>
      <c r="J294" s="2201"/>
      <c r="K294" s="2202"/>
      <c r="L294" s="2042"/>
      <c r="M294" s="1532" t="s">
        <v>2459</v>
      </c>
    </row>
    <row r="295" spans="1:13" ht="30" customHeight="1" x14ac:dyDescent="0.2">
      <c r="A295" s="2034"/>
      <c r="B295" s="2033"/>
      <c r="C295" s="2158"/>
      <c r="D295" s="1540"/>
      <c r="E295" s="1537"/>
      <c r="F295" s="1540"/>
      <c r="G295" s="2200" t="s">
        <v>3028</v>
      </c>
      <c r="H295" s="2201"/>
      <c r="I295" s="2201"/>
      <c r="J295" s="2201"/>
      <c r="K295" s="2202"/>
      <c r="L295" s="1540"/>
      <c r="M295" s="1532" t="s">
        <v>3029</v>
      </c>
    </row>
    <row r="296" spans="1:13" ht="30" customHeight="1" x14ac:dyDescent="0.2">
      <c r="A296" s="2034"/>
      <c r="B296" s="2033"/>
      <c r="C296" s="2158"/>
      <c r="D296" s="1540"/>
      <c r="E296" s="1537"/>
      <c r="F296" s="1540"/>
      <c r="G296" s="2200" t="s">
        <v>3031</v>
      </c>
      <c r="H296" s="2201"/>
      <c r="I296" s="2201"/>
      <c r="J296" s="2201"/>
      <c r="K296" s="2202"/>
      <c r="L296" s="1540"/>
      <c r="M296" s="1532"/>
    </row>
    <row r="297" spans="1:13" ht="30" customHeight="1" x14ac:dyDescent="0.2">
      <c r="A297" s="2032"/>
      <c r="B297" s="2030"/>
      <c r="C297" s="2150"/>
      <c r="D297" s="1540">
        <v>5000000000</v>
      </c>
      <c r="E297" s="1537">
        <v>0.08</v>
      </c>
      <c r="F297" s="1540">
        <f>D297*E297</f>
        <v>400000000</v>
      </c>
      <c r="G297" s="2200" t="s">
        <v>3030</v>
      </c>
      <c r="H297" s="2201"/>
      <c r="I297" s="2201"/>
      <c r="J297" s="2201"/>
      <c r="K297" s="2202"/>
      <c r="L297" s="1540"/>
      <c r="M297" s="1532"/>
    </row>
    <row r="298" spans="1:13" ht="30" customHeight="1" x14ac:dyDescent="0.2">
      <c r="A298" s="1596">
        <v>175</v>
      </c>
      <c r="B298" s="1594" t="s">
        <v>37</v>
      </c>
      <c r="C298" s="1564"/>
      <c r="D298" s="1540">
        <v>200000000</v>
      </c>
      <c r="E298" s="1537">
        <v>0.05</v>
      </c>
      <c r="F298" s="1540">
        <f t="shared" si="17"/>
        <v>10000000</v>
      </c>
      <c r="G298" s="1540">
        <v>10000000</v>
      </c>
      <c r="H298" s="1540" t="s">
        <v>3288</v>
      </c>
      <c r="I298" s="1572" t="s">
        <v>3325</v>
      </c>
      <c r="J298" s="24" t="s">
        <v>2351</v>
      </c>
      <c r="K298" s="1540">
        <f t="shared" ref="K298:K301" si="22">G298</f>
        <v>10000000</v>
      </c>
      <c r="L298" s="1540">
        <f t="shared" si="18"/>
        <v>0</v>
      </c>
      <c r="M298" s="1594"/>
    </row>
    <row r="299" spans="1:13" ht="30" customHeight="1" x14ac:dyDescent="0.2">
      <c r="A299" s="1596">
        <v>176</v>
      </c>
      <c r="B299" s="1594" t="s">
        <v>38</v>
      </c>
      <c r="C299" s="1564" t="s">
        <v>1138</v>
      </c>
      <c r="D299" s="1540">
        <v>150000000</v>
      </c>
      <c r="E299" s="1593">
        <v>7.0000000000000007E-2</v>
      </c>
      <c r="F299" s="1540">
        <f t="shared" si="17"/>
        <v>10500000.000000002</v>
      </c>
      <c r="G299" s="1540">
        <v>10500000</v>
      </c>
      <c r="H299" s="1540" t="s">
        <v>3333</v>
      </c>
      <c r="I299" s="1572" t="s">
        <v>3366</v>
      </c>
      <c r="J299" s="24" t="s">
        <v>3367</v>
      </c>
      <c r="K299" s="1540">
        <f t="shared" si="22"/>
        <v>10500000</v>
      </c>
      <c r="L299" s="1540">
        <f t="shared" si="18"/>
        <v>0</v>
      </c>
      <c r="M299" s="1594"/>
    </row>
    <row r="300" spans="1:13" ht="30" customHeight="1" x14ac:dyDescent="0.2">
      <c r="A300" s="1596">
        <v>177</v>
      </c>
      <c r="B300" s="1594" t="s">
        <v>39</v>
      </c>
      <c r="C300" s="1564" t="s">
        <v>1354</v>
      </c>
      <c r="D300" s="1540">
        <v>25000000</v>
      </c>
      <c r="E300" s="1593">
        <v>0.04</v>
      </c>
      <c r="F300" s="1540">
        <f t="shared" si="17"/>
        <v>1000000</v>
      </c>
      <c r="G300" s="1540">
        <v>1000000</v>
      </c>
      <c r="H300" s="1540" t="s">
        <v>3148</v>
      </c>
      <c r="I300" s="1566" t="s">
        <v>3202</v>
      </c>
      <c r="J300" s="21" t="s">
        <v>2305</v>
      </c>
      <c r="K300" s="1540">
        <f t="shared" si="22"/>
        <v>1000000</v>
      </c>
      <c r="L300" s="1540">
        <f t="shared" si="18"/>
        <v>0</v>
      </c>
      <c r="M300" s="1594"/>
    </row>
    <row r="301" spans="1:13" ht="30" customHeight="1" x14ac:dyDescent="0.2">
      <c r="A301" s="1596">
        <v>178</v>
      </c>
      <c r="B301" s="1594" t="s">
        <v>40</v>
      </c>
      <c r="C301" s="1564"/>
      <c r="D301" s="1540">
        <v>90000000</v>
      </c>
      <c r="E301" s="1593">
        <v>4.4999999999999998E-2</v>
      </c>
      <c r="F301" s="1540">
        <v>4000000</v>
      </c>
      <c r="G301" s="1540">
        <v>4000000</v>
      </c>
      <c r="H301" s="1540" t="s">
        <v>3146</v>
      </c>
      <c r="I301" s="1566" t="s">
        <v>3180</v>
      </c>
      <c r="J301" s="24" t="s">
        <v>2294</v>
      </c>
      <c r="K301" s="1540">
        <f t="shared" si="22"/>
        <v>4000000</v>
      </c>
      <c r="L301" s="1540">
        <f t="shared" si="18"/>
        <v>0</v>
      </c>
      <c r="M301" s="1594"/>
    </row>
    <row r="302" spans="1:13" ht="30" customHeight="1" x14ac:dyDescent="0.2">
      <c r="A302" s="426">
        <v>179</v>
      </c>
      <c r="B302" s="1591" t="s">
        <v>41</v>
      </c>
      <c r="C302" s="1563"/>
      <c r="D302" s="1549"/>
      <c r="E302" s="1551"/>
      <c r="F302" s="1549">
        <f t="shared" si="17"/>
        <v>0</v>
      </c>
      <c r="G302" s="1540">
        <v>16000000</v>
      </c>
      <c r="H302" s="1540" t="s">
        <v>3271</v>
      </c>
      <c r="I302" s="1586" t="s">
        <v>3281</v>
      </c>
      <c r="J302" s="24" t="s">
        <v>1121</v>
      </c>
      <c r="K302" s="1538">
        <f>G302</f>
        <v>16000000</v>
      </c>
      <c r="L302" s="1549">
        <f t="shared" si="18"/>
        <v>-16000000</v>
      </c>
      <c r="M302" s="1557"/>
    </row>
    <row r="303" spans="1:13" ht="30" customHeight="1" x14ac:dyDescent="0.2">
      <c r="A303" s="2031">
        <v>180</v>
      </c>
      <c r="B303" s="2029" t="s">
        <v>42</v>
      </c>
      <c r="C303" s="2043" t="s">
        <v>2538</v>
      </c>
      <c r="D303" s="2040">
        <v>300000000</v>
      </c>
      <c r="E303" s="2037">
        <v>5.7000000000000002E-2</v>
      </c>
      <c r="F303" s="2040">
        <v>17000000</v>
      </c>
      <c r="G303" s="1565">
        <v>16000000</v>
      </c>
      <c r="H303" s="1565" t="s">
        <v>3288</v>
      </c>
      <c r="I303" s="1589" t="s">
        <v>3321</v>
      </c>
      <c r="J303" s="1590" t="s">
        <v>2394</v>
      </c>
      <c r="K303" s="2040">
        <f>G303+G304</f>
        <v>17000000</v>
      </c>
      <c r="L303" s="2040">
        <f t="shared" si="18"/>
        <v>0</v>
      </c>
      <c r="M303" s="2101"/>
    </row>
    <row r="304" spans="1:13" ht="30" customHeight="1" x14ac:dyDescent="0.2">
      <c r="A304" s="2032"/>
      <c r="B304" s="2030"/>
      <c r="C304" s="2045"/>
      <c r="D304" s="2042"/>
      <c r="E304" s="2039"/>
      <c r="F304" s="2042"/>
      <c r="G304" s="1540">
        <v>1000000</v>
      </c>
      <c r="H304" s="1540" t="s">
        <v>3371</v>
      </c>
      <c r="I304" s="1586" t="s">
        <v>3379</v>
      </c>
      <c r="J304" s="24" t="s">
        <v>3380</v>
      </c>
      <c r="K304" s="2042"/>
      <c r="L304" s="2042"/>
      <c r="M304" s="2102"/>
    </row>
    <row r="305" spans="1:13" ht="30" customHeight="1" x14ac:dyDescent="0.2">
      <c r="A305" s="1596">
        <v>181</v>
      </c>
      <c r="B305" s="1594" t="s">
        <v>43</v>
      </c>
      <c r="C305" s="1564" t="s">
        <v>1018</v>
      </c>
      <c r="D305" s="1540">
        <v>50000000</v>
      </c>
      <c r="E305" s="1537">
        <v>0.05</v>
      </c>
      <c r="F305" s="1540">
        <f t="shared" si="17"/>
        <v>2500000</v>
      </c>
      <c r="G305" s="1540">
        <v>2500000</v>
      </c>
      <c r="H305" s="1540" t="s">
        <v>3333</v>
      </c>
      <c r="I305" s="1566" t="s">
        <v>3336</v>
      </c>
      <c r="J305" s="24" t="s">
        <v>3337</v>
      </c>
      <c r="K305" s="1540">
        <f t="shared" ref="K305:K313" si="23">G305</f>
        <v>2500000</v>
      </c>
      <c r="L305" s="1540">
        <f t="shared" si="18"/>
        <v>0</v>
      </c>
      <c r="M305" s="1594"/>
    </row>
    <row r="306" spans="1:13" ht="30" customHeight="1" x14ac:dyDescent="0.2">
      <c r="A306" s="2031">
        <v>182</v>
      </c>
      <c r="B306" s="2029" t="s">
        <v>44</v>
      </c>
      <c r="C306" s="2149" t="s">
        <v>1018</v>
      </c>
      <c r="D306" s="1540">
        <v>25000000</v>
      </c>
      <c r="E306" s="1593">
        <v>0.05</v>
      </c>
      <c r="F306" s="1540">
        <f t="shared" ref="F306:F385" si="24">D306*E306</f>
        <v>1250000</v>
      </c>
      <c r="G306" s="1947" t="s">
        <v>2875</v>
      </c>
      <c r="H306" s="1948"/>
      <c r="I306" s="1948"/>
      <c r="J306" s="1948"/>
      <c r="K306" s="1949"/>
      <c r="L306" s="1540"/>
      <c r="M306" s="1594"/>
    </row>
    <row r="307" spans="1:13" ht="30" customHeight="1" x14ac:dyDescent="0.2">
      <c r="A307" s="2034"/>
      <c r="B307" s="2033"/>
      <c r="C307" s="2158"/>
      <c r="D307" s="1540">
        <v>100000000</v>
      </c>
      <c r="E307" s="1593">
        <v>0.05</v>
      </c>
      <c r="F307" s="1540">
        <f>D307*E307</f>
        <v>5000000</v>
      </c>
      <c r="G307" s="2200" t="s">
        <v>2907</v>
      </c>
      <c r="H307" s="2201"/>
      <c r="I307" s="2201"/>
      <c r="J307" s="2201"/>
      <c r="K307" s="2202"/>
      <c r="L307" s="1540"/>
      <c r="M307" s="1594"/>
    </row>
    <row r="308" spans="1:13" ht="30" customHeight="1" x14ac:dyDescent="0.2">
      <c r="A308" s="2034"/>
      <c r="B308" s="2033"/>
      <c r="C308" s="2158"/>
      <c r="D308" s="1576">
        <v>125000000</v>
      </c>
      <c r="E308" s="1370">
        <v>0.05</v>
      </c>
      <c r="F308" s="1576">
        <f>D308*E308</f>
        <v>6250000</v>
      </c>
      <c r="G308" s="2200" t="s">
        <v>3311</v>
      </c>
      <c r="H308" s="2201"/>
      <c r="I308" s="2201"/>
      <c r="J308" s="2201"/>
      <c r="K308" s="2202"/>
      <c r="L308" s="1540"/>
      <c r="M308" s="1594"/>
    </row>
    <row r="309" spans="1:13" ht="30" customHeight="1" x14ac:dyDescent="0.2">
      <c r="A309" s="2032"/>
      <c r="B309" s="2030"/>
      <c r="C309" s="2150"/>
      <c r="D309" s="1576"/>
      <c r="E309" s="1370"/>
      <c r="F309" s="1576"/>
      <c r="G309" s="1540">
        <v>3750000</v>
      </c>
      <c r="H309" s="1540" t="s">
        <v>3449</v>
      </c>
      <c r="I309" s="1566" t="s">
        <v>3493</v>
      </c>
      <c r="J309" s="24" t="s">
        <v>3494</v>
      </c>
      <c r="K309" s="1540">
        <f>G309</f>
        <v>3750000</v>
      </c>
      <c r="L309" s="1540"/>
      <c r="M309" s="431" t="s">
        <v>3495</v>
      </c>
    </row>
    <row r="310" spans="1:13" ht="30" customHeight="1" x14ac:dyDescent="0.2">
      <c r="A310" s="1596">
        <v>183</v>
      </c>
      <c r="B310" s="1594" t="s">
        <v>45</v>
      </c>
      <c r="C310" s="1564" t="s">
        <v>1131</v>
      </c>
      <c r="D310" s="1540">
        <v>100000000</v>
      </c>
      <c r="E310" s="1593">
        <v>0.05</v>
      </c>
      <c r="F310" s="1540">
        <f t="shared" si="24"/>
        <v>5000000</v>
      </c>
      <c r="G310" s="1540">
        <v>5000000</v>
      </c>
      <c r="H310" s="1540" t="s">
        <v>3430</v>
      </c>
      <c r="I310" s="1566" t="s">
        <v>3439</v>
      </c>
      <c r="J310" s="24" t="s">
        <v>1186</v>
      </c>
      <c r="K310" s="1540">
        <f t="shared" si="23"/>
        <v>5000000</v>
      </c>
      <c r="L310" s="1540">
        <f t="shared" ref="L310:L343" si="25">F310-K310</f>
        <v>0</v>
      </c>
      <c r="M310" s="168"/>
    </row>
    <row r="311" spans="1:13" ht="30" customHeight="1" x14ac:dyDescent="0.2">
      <c r="A311" s="1596">
        <v>184</v>
      </c>
      <c r="B311" s="1594" t="s">
        <v>46</v>
      </c>
      <c r="C311" s="1564" t="s">
        <v>1018</v>
      </c>
      <c r="D311" s="1540">
        <v>20000000</v>
      </c>
      <c r="E311" s="1593">
        <v>0.05</v>
      </c>
      <c r="F311" s="1540">
        <f t="shared" si="24"/>
        <v>1000000</v>
      </c>
      <c r="G311" s="1540">
        <v>1000000</v>
      </c>
      <c r="H311" s="1540" t="s">
        <v>3271</v>
      </c>
      <c r="I311" s="1566" t="s">
        <v>3294</v>
      </c>
      <c r="J311" s="24" t="s">
        <v>2462</v>
      </c>
      <c r="K311" s="1540">
        <f t="shared" si="23"/>
        <v>1000000</v>
      </c>
      <c r="L311" s="1540">
        <f t="shared" si="25"/>
        <v>0</v>
      </c>
      <c r="M311" s="1594"/>
    </row>
    <row r="312" spans="1:13" ht="30" customHeight="1" x14ac:dyDescent="0.2">
      <c r="A312" s="1596">
        <v>185</v>
      </c>
      <c r="B312" s="1594" t="s">
        <v>47</v>
      </c>
      <c r="C312" s="1564" t="s">
        <v>1019</v>
      </c>
      <c r="D312" s="1540">
        <v>70000000</v>
      </c>
      <c r="E312" s="1593">
        <v>0.05</v>
      </c>
      <c r="F312" s="1540">
        <f t="shared" si="24"/>
        <v>3500000</v>
      </c>
      <c r="G312" s="1540">
        <v>3500000</v>
      </c>
      <c r="H312" s="1540" t="s">
        <v>3288</v>
      </c>
      <c r="I312" s="1566" t="s">
        <v>3329</v>
      </c>
      <c r="J312" s="24" t="s">
        <v>1117</v>
      </c>
      <c r="K312" s="1540">
        <f t="shared" si="23"/>
        <v>3500000</v>
      </c>
      <c r="L312" s="1540">
        <f t="shared" si="25"/>
        <v>0</v>
      </c>
      <c r="M312" s="1594"/>
    </row>
    <row r="313" spans="1:13" ht="30" customHeight="1" x14ac:dyDescent="0.2">
      <c r="A313" s="1596">
        <v>186</v>
      </c>
      <c r="B313" s="1594" t="s">
        <v>48</v>
      </c>
      <c r="C313" s="1564"/>
      <c r="D313" s="1540">
        <v>8000000</v>
      </c>
      <c r="E313" s="1593">
        <v>0.04</v>
      </c>
      <c r="F313" s="1540">
        <f t="shared" si="24"/>
        <v>320000</v>
      </c>
      <c r="G313" s="1540">
        <v>320000</v>
      </c>
      <c r="H313" s="1540" t="s">
        <v>3371</v>
      </c>
      <c r="I313" s="1566" t="s">
        <v>3391</v>
      </c>
      <c r="J313" s="24" t="s">
        <v>2435</v>
      </c>
      <c r="K313" s="1540">
        <f t="shared" si="23"/>
        <v>320000</v>
      </c>
      <c r="L313" s="1540">
        <f t="shared" si="25"/>
        <v>0</v>
      </c>
      <c r="M313" s="1594"/>
    </row>
    <row r="314" spans="1:13" ht="30" customHeight="1" x14ac:dyDescent="0.2">
      <c r="A314" s="2031">
        <v>187</v>
      </c>
      <c r="B314" s="2029" t="s">
        <v>2606</v>
      </c>
      <c r="C314" s="2149" t="s">
        <v>1175</v>
      </c>
      <c r="D314" s="2040">
        <v>200000000</v>
      </c>
      <c r="E314" s="2037">
        <v>0.05</v>
      </c>
      <c r="F314" s="2040">
        <f t="shared" si="24"/>
        <v>10000000</v>
      </c>
      <c r="G314" s="1540">
        <v>10000000</v>
      </c>
      <c r="H314" s="1540" t="s">
        <v>2674</v>
      </c>
      <c r="I314" s="1566" t="s">
        <v>2691</v>
      </c>
      <c r="J314" s="24" t="s">
        <v>2692</v>
      </c>
      <c r="K314" s="1540">
        <f>G314</f>
        <v>10000000</v>
      </c>
      <c r="L314" s="1540">
        <f t="shared" si="25"/>
        <v>0</v>
      </c>
      <c r="M314" s="103" t="s">
        <v>1815</v>
      </c>
    </row>
    <row r="315" spans="1:13" ht="30" customHeight="1" x14ac:dyDescent="0.2">
      <c r="A315" s="2032"/>
      <c r="B315" s="2030"/>
      <c r="C315" s="2150"/>
      <c r="D315" s="2042"/>
      <c r="E315" s="2039"/>
      <c r="F315" s="2042"/>
      <c r="G315" s="1540">
        <v>10000000</v>
      </c>
      <c r="H315" s="1540" t="s">
        <v>3471</v>
      </c>
      <c r="I315" s="1566" t="s">
        <v>3475</v>
      </c>
      <c r="J315" s="24" t="s">
        <v>3476</v>
      </c>
      <c r="K315" s="1540">
        <f>G315</f>
        <v>10000000</v>
      </c>
      <c r="L315" s="1540">
        <f>F314-K315</f>
        <v>0</v>
      </c>
      <c r="M315" s="103" t="s">
        <v>3135</v>
      </c>
    </row>
    <row r="316" spans="1:13" ht="30" customHeight="1" x14ac:dyDescent="0.2">
      <c r="A316" s="1596">
        <v>188</v>
      </c>
      <c r="B316" s="1594" t="s">
        <v>50</v>
      </c>
      <c r="C316" s="1564"/>
      <c r="D316" s="1540">
        <v>200000000</v>
      </c>
      <c r="E316" s="1593">
        <v>0.05</v>
      </c>
      <c r="F316" s="1540">
        <f t="shared" si="24"/>
        <v>10000000</v>
      </c>
      <c r="G316" s="1540">
        <v>10000000</v>
      </c>
      <c r="H316" s="1540" t="s">
        <v>3288</v>
      </c>
      <c r="I316" s="1566" t="s">
        <v>3326</v>
      </c>
      <c r="J316" s="24" t="s">
        <v>2288</v>
      </c>
      <c r="K316" s="1540">
        <f>G316</f>
        <v>10000000</v>
      </c>
      <c r="L316" s="1540">
        <f t="shared" si="25"/>
        <v>0</v>
      </c>
      <c r="M316" s="1594"/>
    </row>
    <row r="317" spans="1:13" ht="30" customHeight="1" x14ac:dyDescent="0.2">
      <c r="A317" s="1596">
        <v>189</v>
      </c>
      <c r="B317" s="1594" t="s">
        <v>51</v>
      </c>
      <c r="C317" s="1564" t="s">
        <v>700</v>
      </c>
      <c r="D317" s="1540">
        <v>15000000</v>
      </c>
      <c r="E317" s="1593">
        <v>0.05</v>
      </c>
      <c r="F317" s="1540">
        <f t="shared" si="24"/>
        <v>750000</v>
      </c>
      <c r="G317" s="1540">
        <v>750000</v>
      </c>
      <c r="H317" s="1540" t="s">
        <v>3271</v>
      </c>
      <c r="I317" s="1566" t="s">
        <v>3289</v>
      </c>
      <c r="J317" s="24" t="s">
        <v>860</v>
      </c>
      <c r="K317" s="1540">
        <f>G317</f>
        <v>750000</v>
      </c>
      <c r="L317" s="1540">
        <f t="shared" si="25"/>
        <v>0</v>
      </c>
      <c r="M317" s="1594"/>
    </row>
    <row r="318" spans="1:13" ht="30" customHeight="1" x14ac:dyDescent="0.2">
      <c r="A318" s="2031">
        <v>190</v>
      </c>
      <c r="B318" s="2029" t="s">
        <v>52</v>
      </c>
      <c r="C318" s="1564" t="s">
        <v>1131</v>
      </c>
      <c r="D318" s="1540">
        <v>80000000</v>
      </c>
      <c r="E318" s="1593">
        <v>0.05</v>
      </c>
      <c r="F318" s="1540">
        <f t="shared" si="24"/>
        <v>4000000</v>
      </c>
      <c r="G318" s="2040">
        <v>14000000</v>
      </c>
      <c r="H318" s="2040" t="s">
        <v>3371</v>
      </c>
      <c r="I318" s="2159" t="s">
        <v>3394</v>
      </c>
      <c r="J318" s="2128" t="s">
        <v>3111</v>
      </c>
      <c r="K318" s="2040">
        <f>G318</f>
        <v>14000000</v>
      </c>
      <c r="L318" s="2040">
        <f>(F318+F319)-K318</f>
        <v>0</v>
      </c>
      <c r="M318" s="2101"/>
    </row>
    <row r="319" spans="1:13" ht="30" customHeight="1" x14ac:dyDescent="0.2">
      <c r="A319" s="2032"/>
      <c r="B319" s="2030"/>
      <c r="C319" s="1564" t="s">
        <v>1131</v>
      </c>
      <c r="D319" s="1540">
        <v>200000000</v>
      </c>
      <c r="E319" s="1593">
        <v>0.05</v>
      </c>
      <c r="F319" s="1540">
        <f t="shared" si="24"/>
        <v>10000000</v>
      </c>
      <c r="G319" s="2042"/>
      <c r="H319" s="2042"/>
      <c r="I319" s="2160"/>
      <c r="J319" s="2129"/>
      <c r="K319" s="2042"/>
      <c r="L319" s="2042"/>
      <c r="M319" s="2102"/>
    </row>
    <row r="320" spans="1:13" ht="30" customHeight="1" x14ac:dyDescent="0.2">
      <c r="A320" s="2268">
        <v>191</v>
      </c>
      <c r="B320" s="2267" t="s">
        <v>53</v>
      </c>
      <c r="C320" s="2149" t="s">
        <v>265</v>
      </c>
      <c r="D320" s="2040">
        <v>700000000</v>
      </c>
      <c r="E320" s="2037">
        <v>7.6999999999999999E-2</v>
      </c>
      <c r="F320" s="2040">
        <v>54000000</v>
      </c>
      <c r="G320" s="1540">
        <v>43000000</v>
      </c>
      <c r="H320" s="1540">
        <v>43000000</v>
      </c>
      <c r="I320" s="1586" t="s">
        <v>2855</v>
      </c>
      <c r="J320" s="24" t="s">
        <v>696</v>
      </c>
      <c r="K320" s="2040">
        <f>G320+G321</f>
        <v>54000000</v>
      </c>
      <c r="L320" s="2040">
        <f t="shared" si="25"/>
        <v>0</v>
      </c>
      <c r="M320" s="1583" t="s">
        <v>2665</v>
      </c>
    </row>
    <row r="321" spans="1:17" ht="30" customHeight="1" x14ac:dyDescent="0.2">
      <c r="A321" s="2268"/>
      <c r="B321" s="2267"/>
      <c r="C321" s="2150"/>
      <c r="D321" s="2042"/>
      <c r="E321" s="2039"/>
      <c r="F321" s="2042"/>
      <c r="G321" s="1540">
        <v>11000000</v>
      </c>
      <c r="H321" s="1540" t="s">
        <v>2945</v>
      </c>
      <c r="I321" s="1586" t="s">
        <v>2951</v>
      </c>
      <c r="J321" s="24" t="s">
        <v>696</v>
      </c>
      <c r="K321" s="2042"/>
      <c r="L321" s="2042"/>
      <c r="M321" s="1584"/>
    </row>
    <row r="322" spans="1:17" ht="30" customHeight="1" x14ac:dyDescent="0.2">
      <c r="A322" s="2031">
        <v>192</v>
      </c>
      <c r="B322" s="2029" t="s">
        <v>54</v>
      </c>
      <c r="C322" s="2149" t="s">
        <v>1342</v>
      </c>
      <c r="D322" s="2157">
        <v>1400000000</v>
      </c>
      <c r="E322" s="2262">
        <v>7.0000000000000007E-2</v>
      </c>
      <c r="F322" s="2157">
        <f>D322*E322</f>
        <v>98000000.000000015</v>
      </c>
      <c r="G322" s="2295" t="s">
        <v>2121</v>
      </c>
      <c r="H322" s="2295"/>
      <c r="I322" s="2295"/>
      <c r="J322" s="2295"/>
      <c r="K322" s="2040"/>
      <c r="L322" s="2040"/>
      <c r="M322" s="192" t="s">
        <v>2122</v>
      </c>
    </row>
    <row r="323" spans="1:17" ht="30" customHeight="1" x14ac:dyDescent="0.2">
      <c r="A323" s="2034"/>
      <c r="B323" s="2033"/>
      <c r="C323" s="2150"/>
      <c r="D323" s="2157"/>
      <c r="E323" s="2262"/>
      <c r="F323" s="2157"/>
      <c r="G323" s="2295"/>
      <c r="H323" s="2295"/>
      <c r="I323" s="2295"/>
      <c r="J323" s="2295"/>
      <c r="K323" s="2042"/>
      <c r="L323" s="2042"/>
      <c r="M323" s="192" t="s">
        <v>2422</v>
      </c>
    </row>
    <row r="324" spans="1:17" ht="30" customHeight="1" x14ac:dyDescent="0.2">
      <c r="A324" s="2034"/>
      <c r="B324" s="2033"/>
      <c r="C324" s="2149"/>
      <c r="D324" s="2080">
        <f>D322+150000000</f>
        <v>1550000000</v>
      </c>
      <c r="E324" s="2037"/>
      <c r="F324" s="2040"/>
      <c r="G324" s="2200" t="s">
        <v>3058</v>
      </c>
      <c r="H324" s="2201"/>
      <c r="I324" s="2201"/>
      <c r="J324" s="2202"/>
      <c r="K324" s="1540"/>
      <c r="L324" s="1540"/>
      <c r="M324" s="192" t="s">
        <v>3059</v>
      </c>
    </row>
    <row r="325" spans="1:17" ht="30" customHeight="1" x14ac:dyDescent="0.2">
      <c r="A325" s="2034"/>
      <c r="B325" s="2033"/>
      <c r="C325" s="2158"/>
      <c r="D325" s="2081"/>
      <c r="E325" s="2039"/>
      <c r="F325" s="2042"/>
      <c r="G325" s="2200" t="s">
        <v>3057</v>
      </c>
      <c r="H325" s="2201"/>
      <c r="I325" s="2201"/>
      <c r="J325" s="2202"/>
      <c r="K325" s="1540"/>
      <c r="L325" s="1540"/>
      <c r="M325" s="192"/>
    </row>
    <row r="326" spans="1:17" ht="30" customHeight="1" x14ac:dyDescent="0.2">
      <c r="A326" s="2034"/>
      <c r="B326" s="2033"/>
      <c r="C326" s="2158"/>
      <c r="D326" s="1540"/>
      <c r="E326" s="1537"/>
      <c r="F326" s="1540"/>
      <c r="G326" s="1565">
        <v>5000000</v>
      </c>
      <c r="H326" s="1565" t="s">
        <v>3358</v>
      </c>
      <c r="I326" s="1566">
        <v>790844</v>
      </c>
      <c r="J326" s="1565" t="s">
        <v>888</v>
      </c>
      <c r="K326" s="1540">
        <f>G326</f>
        <v>5000000</v>
      </c>
      <c r="L326" s="1540"/>
      <c r="M326" s="192" t="s">
        <v>3418</v>
      </c>
    </row>
    <row r="327" spans="1:17" ht="30" customHeight="1" x14ac:dyDescent="0.2">
      <c r="A327" s="2032"/>
      <c r="B327" s="2030"/>
      <c r="C327" s="2150"/>
      <c r="D327" s="1540"/>
      <c r="E327" s="1537"/>
      <c r="F327" s="1540"/>
      <c r="G327" s="1565"/>
      <c r="H327" s="1565"/>
      <c r="I327" s="1565"/>
      <c r="J327" s="1565"/>
      <c r="K327" s="1540"/>
      <c r="L327" s="1540"/>
      <c r="M327" s="192"/>
    </row>
    <row r="328" spans="1:17" ht="30" customHeight="1" x14ac:dyDescent="0.2">
      <c r="A328" s="1596">
        <v>193</v>
      </c>
      <c r="B328" s="1594" t="s">
        <v>55</v>
      </c>
      <c r="C328" s="1564" t="s">
        <v>1378</v>
      </c>
      <c r="D328" s="1540">
        <v>45000000</v>
      </c>
      <c r="E328" s="1593">
        <v>0.04</v>
      </c>
      <c r="F328" s="1540">
        <f t="shared" si="24"/>
        <v>1800000</v>
      </c>
      <c r="G328" s="1540">
        <v>1800000</v>
      </c>
      <c r="H328" s="1540" t="s">
        <v>3371</v>
      </c>
      <c r="I328" s="1566" t="s">
        <v>3384</v>
      </c>
      <c r="J328" s="1565" t="s">
        <v>1026</v>
      </c>
      <c r="K328" s="1540">
        <f>G328</f>
        <v>1800000</v>
      </c>
      <c r="L328" s="1540">
        <f t="shared" si="25"/>
        <v>0</v>
      </c>
      <c r="M328" s="1594"/>
    </row>
    <row r="329" spans="1:17" ht="30" customHeight="1" x14ac:dyDescent="0.2">
      <c r="A329" s="1533">
        <v>194</v>
      </c>
      <c r="B329" s="22" t="s">
        <v>56</v>
      </c>
      <c r="C329" s="421"/>
      <c r="D329" s="1554"/>
      <c r="E329" s="1090"/>
      <c r="F329" s="1554">
        <f t="shared" si="24"/>
        <v>0</v>
      </c>
      <c r="G329" s="1565">
        <v>6500000</v>
      </c>
      <c r="H329" s="1565" t="s">
        <v>3288</v>
      </c>
      <c r="I329" s="1605" t="s">
        <v>3327</v>
      </c>
      <c r="J329" s="1590" t="s">
        <v>3328</v>
      </c>
      <c r="K329" s="1565">
        <f>G329</f>
        <v>6500000</v>
      </c>
      <c r="L329" s="1554">
        <f t="shared" si="25"/>
        <v>-6500000</v>
      </c>
      <c r="M329" s="1557"/>
    </row>
    <row r="330" spans="1:17" ht="30" customHeight="1" x14ac:dyDescent="0.2">
      <c r="A330" s="1596">
        <v>195</v>
      </c>
      <c r="B330" s="1532" t="s">
        <v>57</v>
      </c>
      <c r="C330" s="1564" t="s">
        <v>1019</v>
      </c>
      <c r="D330" s="1540">
        <v>10000000</v>
      </c>
      <c r="E330" s="1537">
        <v>0.05</v>
      </c>
      <c r="F330" s="1540">
        <f t="shared" si="24"/>
        <v>500000</v>
      </c>
      <c r="G330" s="1540">
        <v>500000</v>
      </c>
      <c r="H330" s="1540" t="s">
        <v>3358</v>
      </c>
      <c r="I330" s="1566" t="s">
        <v>3424</v>
      </c>
      <c r="J330" s="24" t="s">
        <v>1152</v>
      </c>
      <c r="K330" s="1540">
        <f>G330</f>
        <v>500000</v>
      </c>
      <c r="L330" s="1540">
        <f t="shared" si="25"/>
        <v>0</v>
      </c>
      <c r="M330" s="1594"/>
    </row>
    <row r="331" spans="1:17" ht="30" customHeight="1" x14ac:dyDescent="0.2">
      <c r="A331" s="2031">
        <v>196</v>
      </c>
      <c r="B331" s="2029" t="s">
        <v>58</v>
      </c>
      <c r="C331" s="1564" t="s">
        <v>1138</v>
      </c>
      <c r="D331" s="1540">
        <v>20000000</v>
      </c>
      <c r="E331" s="1593">
        <v>0.04</v>
      </c>
      <c r="F331" s="1540">
        <f t="shared" si="24"/>
        <v>800000</v>
      </c>
      <c r="G331" s="1540">
        <v>800000</v>
      </c>
      <c r="H331" s="1540" t="s">
        <v>3288</v>
      </c>
      <c r="I331" s="1540">
        <v>983499</v>
      </c>
      <c r="J331" s="24" t="s">
        <v>1137</v>
      </c>
      <c r="K331" s="1540">
        <f>G331</f>
        <v>800000</v>
      </c>
      <c r="L331" s="1540">
        <f>F331-K331</f>
        <v>0</v>
      </c>
      <c r="M331" s="1594"/>
    </row>
    <row r="332" spans="1:17" ht="30" customHeight="1" x14ac:dyDescent="0.2">
      <c r="A332" s="2032"/>
      <c r="B332" s="2030"/>
      <c r="C332" s="1564" t="s">
        <v>2131</v>
      </c>
      <c r="D332" s="1544">
        <v>30000000</v>
      </c>
      <c r="E332" s="480">
        <v>0.05</v>
      </c>
      <c r="F332" s="1544">
        <f t="shared" si="24"/>
        <v>1500000</v>
      </c>
      <c r="G332" s="1540">
        <v>1500000</v>
      </c>
      <c r="H332" s="1540" t="s">
        <v>3060</v>
      </c>
      <c r="I332" s="1540">
        <v>123339803720</v>
      </c>
      <c r="J332" s="24" t="s">
        <v>2468</v>
      </c>
      <c r="K332" s="1540">
        <f>G332</f>
        <v>1500000</v>
      </c>
      <c r="L332" s="1540">
        <f t="shared" si="25"/>
        <v>0</v>
      </c>
      <c r="M332" s="2200" t="s">
        <v>2132</v>
      </c>
      <c r="N332" s="2201"/>
      <c r="O332" s="2201"/>
      <c r="P332" s="2201"/>
      <c r="Q332" s="2202"/>
    </row>
    <row r="333" spans="1:17" ht="30" customHeight="1" x14ac:dyDescent="0.2">
      <c r="A333" s="1596">
        <v>197</v>
      </c>
      <c r="B333" s="1594" t="s">
        <v>59</v>
      </c>
      <c r="C333" s="1564"/>
      <c r="D333" s="1540">
        <v>150000000</v>
      </c>
      <c r="E333" s="1593">
        <v>0.04</v>
      </c>
      <c r="F333" s="1540">
        <f t="shared" si="24"/>
        <v>6000000</v>
      </c>
      <c r="G333" s="1540">
        <v>6000000</v>
      </c>
      <c r="H333" s="1540" t="s">
        <v>3288</v>
      </c>
      <c r="I333" s="1566" t="s">
        <v>3316</v>
      </c>
      <c r="J333" s="1565" t="s">
        <v>3317</v>
      </c>
      <c r="K333" s="1540">
        <f t="shared" ref="K333:K343" si="26">G333</f>
        <v>6000000</v>
      </c>
      <c r="L333" s="1540">
        <f t="shared" si="25"/>
        <v>0</v>
      </c>
      <c r="M333" s="1594"/>
    </row>
    <row r="334" spans="1:17" ht="30" customHeight="1" x14ac:dyDescent="0.2">
      <c r="A334" s="1596">
        <v>198</v>
      </c>
      <c r="B334" s="1594" t="s">
        <v>60</v>
      </c>
      <c r="C334" s="1564"/>
      <c r="D334" s="1540">
        <v>30000000</v>
      </c>
      <c r="E334" s="1593">
        <v>8.5000000000000006E-2</v>
      </c>
      <c r="F334" s="1540">
        <v>2500000</v>
      </c>
      <c r="G334" s="1540">
        <v>2500000</v>
      </c>
      <c r="H334" s="1540" t="s">
        <v>3449</v>
      </c>
      <c r="I334" s="1566" t="s">
        <v>3509</v>
      </c>
      <c r="J334" s="1565" t="s">
        <v>1205</v>
      </c>
      <c r="K334" s="1540">
        <f t="shared" si="26"/>
        <v>2500000</v>
      </c>
      <c r="L334" s="1540">
        <f t="shared" si="25"/>
        <v>0</v>
      </c>
      <c r="M334" s="1594"/>
    </row>
    <row r="335" spans="1:17" ht="30" customHeight="1" x14ac:dyDescent="0.2">
      <c r="A335" s="1596">
        <v>199</v>
      </c>
      <c r="B335" s="1594" t="s">
        <v>61</v>
      </c>
      <c r="C335" s="1564" t="s">
        <v>1131</v>
      </c>
      <c r="D335" s="1540">
        <v>50000000</v>
      </c>
      <c r="E335" s="1593">
        <v>0.05</v>
      </c>
      <c r="F335" s="1540">
        <f t="shared" si="24"/>
        <v>2500000</v>
      </c>
      <c r="G335" s="1540">
        <v>2500000</v>
      </c>
      <c r="H335" s="1540" t="s">
        <v>3371</v>
      </c>
      <c r="I335" s="1566" t="s">
        <v>3397</v>
      </c>
      <c r="J335" s="1565" t="s">
        <v>1173</v>
      </c>
      <c r="K335" s="1540">
        <f t="shared" si="26"/>
        <v>2500000</v>
      </c>
      <c r="L335" s="1540">
        <f t="shared" si="25"/>
        <v>0</v>
      </c>
      <c r="M335" s="1594"/>
    </row>
    <row r="336" spans="1:17" ht="30" customHeight="1" x14ac:dyDescent="0.2">
      <c r="A336" s="1596">
        <v>200</v>
      </c>
      <c r="B336" s="1594" t="s">
        <v>62</v>
      </c>
      <c r="C336" s="1564" t="s">
        <v>1112</v>
      </c>
      <c r="D336" s="1540">
        <v>350000000</v>
      </c>
      <c r="E336" s="1593">
        <v>7.0000000000000007E-2</v>
      </c>
      <c r="F336" s="1540">
        <f t="shared" si="24"/>
        <v>24500000.000000004</v>
      </c>
      <c r="G336" s="1540">
        <v>24500000</v>
      </c>
      <c r="H336" s="1540" t="s">
        <v>3442</v>
      </c>
      <c r="I336" s="1572" t="s">
        <v>3513</v>
      </c>
      <c r="J336" s="24" t="s">
        <v>1670</v>
      </c>
      <c r="K336" s="1540">
        <f t="shared" si="26"/>
        <v>24500000</v>
      </c>
      <c r="L336" s="1540">
        <f t="shared" si="25"/>
        <v>0</v>
      </c>
      <c r="M336" s="1594"/>
    </row>
    <row r="337" spans="1:13" ht="30" customHeight="1" x14ac:dyDescent="0.2">
      <c r="A337" s="1596">
        <v>201</v>
      </c>
      <c r="B337" s="1594" t="s">
        <v>63</v>
      </c>
      <c r="C337" s="1564"/>
      <c r="D337" s="1540">
        <v>60000000</v>
      </c>
      <c r="E337" s="1593">
        <v>6.5000000000000002E-2</v>
      </c>
      <c r="F337" s="1540">
        <v>4000000</v>
      </c>
      <c r="G337" s="1540">
        <v>4000000</v>
      </c>
      <c r="H337" s="1540" t="s">
        <v>3442</v>
      </c>
      <c r="I337" s="1566" t="s">
        <v>3464</v>
      </c>
      <c r="J337" s="1606" t="s">
        <v>1259</v>
      </c>
      <c r="K337" s="1540">
        <f t="shared" si="26"/>
        <v>4000000</v>
      </c>
      <c r="L337" s="1540">
        <f t="shared" si="25"/>
        <v>0</v>
      </c>
      <c r="M337" s="1594"/>
    </row>
    <row r="338" spans="1:13" ht="30" customHeight="1" x14ac:dyDescent="0.2">
      <c r="A338" s="2287">
        <v>202</v>
      </c>
      <c r="B338" s="2029" t="s">
        <v>64</v>
      </c>
      <c r="C338" s="2149"/>
      <c r="D338" s="2040">
        <v>100000000</v>
      </c>
      <c r="E338" s="2037">
        <v>4.4999999999999998E-2</v>
      </c>
      <c r="F338" s="2040">
        <f t="shared" si="24"/>
        <v>4500000</v>
      </c>
      <c r="G338" s="1540">
        <v>4500000</v>
      </c>
      <c r="H338" s="1540" t="s">
        <v>2674</v>
      </c>
      <c r="I338" s="1566" t="s">
        <v>2685</v>
      </c>
      <c r="J338" s="24" t="s">
        <v>2686</v>
      </c>
      <c r="K338" s="1540">
        <f t="shared" si="26"/>
        <v>4500000</v>
      </c>
      <c r="L338" s="1540">
        <f t="shared" si="25"/>
        <v>0</v>
      </c>
      <c r="M338" s="103" t="s">
        <v>2663</v>
      </c>
    </row>
    <row r="339" spans="1:13" ht="30" customHeight="1" x14ac:dyDescent="0.2">
      <c r="A339" s="2288"/>
      <c r="B339" s="2030"/>
      <c r="C339" s="2150"/>
      <c r="D339" s="2042"/>
      <c r="E339" s="2039"/>
      <c r="F339" s="2042"/>
      <c r="G339" s="1540">
        <v>4500000</v>
      </c>
      <c r="H339" s="1540" t="s">
        <v>3442</v>
      </c>
      <c r="I339" s="1566" t="s">
        <v>3465</v>
      </c>
      <c r="J339" s="24" t="s">
        <v>2686</v>
      </c>
      <c r="K339" s="1540">
        <f t="shared" si="26"/>
        <v>4500000</v>
      </c>
      <c r="L339" s="1540">
        <f>F338-K339</f>
        <v>0</v>
      </c>
      <c r="M339" s="103" t="s">
        <v>3135</v>
      </c>
    </row>
    <row r="340" spans="1:13" ht="30" customHeight="1" x14ac:dyDescent="0.2">
      <c r="A340" s="1596">
        <v>203</v>
      </c>
      <c r="B340" s="1594" t="s">
        <v>1292</v>
      </c>
      <c r="C340" s="1564" t="s">
        <v>1112</v>
      </c>
      <c r="D340" s="1540">
        <v>60000000</v>
      </c>
      <c r="E340" s="1593">
        <v>0.05</v>
      </c>
      <c r="F340" s="1540">
        <f t="shared" si="24"/>
        <v>3000000</v>
      </c>
      <c r="G340" s="1540">
        <v>3000000</v>
      </c>
      <c r="H340" s="1540" t="s">
        <v>3358</v>
      </c>
      <c r="I340" s="1566" t="s">
        <v>3414</v>
      </c>
      <c r="J340" s="24" t="s">
        <v>1796</v>
      </c>
      <c r="K340" s="1540">
        <f t="shared" si="26"/>
        <v>3000000</v>
      </c>
      <c r="L340" s="1540">
        <f t="shared" si="25"/>
        <v>0</v>
      </c>
      <c r="M340" s="1594"/>
    </row>
    <row r="341" spans="1:13" ht="30" customHeight="1" x14ac:dyDescent="0.2">
      <c r="A341" s="1596">
        <v>204</v>
      </c>
      <c r="B341" s="1594" t="s">
        <v>65</v>
      </c>
      <c r="C341" s="1564"/>
      <c r="D341" s="1540">
        <v>30000000</v>
      </c>
      <c r="E341" s="1593">
        <v>4.4999999999999998E-2</v>
      </c>
      <c r="F341" s="1540">
        <f t="shared" si="24"/>
        <v>1350000</v>
      </c>
      <c r="G341" s="1540">
        <v>1350000</v>
      </c>
      <c r="H341" s="1540" t="s">
        <v>3471</v>
      </c>
      <c r="I341" s="1566" t="s">
        <v>3472</v>
      </c>
      <c r="J341" s="24" t="s">
        <v>2583</v>
      </c>
      <c r="K341" s="1540">
        <f t="shared" si="26"/>
        <v>1350000</v>
      </c>
      <c r="L341" s="1540">
        <f t="shared" si="25"/>
        <v>0</v>
      </c>
      <c r="M341" s="1594"/>
    </row>
    <row r="342" spans="1:13" ht="30" customHeight="1" x14ac:dyDescent="0.2">
      <c r="A342" s="1596">
        <v>205</v>
      </c>
      <c r="B342" s="1594" t="s">
        <v>66</v>
      </c>
      <c r="C342" s="1564" t="s">
        <v>3389</v>
      </c>
      <c r="D342" s="1540">
        <v>15000000</v>
      </c>
      <c r="E342" s="1593">
        <v>0.04</v>
      </c>
      <c r="F342" s="1540">
        <f t="shared" si="24"/>
        <v>600000</v>
      </c>
      <c r="G342" s="1540">
        <v>600000</v>
      </c>
      <c r="H342" s="1540" t="s">
        <v>3371</v>
      </c>
      <c r="I342" s="1566" t="s">
        <v>3387</v>
      </c>
      <c r="J342" s="24" t="s">
        <v>3388</v>
      </c>
      <c r="K342" s="1540">
        <f t="shared" si="26"/>
        <v>600000</v>
      </c>
      <c r="L342" s="1540">
        <f t="shared" si="25"/>
        <v>0</v>
      </c>
      <c r="M342" s="1594"/>
    </row>
    <row r="343" spans="1:13" ht="30" customHeight="1" x14ac:dyDescent="0.2">
      <c r="A343" s="1596">
        <v>206</v>
      </c>
      <c r="B343" s="1594" t="s">
        <v>2536</v>
      </c>
      <c r="C343" s="1564" t="s">
        <v>1019</v>
      </c>
      <c r="D343" s="1540">
        <v>150000000</v>
      </c>
      <c r="E343" s="1593">
        <v>0.05</v>
      </c>
      <c r="F343" s="1540">
        <f t="shared" si="24"/>
        <v>7500000</v>
      </c>
      <c r="G343" s="1540">
        <v>7500000</v>
      </c>
      <c r="H343" s="1566" t="s">
        <v>3288</v>
      </c>
      <c r="I343" s="1566" t="s">
        <v>3320</v>
      </c>
      <c r="J343" s="70" t="s">
        <v>1015</v>
      </c>
      <c r="K343" s="1540">
        <f t="shared" si="26"/>
        <v>7500000</v>
      </c>
      <c r="L343" s="1540">
        <f t="shared" si="25"/>
        <v>0</v>
      </c>
      <c r="M343" s="1594"/>
    </row>
    <row r="344" spans="1:13" ht="30" customHeight="1" x14ac:dyDescent="0.2">
      <c r="A344" s="2031">
        <v>207</v>
      </c>
      <c r="B344" s="2029" t="s">
        <v>2818</v>
      </c>
      <c r="C344" s="2149" t="s">
        <v>700</v>
      </c>
      <c r="D344" s="1540">
        <v>45000000</v>
      </c>
      <c r="E344" s="1593">
        <v>0.04</v>
      </c>
      <c r="F344" s="1540">
        <f t="shared" si="24"/>
        <v>1800000</v>
      </c>
      <c r="G344" s="2040">
        <v>3800000</v>
      </c>
      <c r="H344" s="2040" t="s">
        <v>2847</v>
      </c>
      <c r="I344" s="2159" t="s">
        <v>2863</v>
      </c>
      <c r="J344" s="2128" t="s">
        <v>1150</v>
      </c>
      <c r="K344" s="2040">
        <f>G344</f>
        <v>3800000</v>
      </c>
      <c r="L344" s="2040">
        <f>(F344+F345)-K344</f>
        <v>0</v>
      </c>
      <c r="M344" s="2051" t="s">
        <v>1379</v>
      </c>
    </row>
    <row r="345" spans="1:13" ht="30" customHeight="1" x14ac:dyDescent="0.2">
      <c r="A345" s="2034"/>
      <c r="B345" s="2033"/>
      <c r="C345" s="2158"/>
      <c r="D345" s="1540">
        <v>50000000</v>
      </c>
      <c r="E345" s="1593">
        <v>0.04</v>
      </c>
      <c r="F345" s="1540">
        <f t="shared" si="24"/>
        <v>2000000</v>
      </c>
      <c r="G345" s="2042"/>
      <c r="H345" s="2042"/>
      <c r="I345" s="2160"/>
      <c r="J345" s="2129"/>
      <c r="K345" s="2042"/>
      <c r="L345" s="2042"/>
      <c r="M345" s="2052"/>
    </row>
    <row r="346" spans="1:13" ht="30" customHeight="1" x14ac:dyDescent="0.2">
      <c r="A346" s="2034"/>
      <c r="B346" s="2033"/>
      <c r="C346" s="2158"/>
      <c r="D346" s="1540">
        <v>45000000</v>
      </c>
      <c r="E346" s="1593">
        <v>0.04</v>
      </c>
      <c r="F346" s="1540">
        <f t="shared" si="24"/>
        <v>1800000</v>
      </c>
      <c r="G346" s="2040">
        <v>3800000</v>
      </c>
      <c r="H346" s="2040" t="s">
        <v>3333</v>
      </c>
      <c r="I346" s="2159" t="s">
        <v>3338</v>
      </c>
      <c r="J346" s="2128" t="s">
        <v>1150</v>
      </c>
      <c r="K346" s="2040">
        <f>G346</f>
        <v>3800000</v>
      </c>
      <c r="L346" s="2040">
        <f>(F346+F347)-K346</f>
        <v>0</v>
      </c>
      <c r="M346" s="2051" t="s">
        <v>2604</v>
      </c>
    </row>
    <row r="347" spans="1:13" ht="30" customHeight="1" x14ac:dyDescent="0.2">
      <c r="A347" s="2032"/>
      <c r="B347" s="2030"/>
      <c r="C347" s="2150"/>
      <c r="D347" s="1540">
        <v>50000000</v>
      </c>
      <c r="E347" s="1593">
        <v>0.04</v>
      </c>
      <c r="F347" s="1540">
        <f t="shared" si="24"/>
        <v>2000000</v>
      </c>
      <c r="G347" s="2042"/>
      <c r="H347" s="2042"/>
      <c r="I347" s="2160"/>
      <c r="J347" s="2129"/>
      <c r="K347" s="2042"/>
      <c r="L347" s="2042"/>
      <c r="M347" s="2052"/>
    </row>
    <row r="348" spans="1:13" ht="30" customHeight="1" x14ac:dyDescent="0.2">
      <c r="A348" s="1596">
        <v>208</v>
      </c>
      <c r="B348" s="1594" t="s">
        <v>70</v>
      </c>
      <c r="C348" s="1564" t="s">
        <v>1131</v>
      </c>
      <c r="D348" s="1540">
        <v>15000000</v>
      </c>
      <c r="E348" s="1593">
        <v>0.04</v>
      </c>
      <c r="F348" s="1540">
        <f t="shared" si="24"/>
        <v>600000</v>
      </c>
      <c r="G348" s="1540"/>
      <c r="H348" s="1540"/>
      <c r="I348" s="1566"/>
      <c r="J348" s="24" t="s">
        <v>1130</v>
      </c>
      <c r="K348" s="1540">
        <f t="shared" ref="K348:K356" si="27">G348</f>
        <v>0</v>
      </c>
      <c r="L348" s="1540">
        <f t="shared" ref="L348:L402" si="28">F348-K348</f>
        <v>600000</v>
      </c>
      <c r="M348" s="1594"/>
    </row>
    <row r="349" spans="1:13" ht="30" customHeight="1" x14ac:dyDescent="0.2">
      <c r="A349" s="1596">
        <v>209</v>
      </c>
      <c r="B349" s="1594" t="s">
        <v>71</v>
      </c>
      <c r="C349" s="1564"/>
      <c r="D349" s="1540">
        <v>10000000</v>
      </c>
      <c r="E349" s="1593">
        <v>0.05</v>
      </c>
      <c r="F349" s="1540">
        <f t="shared" si="24"/>
        <v>500000</v>
      </c>
      <c r="G349" s="1540">
        <v>500000</v>
      </c>
      <c r="H349" s="1540" t="s">
        <v>3449</v>
      </c>
      <c r="I349" s="1566" t="s">
        <v>3484</v>
      </c>
      <c r="J349" s="1606" t="s">
        <v>1277</v>
      </c>
      <c r="K349" s="1540">
        <f t="shared" si="27"/>
        <v>500000</v>
      </c>
      <c r="L349" s="1540">
        <f t="shared" si="28"/>
        <v>0</v>
      </c>
      <c r="M349" s="1594"/>
    </row>
    <row r="350" spans="1:13" ht="30" customHeight="1" x14ac:dyDescent="0.2">
      <c r="A350" s="1596">
        <v>210</v>
      </c>
      <c r="B350" s="1594" t="s">
        <v>73</v>
      </c>
      <c r="C350" s="1564"/>
      <c r="D350" s="1540">
        <v>50000000</v>
      </c>
      <c r="E350" s="1593">
        <v>7.0000000000000007E-2</v>
      </c>
      <c r="F350" s="1540">
        <f t="shared" si="24"/>
        <v>3500000.0000000005</v>
      </c>
      <c r="G350" s="1540">
        <v>3500000</v>
      </c>
      <c r="H350" s="1540" t="s">
        <v>3041</v>
      </c>
      <c r="I350" s="1566" t="s">
        <v>3137</v>
      </c>
      <c r="J350" s="24" t="s">
        <v>721</v>
      </c>
      <c r="K350" s="1540">
        <f t="shared" si="27"/>
        <v>3500000</v>
      </c>
      <c r="L350" s="1540">
        <f t="shared" si="28"/>
        <v>0</v>
      </c>
      <c r="M350" s="1594"/>
    </row>
    <row r="351" spans="1:13" ht="30" customHeight="1" x14ac:dyDescent="0.2">
      <c r="A351" s="1596">
        <v>211</v>
      </c>
      <c r="B351" s="1594" t="s">
        <v>74</v>
      </c>
      <c r="C351" s="1564" t="s">
        <v>1350</v>
      </c>
      <c r="D351" s="1540">
        <v>100000000</v>
      </c>
      <c r="E351" s="1593">
        <v>0.05</v>
      </c>
      <c r="F351" s="1540">
        <f t="shared" si="24"/>
        <v>5000000</v>
      </c>
      <c r="G351" s="1540">
        <v>5000000</v>
      </c>
      <c r="H351" s="1540" t="s">
        <v>2945</v>
      </c>
      <c r="I351" s="1566" t="s">
        <v>2949</v>
      </c>
      <c r="J351" s="24" t="s">
        <v>1483</v>
      </c>
      <c r="K351" s="1540">
        <f t="shared" si="27"/>
        <v>5000000</v>
      </c>
      <c r="L351" s="1540">
        <f t="shared" si="28"/>
        <v>0</v>
      </c>
      <c r="M351" s="1594"/>
    </row>
    <row r="352" spans="1:13" ht="30" customHeight="1" x14ac:dyDescent="0.2">
      <c r="A352" s="1596">
        <v>212</v>
      </c>
      <c r="B352" s="1594" t="s">
        <v>75</v>
      </c>
      <c r="C352" s="1564"/>
      <c r="D352" s="1540">
        <v>30000000</v>
      </c>
      <c r="E352" s="1593">
        <v>0.05</v>
      </c>
      <c r="F352" s="1540">
        <f t="shared" si="24"/>
        <v>1500000</v>
      </c>
      <c r="G352" s="1540"/>
      <c r="H352" s="1540"/>
      <c r="I352" s="1566"/>
      <c r="J352" s="24" t="s">
        <v>2647</v>
      </c>
      <c r="K352" s="1540">
        <f t="shared" si="27"/>
        <v>0</v>
      </c>
      <c r="L352" s="1540">
        <f t="shared" si="28"/>
        <v>1500000</v>
      </c>
      <c r="M352" s="1594"/>
    </row>
    <row r="353" spans="1:13" ht="30" customHeight="1" x14ac:dyDescent="0.2">
      <c r="A353" s="1596">
        <v>213</v>
      </c>
      <c r="B353" s="1594" t="s">
        <v>76</v>
      </c>
      <c r="C353" s="1564"/>
      <c r="D353" s="1540">
        <v>15000000</v>
      </c>
      <c r="E353" s="1593">
        <v>4.7E-2</v>
      </c>
      <c r="F353" s="1540">
        <v>700000</v>
      </c>
      <c r="G353" s="1540">
        <v>700000</v>
      </c>
      <c r="H353" s="1540" t="s">
        <v>2674</v>
      </c>
      <c r="I353" s="1566" t="s">
        <v>2676</v>
      </c>
      <c r="J353" s="24" t="s">
        <v>331</v>
      </c>
      <c r="K353" s="1540">
        <f t="shared" si="27"/>
        <v>700000</v>
      </c>
      <c r="L353" s="1540">
        <f t="shared" si="28"/>
        <v>0</v>
      </c>
      <c r="M353" s="1594"/>
    </row>
    <row r="354" spans="1:13" ht="30" customHeight="1" x14ac:dyDescent="0.2">
      <c r="A354" s="1596">
        <v>214</v>
      </c>
      <c r="B354" s="1594" t="s">
        <v>966</v>
      </c>
      <c r="C354" s="1564"/>
      <c r="D354" s="1540">
        <v>200000000</v>
      </c>
      <c r="E354" s="1593">
        <v>5.5E-2</v>
      </c>
      <c r="F354" s="1540">
        <f t="shared" si="24"/>
        <v>11000000</v>
      </c>
      <c r="G354" s="1540"/>
      <c r="H354" s="1540"/>
      <c r="I354" s="1572"/>
      <c r="J354" s="24" t="s">
        <v>1442</v>
      </c>
      <c r="K354" s="1540">
        <f t="shared" si="27"/>
        <v>0</v>
      </c>
      <c r="L354" s="1540">
        <f t="shared" si="28"/>
        <v>11000000</v>
      </c>
      <c r="M354" s="1594"/>
    </row>
    <row r="355" spans="1:13" ht="30" customHeight="1" x14ac:dyDescent="0.2">
      <c r="A355" s="1596">
        <v>215</v>
      </c>
      <c r="B355" s="1594" t="s">
        <v>77</v>
      </c>
      <c r="C355" s="1564"/>
      <c r="D355" s="1540">
        <v>70000000</v>
      </c>
      <c r="E355" s="1593">
        <v>0.05</v>
      </c>
      <c r="F355" s="1540">
        <f t="shared" si="24"/>
        <v>3500000</v>
      </c>
      <c r="G355" s="1540">
        <v>3500000</v>
      </c>
      <c r="H355" s="1540" t="s">
        <v>3371</v>
      </c>
      <c r="I355" s="1566" t="s">
        <v>3372</v>
      </c>
      <c r="J355" s="24" t="s">
        <v>1945</v>
      </c>
      <c r="K355" s="1540">
        <f t="shared" si="27"/>
        <v>3500000</v>
      </c>
      <c r="L355" s="1540">
        <f t="shared" si="28"/>
        <v>0</v>
      </c>
      <c r="M355" s="1594"/>
    </row>
    <row r="356" spans="1:13" ht="30" customHeight="1" x14ac:dyDescent="0.2">
      <c r="A356" s="1596">
        <v>216</v>
      </c>
      <c r="B356" s="1594" t="s">
        <v>78</v>
      </c>
      <c r="C356" s="1564" t="s">
        <v>916</v>
      </c>
      <c r="D356" s="1540">
        <v>250000000</v>
      </c>
      <c r="E356" s="1593">
        <v>4.4999999999999998E-2</v>
      </c>
      <c r="F356" s="1540">
        <f t="shared" si="24"/>
        <v>11250000</v>
      </c>
      <c r="G356" s="1540">
        <v>11250000</v>
      </c>
      <c r="H356" s="1540" t="s">
        <v>2798</v>
      </c>
      <c r="I356" s="1566" t="s">
        <v>2805</v>
      </c>
      <c r="J356" s="21" t="s">
        <v>1502</v>
      </c>
      <c r="K356" s="1540">
        <f t="shared" si="27"/>
        <v>11250000</v>
      </c>
      <c r="L356" s="1540">
        <f t="shared" si="28"/>
        <v>0</v>
      </c>
      <c r="M356" s="1594"/>
    </row>
    <row r="357" spans="1:13" ht="30" customHeight="1" x14ac:dyDescent="0.2">
      <c r="A357" s="1533">
        <v>217</v>
      </c>
      <c r="B357" s="1594" t="s">
        <v>80</v>
      </c>
      <c r="C357" s="1595"/>
      <c r="D357" s="1565">
        <v>160000000</v>
      </c>
      <c r="E357" s="1593">
        <v>0.05</v>
      </c>
      <c r="F357" s="1565">
        <f t="shared" si="24"/>
        <v>8000000</v>
      </c>
      <c r="G357" s="1565"/>
      <c r="H357" s="1565"/>
      <c r="I357" s="1605"/>
      <c r="J357" s="1606" t="s">
        <v>2636</v>
      </c>
      <c r="K357" s="1565">
        <f>G357</f>
        <v>0</v>
      </c>
      <c r="L357" s="1565">
        <f t="shared" si="28"/>
        <v>8000000</v>
      </c>
      <c r="M357" s="1545"/>
    </row>
    <row r="358" spans="1:13" ht="30" customHeight="1" x14ac:dyDescent="0.2">
      <c r="A358" s="1596">
        <v>218</v>
      </c>
      <c r="B358" s="1532" t="s">
        <v>81</v>
      </c>
      <c r="C358" s="1564"/>
      <c r="D358" s="1540">
        <v>45000000</v>
      </c>
      <c r="E358" s="1537">
        <v>0.04</v>
      </c>
      <c r="F358" s="1540">
        <f t="shared" si="24"/>
        <v>1800000</v>
      </c>
      <c r="G358" s="1540">
        <v>1800000</v>
      </c>
      <c r="H358" s="1540" t="s">
        <v>2798</v>
      </c>
      <c r="I358" s="1566" t="s">
        <v>2802</v>
      </c>
      <c r="J358" s="70" t="s">
        <v>1798</v>
      </c>
      <c r="K358" s="1540">
        <f>G358</f>
        <v>1800000</v>
      </c>
      <c r="L358" s="1540">
        <f t="shared" si="28"/>
        <v>0</v>
      </c>
      <c r="M358" s="1594"/>
    </row>
    <row r="359" spans="1:13" ht="30" customHeight="1" x14ac:dyDescent="0.2">
      <c r="A359" s="1596">
        <v>219</v>
      </c>
      <c r="B359" s="1594" t="s">
        <v>1907</v>
      </c>
      <c r="C359" s="1564"/>
      <c r="D359" s="1550"/>
      <c r="E359" s="44"/>
      <c r="F359" s="1550">
        <f t="shared" si="24"/>
        <v>0</v>
      </c>
      <c r="G359" s="1540"/>
      <c r="H359" s="1540"/>
      <c r="I359" s="1566"/>
      <c r="J359" s="24"/>
      <c r="K359" s="1540"/>
      <c r="L359" s="1550">
        <f t="shared" si="28"/>
        <v>0</v>
      </c>
      <c r="M359" s="1594"/>
    </row>
    <row r="360" spans="1:13" ht="30" customHeight="1" x14ac:dyDescent="0.2">
      <c r="A360" s="1596">
        <v>220</v>
      </c>
      <c r="B360" s="1591" t="s">
        <v>83</v>
      </c>
      <c r="C360" s="385"/>
      <c r="D360" s="1538">
        <v>203000000</v>
      </c>
      <c r="E360" s="1536">
        <v>0.05</v>
      </c>
      <c r="F360" s="1538">
        <f t="shared" si="24"/>
        <v>10150000</v>
      </c>
      <c r="G360" s="1540">
        <v>10150000</v>
      </c>
      <c r="H360" s="1540" t="s">
        <v>2831</v>
      </c>
      <c r="I360" s="1566" t="s">
        <v>2904</v>
      </c>
      <c r="J360" s="24" t="s">
        <v>2905</v>
      </c>
      <c r="K360" s="1538">
        <f>G360</f>
        <v>10150000</v>
      </c>
      <c r="L360" s="1538">
        <f t="shared" si="28"/>
        <v>0</v>
      </c>
      <c r="M360" s="1594"/>
    </row>
    <row r="361" spans="1:13" ht="30" customHeight="1" x14ac:dyDescent="0.2">
      <c r="A361" s="1596">
        <v>221</v>
      </c>
      <c r="B361" s="1591" t="s">
        <v>332</v>
      </c>
      <c r="C361" s="385"/>
      <c r="D361" s="1538">
        <v>275000000</v>
      </c>
      <c r="E361" s="1536">
        <v>4.2000000000000003E-2</v>
      </c>
      <c r="F361" s="1538">
        <f>D361*E361</f>
        <v>11550000</v>
      </c>
      <c r="G361" s="1539">
        <v>11550000</v>
      </c>
      <c r="H361" s="1539" t="s">
        <v>2798</v>
      </c>
      <c r="I361" s="1569" t="s">
        <v>2814</v>
      </c>
      <c r="J361" s="427" t="s">
        <v>1752</v>
      </c>
      <c r="K361" s="1538">
        <f>G361</f>
        <v>11550000</v>
      </c>
      <c r="L361" s="1538">
        <f t="shared" si="28"/>
        <v>0</v>
      </c>
      <c r="M361" s="1557"/>
    </row>
    <row r="362" spans="1:13" ht="30" customHeight="1" x14ac:dyDescent="0.2">
      <c r="A362" s="426">
        <v>222</v>
      </c>
      <c r="B362" s="2029" t="s">
        <v>1935</v>
      </c>
      <c r="C362" s="2149" t="s">
        <v>1342</v>
      </c>
      <c r="D362" s="2040">
        <v>700000000</v>
      </c>
      <c r="E362" s="2037">
        <v>0.06</v>
      </c>
      <c r="F362" s="2040">
        <f>D362*E362</f>
        <v>42000000</v>
      </c>
      <c r="G362" s="1565">
        <v>5000000</v>
      </c>
      <c r="H362" s="1565" t="s">
        <v>3449</v>
      </c>
      <c r="I362" s="1589" t="s">
        <v>3502</v>
      </c>
      <c r="J362" s="1590" t="s">
        <v>3503</v>
      </c>
      <c r="K362" s="1565">
        <f>G362</f>
        <v>5000000</v>
      </c>
      <c r="L362" s="1565">
        <f>F362-K362</f>
        <v>37000000</v>
      </c>
      <c r="M362" s="168" t="s">
        <v>3739</v>
      </c>
    </row>
    <row r="363" spans="1:13" ht="30" customHeight="1" x14ac:dyDescent="0.2">
      <c r="A363" s="1613"/>
      <c r="B363" s="2030"/>
      <c r="C363" s="2150"/>
      <c r="D363" s="2042"/>
      <c r="E363" s="2039"/>
      <c r="F363" s="2042"/>
      <c r="G363" s="1540"/>
      <c r="H363" s="1540"/>
      <c r="I363" s="1586"/>
      <c r="J363" s="24"/>
      <c r="K363" s="1540"/>
      <c r="L363" s="1540"/>
      <c r="M363" s="168"/>
    </row>
    <row r="364" spans="1:13" ht="30" customHeight="1" x14ac:dyDescent="0.2">
      <c r="A364" s="1535">
        <v>223</v>
      </c>
      <c r="B364" s="1532" t="s">
        <v>85</v>
      </c>
      <c r="C364" s="1564" t="s">
        <v>1750</v>
      </c>
      <c r="D364" s="1540">
        <v>100000000</v>
      </c>
      <c r="E364" s="1537">
        <v>0.05</v>
      </c>
      <c r="F364" s="1540">
        <f t="shared" si="24"/>
        <v>5000000</v>
      </c>
      <c r="G364" s="1540">
        <v>5000000</v>
      </c>
      <c r="H364" s="1540" t="s">
        <v>2831</v>
      </c>
      <c r="I364" s="1566" t="s">
        <v>2901</v>
      </c>
      <c r="J364" s="24" t="s">
        <v>1983</v>
      </c>
      <c r="K364" s="1540">
        <f>G364</f>
        <v>5000000</v>
      </c>
      <c r="L364" s="1540">
        <f t="shared" si="28"/>
        <v>0</v>
      </c>
      <c r="M364" s="1594"/>
    </row>
    <row r="365" spans="1:13" ht="30" customHeight="1" x14ac:dyDescent="0.2">
      <c r="A365" s="1596">
        <v>224</v>
      </c>
      <c r="B365" s="1594" t="s">
        <v>2765</v>
      </c>
      <c r="C365" s="1564"/>
      <c r="D365" s="1540">
        <v>10000000</v>
      </c>
      <c r="E365" s="1593">
        <v>0.05</v>
      </c>
      <c r="F365" s="1540">
        <f t="shared" si="24"/>
        <v>500000</v>
      </c>
      <c r="G365" s="1540">
        <v>500000</v>
      </c>
      <c r="H365" s="1540" t="s">
        <v>2341</v>
      </c>
      <c r="I365" s="1566" t="s">
        <v>2766</v>
      </c>
      <c r="J365" s="24" t="s">
        <v>362</v>
      </c>
      <c r="K365" s="1540">
        <f>G365</f>
        <v>500000</v>
      </c>
      <c r="L365" s="1540">
        <f t="shared" si="28"/>
        <v>0</v>
      </c>
      <c r="M365" s="1594"/>
    </row>
    <row r="366" spans="1:13" ht="30" customHeight="1" x14ac:dyDescent="0.2">
      <c r="A366" s="1596">
        <v>225</v>
      </c>
      <c r="B366" s="1594" t="s">
        <v>87</v>
      </c>
      <c r="C366" s="1564"/>
      <c r="D366" s="1550"/>
      <c r="E366" s="44"/>
      <c r="F366" s="1550">
        <f t="shared" si="24"/>
        <v>0</v>
      </c>
      <c r="G366" s="1540"/>
      <c r="H366" s="1540"/>
      <c r="I366" s="1566"/>
      <c r="J366" s="21"/>
      <c r="K366" s="1540"/>
      <c r="L366" s="1550">
        <f t="shared" si="28"/>
        <v>0</v>
      </c>
      <c r="M366" s="103" t="s">
        <v>733</v>
      </c>
    </row>
    <row r="367" spans="1:13" ht="30" customHeight="1" x14ac:dyDescent="0.2">
      <c r="A367" s="1535">
        <v>226</v>
      </c>
      <c r="B367" s="1592" t="s">
        <v>88</v>
      </c>
      <c r="C367" s="1564"/>
      <c r="D367" s="1565">
        <v>410000000</v>
      </c>
      <c r="E367" s="1593">
        <v>0.06</v>
      </c>
      <c r="F367" s="1565">
        <f>D367*E367</f>
        <v>24600000</v>
      </c>
      <c r="G367" s="2192" t="s">
        <v>2594</v>
      </c>
      <c r="H367" s="2193"/>
      <c r="I367" s="2193"/>
      <c r="J367" s="2193"/>
      <c r="K367" s="2194"/>
      <c r="L367" s="1540"/>
      <c r="M367" s="1542"/>
    </row>
    <row r="368" spans="1:13" ht="30" customHeight="1" x14ac:dyDescent="0.2">
      <c r="A368" s="1596">
        <v>227</v>
      </c>
      <c r="B368" s="1594" t="s">
        <v>89</v>
      </c>
      <c r="C368" s="1564" t="s">
        <v>916</v>
      </c>
      <c r="D368" s="1540">
        <v>20000000</v>
      </c>
      <c r="E368" s="1593">
        <v>0.05</v>
      </c>
      <c r="F368" s="1540">
        <f>D368*E368</f>
        <v>1000000</v>
      </c>
      <c r="G368" s="1540">
        <v>1000000</v>
      </c>
      <c r="H368" s="1540" t="s">
        <v>2719</v>
      </c>
      <c r="I368" s="1566" t="s">
        <v>2744</v>
      </c>
      <c r="J368" s="21" t="s">
        <v>1508</v>
      </c>
      <c r="K368" s="1540">
        <f t="shared" ref="K368:K399" si="29">G368</f>
        <v>1000000</v>
      </c>
      <c r="L368" s="1540">
        <f t="shared" si="28"/>
        <v>0</v>
      </c>
      <c r="M368" s="1594"/>
    </row>
    <row r="369" spans="1:13" ht="30" customHeight="1" x14ac:dyDescent="0.2">
      <c r="A369" s="1596">
        <v>228</v>
      </c>
      <c r="B369" s="1594" t="s">
        <v>90</v>
      </c>
      <c r="C369" s="1564" t="s">
        <v>1219</v>
      </c>
      <c r="D369" s="1540">
        <v>10000000</v>
      </c>
      <c r="E369" s="1593">
        <v>0.04</v>
      </c>
      <c r="F369" s="1540">
        <f t="shared" si="24"/>
        <v>400000</v>
      </c>
      <c r="G369" s="1540">
        <v>400000</v>
      </c>
      <c r="H369" s="1540" t="s">
        <v>3271</v>
      </c>
      <c r="I369" s="1566" t="s">
        <v>3274</v>
      </c>
      <c r="J369" s="30" t="s">
        <v>426</v>
      </c>
      <c r="K369" s="1540">
        <f t="shared" si="29"/>
        <v>400000</v>
      </c>
      <c r="L369" s="1540">
        <f t="shared" si="28"/>
        <v>0</v>
      </c>
      <c r="M369" s="1594"/>
    </row>
    <row r="370" spans="1:13" ht="30" customHeight="1" x14ac:dyDescent="0.2">
      <c r="A370" s="1596">
        <v>229</v>
      </c>
      <c r="B370" s="1594" t="s">
        <v>91</v>
      </c>
      <c r="C370" s="1564" t="s">
        <v>916</v>
      </c>
      <c r="D370" s="1540">
        <v>52000000</v>
      </c>
      <c r="E370" s="1593">
        <v>0.05</v>
      </c>
      <c r="F370" s="1540">
        <f t="shared" si="24"/>
        <v>2600000</v>
      </c>
      <c r="G370" s="1540">
        <v>2600000</v>
      </c>
      <c r="H370" s="1540" t="s">
        <v>2831</v>
      </c>
      <c r="I370" s="1566" t="s">
        <v>2893</v>
      </c>
      <c r="J370" s="24" t="s">
        <v>390</v>
      </c>
      <c r="K370" s="1540">
        <f t="shared" si="29"/>
        <v>2600000</v>
      </c>
      <c r="L370" s="1540">
        <f t="shared" si="28"/>
        <v>0</v>
      </c>
      <c r="M370" s="1594"/>
    </row>
    <row r="371" spans="1:13" ht="30" customHeight="1" x14ac:dyDescent="0.2">
      <c r="A371" s="1596">
        <v>230</v>
      </c>
      <c r="B371" s="2029" t="s">
        <v>92</v>
      </c>
      <c r="C371" s="1563" t="s">
        <v>1821</v>
      </c>
      <c r="D371" s="1540">
        <v>20000000</v>
      </c>
      <c r="E371" s="1593">
        <v>0.05</v>
      </c>
      <c r="F371" s="1540">
        <f t="shared" si="24"/>
        <v>1000000</v>
      </c>
      <c r="G371" s="1540">
        <v>1000000</v>
      </c>
      <c r="H371" s="1540" t="s">
        <v>2855</v>
      </c>
      <c r="I371" s="1566" t="s">
        <v>2925</v>
      </c>
      <c r="J371" s="24" t="s">
        <v>459</v>
      </c>
      <c r="K371" s="1540">
        <f t="shared" si="29"/>
        <v>1000000</v>
      </c>
      <c r="L371" s="1540">
        <f t="shared" si="28"/>
        <v>0</v>
      </c>
      <c r="M371" s="1594"/>
    </row>
    <row r="372" spans="1:13" ht="30" customHeight="1" x14ac:dyDescent="0.2">
      <c r="A372" s="1596"/>
      <c r="B372" s="2030"/>
      <c r="C372" s="759"/>
      <c r="D372" s="1540">
        <v>30000000</v>
      </c>
      <c r="E372" s="1593">
        <v>0.05</v>
      </c>
      <c r="F372" s="1540">
        <f t="shared" si="24"/>
        <v>1500000</v>
      </c>
      <c r="G372" s="2254" t="s">
        <v>3049</v>
      </c>
      <c r="H372" s="2255"/>
      <c r="I372" s="2255"/>
      <c r="J372" s="2255"/>
      <c r="K372" s="2256"/>
      <c r="L372" s="1540"/>
      <c r="M372" s="1594"/>
    </row>
    <row r="373" spans="1:13" ht="30" customHeight="1" x14ac:dyDescent="0.2">
      <c r="A373" s="1596">
        <v>231</v>
      </c>
      <c r="B373" s="1594" t="s">
        <v>93</v>
      </c>
      <c r="C373" s="1564" t="s">
        <v>1110</v>
      </c>
      <c r="D373" s="1540">
        <v>30000000</v>
      </c>
      <c r="E373" s="1593">
        <v>4.4999999999999998E-2</v>
      </c>
      <c r="F373" s="1540">
        <f t="shared" si="24"/>
        <v>1350000</v>
      </c>
      <c r="G373" s="1540">
        <v>1350000</v>
      </c>
      <c r="H373" s="1540" t="s">
        <v>2798</v>
      </c>
      <c r="I373" s="1566" t="s">
        <v>2811</v>
      </c>
      <c r="J373" s="30" t="s">
        <v>1850</v>
      </c>
      <c r="K373" s="1540">
        <f t="shared" si="29"/>
        <v>1350000</v>
      </c>
      <c r="L373" s="1540">
        <f t="shared" si="28"/>
        <v>0</v>
      </c>
      <c r="M373" s="1594"/>
    </row>
    <row r="374" spans="1:13" ht="30" customHeight="1" x14ac:dyDescent="0.2">
      <c r="A374" s="1596">
        <v>232</v>
      </c>
      <c r="B374" s="1594" t="s">
        <v>1699</v>
      </c>
      <c r="C374" s="1564" t="s">
        <v>1215</v>
      </c>
      <c r="D374" s="1540">
        <v>55000000</v>
      </c>
      <c r="E374" s="1593">
        <v>0.04</v>
      </c>
      <c r="F374" s="1540">
        <f t="shared" si="24"/>
        <v>2200000</v>
      </c>
      <c r="G374" s="1540">
        <v>2200000</v>
      </c>
      <c r="H374" s="1540" t="s">
        <v>2719</v>
      </c>
      <c r="I374" s="1566" t="s">
        <v>2720</v>
      </c>
      <c r="J374" s="24" t="s">
        <v>1701</v>
      </c>
      <c r="K374" s="1540">
        <f t="shared" si="29"/>
        <v>2200000</v>
      </c>
      <c r="L374" s="1540">
        <f t="shared" si="28"/>
        <v>0</v>
      </c>
      <c r="M374" s="1594"/>
    </row>
    <row r="375" spans="1:13" ht="30" customHeight="1" x14ac:dyDescent="0.2">
      <c r="A375" s="1596">
        <v>233</v>
      </c>
      <c r="B375" s="1594" t="s">
        <v>280</v>
      </c>
      <c r="C375" s="1564" t="s">
        <v>380</v>
      </c>
      <c r="D375" s="1540">
        <v>50000000</v>
      </c>
      <c r="E375" s="1593">
        <v>0.05</v>
      </c>
      <c r="F375" s="1540">
        <f t="shared" si="24"/>
        <v>2500000</v>
      </c>
      <c r="G375" s="1540">
        <v>2500000</v>
      </c>
      <c r="H375" s="1540" t="s">
        <v>2945</v>
      </c>
      <c r="I375" s="1566" t="s">
        <v>2958</v>
      </c>
      <c r="J375" s="24" t="s">
        <v>1991</v>
      </c>
      <c r="K375" s="1540">
        <f t="shared" si="29"/>
        <v>2500000</v>
      </c>
      <c r="L375" s="1540">
        <f t="shared" si="28"/>
        <v>0</v>
      </c>
      <c r="M375" s="170" t="s">
        <v>279</v>
      </c>
    </row>
    <row r="376" spans="1:13" ht="30" customHeight="1" x14ac:dyDescent="0.2">
      <c r="A376" s="1596">
        <v>234</v>
      </c>
      <c r="B376" s="1591" t="s">
        <v>95</v>
      </c>
      <c r="C376" s="421"/>
      <c r="D376" s="1554"/>
      <c r="E376" s="44"/>
      <c r="F376" s="1565">
        <v>21000000</v>
      </c>
      <c r="G376" s="1565">
        <v>21000000</v>
      </c>
      <c r="H376" s="1565" t="s">
        <v>2040</v>
      </c>
      <c r="I376" s="1589" t="s">
        <v>3003</v>
      </c>
      <c r="J376" s="1590" t="s">
        <v>518</v>
      </c>
      <c r="K376" s="1565">
        <f t="shared" si="29"/>
        <v>21000000</v>
      </c>
      <c r="L376" s="1540">
        <f t="shared" si="28"/>
        <v>0</v>
      </c>
      <c r="M376" s="1583"/>
    </row>
    <row r="377" spans="1:13" ht="30" customHeight="1" x14ac:dyDescent="0.2">
      <c r="A377" s="1596">
        <v>235</v>
      </c>
      <c r="B377" s="1594" t="s">
        <v>96</v>
      </c>
      <c r="C377" s="1564" t="s">
        <v>1215</v>
      </c>
      <c r="D377" s="1540">
        <v>50000000</v>
      </c>
      <c r="E377" s="1537">
        <v>0.04</v>
      </c>
      <c r="F377" s="1540">
        <f t="shared" si="24"/>
        <v>2000000</v>
      </c>
      <c r="G377" s="1540">
        <v>2000000</v>
      </c>
      <c r="H377" s="1540" t="s">
        <v>2040</v>
      </c>
      <c r="I377" s="1566" t="s">
        <v>2985</v>
      </c>
      <c r="J377" s="24" t="s">
        <v>2986</v>
      </c>
      <c r="K377" s="1540">
        <f t="shared" si="29"/>
        <v>2000000</v>
      </c>
      <c r="L377" s="1540">
        <f t="shared" si="28"/>
        <v>0</v>
      </c>
      <c r="M377" s="1594"/>
    </row>
    <row r="378" spans="1:13" ht="30" customHeight="1" x14ac:dyDescent="0.2">
      <c r="A378" s="1596">
        <v>236</v>
      </c>
      <c r="B378" s="1594" t="s">
        <v>97</v>
      </c>
      <c r="C378" s="1564"/>
      <c r="D378" s="1540">
        <v>37000000</v>
      </c>
      <c r="E378" s="1593">
        <v>4.1000000000000002E-2</v>
      </c>
      <c r="F378" s="1540">
        <v>1500000</v>
      </c>
      <c r="G378" s="1540"/>
      <c r="H378" s="1540"/>
      <c r="I378" s="1566"/>
      <c r="J378" s="1568" t="s">
        <v>340</v>
      </c>
      <c r="K378" s="1540">
        <f t="shared" si="29"/>
        <v>0</v>
      </c>
      <c r="L378" s="1540">
        <f t="shared" si="28"/>
        <v>1500000</v>
      </c>
      <c r="M378" s="1594"/>
    </row>
    <row r="379" spans="1:13" ht="30" customHeight="1" x14ac:dyDescent="0.2">
      <c r="A379" s="1596">
        <v>237</v>
      </c>
      <c r="B379" s="1594" t="s">
        <v>98</v>
      </c>
      <c r="C379" s="1564" t="s">
        <v>1821</v>
      </c>
      <c r="D379" s="1540">
        <v>62500000</v>
      </c>
      <c r="E379" s="1593">
        <v>4.8000000000000001E-2</v>
      </c>
      <c r="F379" s="1540">
        <f t="shared" si="24"/>
        <v>3000000</v>
      </c>
      <c r="G379" s="1540">
        <v>3000000</v>
      </c>
      <c r="H379" s="1540" t="s">
        <v>2855</v>
      </c>
      <c r="I379" s="1566" t="s">
        <v>2927</v>
      </c>
      <c r="J379" s="24" t="s">
        <v>2284</v>
      </c>
      <c r="K379" s="1540">
        <f t="shared" si="29"/>
        <v>3000000</v>
      </c>
      <c r="L379" s="1540">
        <f t="shared" si="28"/>
        <v>0</v>
      </c>
      <c r="M379" s="1594"/>
    </row>
    <row r="380" spans="1:13" ht="30" customHeight="1" x14ac:dyDescent="0.2">
      <c r="A380" s="1596">
        <v>238</v>
      </c>
      <c r="B380" s="1594" t="s">
        <v>99</v>
      </c>
      <c r="C380" s="1564" t="s">
        <v>1219</v>
      </c>
      <c r="D380" s="1540">
        <v>100000000</v>
      </c>
      <c r="E380" s="1593">
        <v>0.05</v>
      </c>
      <c r="F380" s="1540">
        <f t="shared" si="24"/>
        <v>5000000</v>
      </c>
      <c r="G380" s="1540">
        <v>5000000</v>
      </c>
      <c r="H380" s="1540" t="s">
        <v>2945</v>
      </c>
      <c r="I380" s="21">
        <v>1.4010512054203199E+19</v>
      </c>
      <c r="J380" s="21" t="s">
        <v>306</v>
      </c>
      <c r="K380" s="1540">
        <f t="shared" si="29"/>
        <v>5000000</v>
      </c>
      <c r="L380" s="1540">
        <f t="shared" si="28"/>
        <v>0</v>
      </c>
      <c r="M380" s="1594"/>
    </row>
    <row r="381" spans="1:13" ht="30" customHeight="1" x14ac:dyDescent="0.2">
      <c r="A381" s="1596">
        <v>239</v>
      </c>
      <c r="B381" s="1594" t="s">
        <v>100</v>
      </c>
      <c r="C381" s="1564" t="s">
        <v>380</v>
      </c>
      <c r="D381" s="1540">
        <v>50000000</v>
      </c>
      <c r="E381" s="1593">
        <v>0.05</v>
      </c>
      <c r="F381" s="1540">
        <f t="shared" si="24"/>
        <v>2500000</v>
      </c>
      <c r="G381" s="1540">
        <v>2500000</v>
      </c>
      <c r="H381" s="1540" t="s">
        <v>3020</v>
      </c>
      <c r="I381" s="1566" t="s">
        <v>3105</v>
      </c>
      <c r="J381" s="24" t="s">
        <v>2000</v>
      </c>
      <c r="K381" s="1540">
        <f t="shared" si="29"/>
        <v>2500000</v>
      </c>
      <c r="L381" s="1540">
        <f t="shared" si="28"/>
        <v>0</v>
      </c>
      <c r="M381" s="1594"/>
    </row>
    <row r="382" spans="1:13" ht="30" customHeight="1" x14ac:dyDescent="0.2">
      <c r="A382" s="1533">
        <v>240</v>
      </c>
      <c r="B382" s="1591" t="s">
        <v>2408</v>
      </c>
      <c r="C382" s="385" t="s">
        <v>1019</v>
      </c>
      <c r="D382" s="1538">
        <v>100000000</v>
      </c>
      <c r="E382" s="1536">
        <v>0.04</v>
      </c>
      <c r="F382" s="1538">
        <f t="shared" si="24"/>
        <v>4000000</v>
      </c>
      <c r="G382" s="1540">
        <v>4000000</v>
      </c>
      <c r="H382" s="1540" t="s">
        <v>3371</v>
      </c>
      <c r="I382" s="1566" t="s">
        <v>3385</v>
      </c>
      <c r="J382" s="24" t="s">
        <v>3386</v>
      </c>
      <c r="K382" s="1540">
        <f t="shared" si="29"/>
        <v>4000000</v>
      </c>
      <c r="L382" s="1540">
        <f t="shared" si="28"/>
        <v>0</v>
      </c>
      <c r="M382" s="103"/>
    </row>
    <row r="383" spans="1:13" ht="30" customHeight="1" x14ac:dyDescent="0.2">
      <c r="A383" s="2268">
        <v>241</v>
      </c>
      <c r="B383" s="2267" t="s">
        <v>573</v>
      </c>
      <c r="C383" s="2266" t="s">
        <v>1378</v>
      </c>
      <c r="D383" s="1565">
        <v>20000000</v>
      </c>
      <c r="E383" s="1593">
        <v>7.0000000000000007E-2</v>
      </c>
      <c r="F383" s="1565">
        <f>D383*E383</f>
        <v>1400000.0000000002</v>
      </c>
      <c r="G383" s="2040">
        <v>2300000</v>
      </c>
      <c r="H383" s="2040" t="s">
        <v>3333</v>
      </c>
      <c r="I383" s="2159" t="s">
        <v>3350</v>
      </c>
      <c r="J383" s="102" t="s">
        <v>571</v>
      </c>
      <c r="K383" s="2040">
        <f t="shared" si="29"/>
        <v>2300000</v>
      </c>
      <c r="L383" s="2040">
        <f>(F383+F384)-K383</f>
        <v>0</v>
      </c>
      <c r="M383" s="2237"/>
    </row>
    <row r="384" spans="1:13" ht="30" customHeight="1" x14ac:dyDescent="0.2">
      <c r="A384" s="2268"/>
      <c r="B384" s="2267"/>
      <c r="C384" s="2266"/>
      <c r="D384" s="1565">
        <v>10000000</v>
      </c>
      <c r="E384" s="1593">
        <v>0.09</v>
      </c>
      <c r="F384" s="1565">
        <f>D384*E384</f>
        <v>900000</v>
      </c>
      <c r="G384" s="2042"/>
      <c r="H384" s="2042"/>
      <c r="I384" s="2160"/>
      <c r="J384" s="102" t="s">
        <v>571</v>
      </c>
      <c r="K384" s="2042"/>
      <c r="L384" s="2042"/>
      <c r="M384" s="2129"/>
    </row>
    <row r="385" spans="1:16" ht="30" customHeight="1" x14ac:dyDescent="0.2">
      <c r="A385" s="1596">
        <v>242</v>
      </c>
      <c r="B385" s="1594" t="s">
        <v>102</v>
      </c>
      <c r="C385" s="1564"/>
      <c r="D385" s="1540">
        <v>100000000</v>
      </c>
      <c r="E385" s="1537">
        <v>4.4999999999999998E-2</v>
      </c>
      <c r="F385" s="1540">
        <f t="shared" si="24"/>
        <v>4500000</v>
      </c>
      <c r="G385" s="1540">
        <v>6300000</v>
      </c>
      <c r="H385" s="1540" t="s">
        <v>2798</v>
      </c>
      <c r="I385" s="1566" t="s">
        <v>2812</v>
      </c>
      <c r="J385" s="24" t="s">
        <v>1763</v>
      </c>
      <c r="K385" s="1540">
        <f t="shared" si="29"/>
        <v>6300000</v>
      </c>
      <c r="L385" s="1540">
        <f t="shared" si="28"/>
        <v>-1800000</v>
      </c>
      <c r="M385" s="1089" t="s">
        <v>2209</v>
      </c>
    </row>
    <row r="386" spans="1:16" ht="30" customHeight="1" x14ac:dyDescent="0.2">
      <c r="A386" s="1596">
        <v>243</v>
      </c>
      <c r="B386" s="22" t="s">
        <v>519</v>
      </c>
      <c r="C386" s="1595" t="s">
        <v>265</v>
      </c>
      <c r="D386" s="1565">
        <v>20000000</v>
      </c>
      <c r="E386" s="1593">
        <v>0.04</v>
      </c>
      <c r="F386" s="1565">
        <f>D386*E386</f>
        <v>800000</v>
      </c>
      <c r="G386" s="1565">
        <v>1000000</v>
      </c>
      <c r="H386" s="1565" t="s">
        <v>2040</v>
      </c>
      <c r="I386" s="1565">
        <v>659348823335</v>
      </c>
      <c r="J386" s="1565" t="s">
        <v>2016</v>
      </c>
      <c r="K386" s="1565">
        <f t="shared" si="29"/>
        <v>1000000</v>
      </c>
      <c r="L386" s="1565">
        <f>F386-K386</f>
        <v>-200000</v>
      </c>
      <c r="M386" s="103"/>
      <c r="N386" s="264"/>
      <c r="O386" s="264"/>
    </row>
    <row r="387" spans="1:16" ht="30" customHeight="1" x14ac:dyDescent="0.2">
      <c r="A387" s="1596">
        <v>244</v>
      </c>
      <c r="B387" s="1532" t="s">
        <v>103</v>
      </c>
      <c r="C387" s="1564"/>
      <c r="D387" s="1540">
        <v>50000000</v>
      </c>
      <c r="E387" s="1593">
        <v>0.05</v>
      </c>
      <c r="F387" s="1540">
        <f t="shared" ref="F387:F406" si="30">D387*E387</f>
        <v>2500000</v>
      </c>
      <c r="G387" s="1540">
        <v>2500000</v>
      </c>
      <c r="H387" s="1540" t="s">
        <v>3060</v>
      </c>
      <c r="I387" s="1566" t="s">
        <v>3068</v>
      </c>
      <c r="J387" s="24" t="s">
        <v>310</v>
      </c>
      <c r="K387" s="1540">
        <f t="shared" si="29"/>
        <v>2500000</v>
      </c>
      <c r="L387" s="1540">
        <f t="shared" si="28"/>
        <v>0</v>
      </c>
      <c r="M387" s="1594"/>
    </row>
    <row r="388" spans="1:16" ht="30" customHeight="1" x14ac:dyDescent="0.2">
      <c r="A388" s="1596">
        <v>245</v>
      </c>
      <c r="B388" s="1594" t="s">
        <v>320</v>
      </c>
      <c r="C388" s="1564" t="s">
        <v>265</v>
      </c>
      <c r="D388" s="1540">
        <v>60000000</v>
      </c>
      <c r="E388" s="1593">
        <v>0.05</v>
      </c>
      <c r="F388" s="1540">
        <f t="shared" si="30"/>
        <v>3000000</v>
      </c>
      <c r="G388" s="1540">
        <v>3000000</v>
      </c>
      <c r="H388" s="1540" t="s">
        <v>2855</v>
      </c>
      <c r="I388" s="1566" t="s">
        <v>2926</v>
      </c>
      <c r="J388" s="1567" t="s">
        <v>2050</v>
      </c>
      <c r="K388" s="1540">
        <f t="shared" si="29"/>
        <v>3000000</v>
      </c>
      <c r="L388" s="1540">
        <f t="shared" si="28"/>
        <v>0</v>
      </c>
      <c r="M388" s="1594"/>
    </row>
    <row r="389" spans="1:16" ht="30" customHeight="1" x14ac:dyDescent="0.2">
      <c r="A389" s="1596">
        <v>246</v>
      </c>
      <c r="B389" s="1594" t="s">
        <v>105</v>
      </c>
      <c r="C389" s="1564" t="s">
        <v>265</v>
      </c>
      <c r="D389" s="1540">
        <v>85000000</v>
      </c>
      <c r="E389" s="1593">
        <v>5.0999999999999997E-2</v>
      </c>
      <c r="F389" s="1540">
        <v>4300000</v>
      </c>
      <c r="G389" s="1540">
        <v>4300000</v>
      </c>
      <c r="H389" s="1540" t="s">
        <v>2040</v>
      </c>
      <c r="I389" s="1566" t="s">
        <v>3005</v>
      </c>
      <c r="J389" s="31" t="s">
        <v>3006</v>
      </c>
      <c r="K389" s="1540">
        <f t="shared" si="29"/>
        <v>4300000</v>
      </c>
      <c r="L389" s="1540">
        <f t="shared" si="28"/>
        <v>0</v>
      </c>
      <c r="M389" s="1594"/>
    </row>
    <row r="390" spans="1:16" ht="30" customHeight="1" x14ac:dyDescent="0.2">
      <c r="A390" s="1596">
        <v>247</v>
      </c>
      <c r="B390" s="1594" t="s">
        <v>106</v>
      </c>
      <c r="C390" s="1564"/>
      <c r="D390" s="1540">
        <v>220000000</v>
      </c>
      <c r="E390" s="1593">
        <v>7.0000000000000007E-2</v>
      </c>
      <c r="F390" s="1540">
        <f t="shared" si="30"/>
        <v>15400000.000000002</v>
      </c>
      <c r="G390" s="1540">
        <v>15400000</v>
      </c>
      <c r="H390" s="1540" t="s">
        <v>3018</v>
      </c>
      <c r="I390" s="1572" t="s">
        <v>3095</v>
      </c>
      <c r="J390" s="24" t="s">
        <v>1886</v>
      </c>
      <c r="K390" s="1540">
        <f t="shared" si="29"/>
        <v>15400000</v>
      </c>
      <c r="L390" s="1540">
        <f t="shared" si="28"/>
        <v>0</v>
      </c>
      <c r="M390" s="103" t="s">
        <v>347</v>
      </c>
      <c r="N390" s="921"/>
      <c r="O390" s="922"/>
    </row>
    <row r="391" spans="1:16" ht="30" customHeight="1" x14ac:dyDescent="0.2">
      <c r="A391" s="1596">
        <v>248</v>
      </c>
      <c r="B391" s="1594" t="s">
        <v>107</v>
      </c>
      <c r="C391" s="1564" t="s">
        <v>1215</v>
      </c>
      <c r="D391" s="1540">
        <v>95000000</v>
      </c>
      <c r="E391" s="1593">
        <v>4.4999999999999998E-2</v>
      </c>
      <c r="F391" s="1540">
        <v>4000000</v>
      </c>
      <c r="G391" s="1540">
        <v>4000000</v>
      </c>
      <c r="H391" s="1540" t="s">
        <v>2855</v>
      </c>
      <c r="I391" s="1566" t="s">
        <v>2935</v>
      </c>
      <c r="J391" s="24" t="s">
        <v>2936</v>
      </c>
      <c r="K391" s="1540">
        <f t="shared" si="29"/>
        <v>4000000</v>
      </c>
      <c r="L391" s="1540">
        <f t="shared" si="28"/>
        <v>0</v>
      </c>
      <c r="M391" s="1594"/>
    </row>
    <row r="392" spans="1:16" ht="30" customHeight="1" x14ac:dyDescent="0.2">
      <c r="A392" s="1596">
        <v>249</v>
      </c>
      <c r="B392" s="1594" t="s">
        <v>108</v>
      </c>
      <c r="C392" s="1564" t="s">
        <v>265</v>
      </c>
      <c r="D392" s="1540">
        <v>10000000</v>
      </c>
      <c r="E392" s="1593">
        <v>0.05</v>
      </c>
      <c r="F392" s="1540">
        <f t="shared" si="30"/>
        <v>500000</v>
      </c>
      <c r="G392" s="1540">
        <v>500000</v>
      </c>
      <c r="H392" s="1540" t="s">
        <v>3041</v>
      </c>
      <c r="I392" s="1566" t="s">
        <v>3141</v>
      </c>
      <c r="J392" s="30" t="s">
        <v>413</v>
      </c>
      <c r="K392" s="1540">
        <f t="shared" si="29"/>
        <v>500000</v>
      </c>
      <c r="L392" s="1540">
        <f t="shared" si="28"/>
        <v>0</v>
      </c>
      <c r="M392" s="1594"/>
    </row>
    <row r="393" spans="1:16" ht="30" customHeight="1" x14ac:dyDescent="0.2">
      <c r="A393" s="1596">
        <v>250</v>
      </c>
      <c r="B393" s="1594" t="s">
        <v>109</v>
      </c>
      <c r="C393" s="1564"/>
      <c r="D393" s="1540">
        <v>200000000</v>
      </c>
      <c r="E393" s="1593">
        <v>0.04</v>
      </c>
      <c r="F393" s="1540">
        <f t="shared" si="30"/>
        <v>8000000</v>
      </c>
      <c r="G393" s="1540">
        <v>8000000</v>
      </c>
      <c r="H393" s="1540" t="s">
        <v>2816</v>
      </c>
      <c r="I393" s="1586" t="s">
        <v>2845</v>
      </c>
      <c r="J393" s="1586" t="s">
        <v>2846</v>
      </c>
      <c r="K393" s="1540">
        <f t="shared" si="29"/>
        <v>8000000</v>
      </c>
      <c r="L393" s="1540">
        <f t="shared" si="28"/>
        <v>0</v>
      </c>
      <c r="M393" s="1594"/>
    </row>
    <row r="394" spans="1:16" ht="30" customHeight="1" x14ac:dyDescent="0.2">
      <c r="A394" s="2031">
        <v>251</v>
      </c>
      <c r="B394" s="2029" t="s">
        <v>1948</v>
      </c>
      <c r="C394" s="2149"/>
      <c r="D394" s="1550"/>
      <c r="E394" s="44"/>
      <c r="F394" s="1550">
        <f t="shared" si="30"/>
        <v>0</v>
      </c>
      <c r="G394" s="1540">
        <v>5400000</v>
      </c>
      <c r="H394" s="1540" t="s">
        <v>2040</v>
      </c>
      <c r="I394" s="1572" t="s">
        <v>2979</v>
      </c>
      <c r="J394" s="24" t="s">
        <v>2980</v>
      </c>
      <c r="K394" s="1540">
        <f t="shared" si="29"/>
        <v>5400000</v>
      </c>
      <c r="L394" s="1550">
        <f t="shared" si="28"/>
        <v>-5400000</v>
      </c>
      <c r="M394" s="1594"/>
    </row>
    <row r="395" spans="1:16" ht="30" customHeight="1" x14ac:dyDescent="0.2">
      <c r="A395" s="2032"/>
      <c r="B395" s="2030"/>
      <c r="C395" s="2150"/>
      <c r="D395" s="1550"/>
      <c r="E395" s="44"/>
      <c r="F395" s="1550"/>
      <c r="G395" s="2200" t="s">
        <v>3481</v>
      </c>
      <c r="H395" s="2201"/>
      <c r="I395" s="2201"/>
      <c r="J395" s="2201"/>
      <c r="K395" s="2202"/>
      <c r="L395" s="1550"/>
      <c r="M395" s="1530"/>
    </row>
    <row r="396" spans="1:16" ht="30" customHeight="1" x14ac:dyDescent="0.2">
      <c r="A396" s="1596">
        <v>252</v>
      </c>
      <c r="B396" s="1594" t="s">
        <v>111</v>
      </c>
      <c r="C396" s="1564"/>
      <c r="D396" s="1540">
        <v>270000000</v>
      </c>
      <c r="E396" s="1593">
        <v>0.05</v>
      </c>
      <c r="F396" s="1540">
        <f>D396*E396</f>
        <v>13500000</v>
      </c>
      <c r="G396" s="1540">
        <v>13500000</v>
      </c>
      <c r="H396" s="1540" t="s">
        <v>2855</v>
      </c>
      <c r="I396" s="1572" t="s">
        <v>2938</v>
      </c>
      <c r="J396" s="24" t="s">
        <v>1927</v>
      </c>
      <c r="K396" s="1540">
        <f t="shared" si="29"/>
        <v>13500000</v>
      </c>
      <c r="L396" s="1540">
        <f t="shared" si="28"/>
        <v>0</v>
      </c>
      <c r="M396" s="1530"/>
    </row>
    <row r="397" spans="1:16" ht="30" customHeight="1" x14ac:dyDescent="0.2">
      <c r="A397" s="2031">
        <v>253</v>
      </c>
      <c r="B397" s="2029" t="s">
        <v>112</v>
      </c>
      <c r="C397" s="2149" t="s">
        <v>265</v>
      </c>
      <c r="D397" s="1540">
        <v>20000000</v>
      </c>
      <c r="E397" s="1593">
        <v>0.05</v>
      </c>
      <c r="F397" s="1540">
        <f t="shared" si="30"/>
        <v>1000000</v>
      </c>
      <c r="G397" s="2040">
        <v>2000000</v>
      </c>
      <c r="H397" s="2040" t="s">
        <v>2855</v>
      </c>
      <c r="I397" s="2159" t="s">
        <v>2931</v>
      </c>
      <c r="J397" s="2171" t="s">
        <v>836</v>
      </c>
      <c r="K397" s="2040">
        <f t="shared" si="29"/>
        <v>2000000</v>
      </c>
      <c r="L397" s="2040">
        <f>(F397+F398)-K397</f>
        <v>0</v>
      </c>
      <c r="M397" s="1594" t="s">
        <v>1979</v>
      </c>
      <c r="N397" s="1243"/>
      <c r="O397" s="1243"/>
      <c r="P397" s="1243"/>
    </row>
    <row r="398" spans="1:16" ht="30" customHeight="1" x14ac:dyDescent="0.2">
      <c r="A398" s="2032"/>
      <c r="B398" s="2030"/>
      <c r="C398" s="2150"/>
      <c r="D398" s="1540">
        <v>20000000</v>
      </c>
      <c r="E398" s="1593">
        <v>0.05</v>
      </c>
      <c r="F398" s="1540">
        <f t="shared" si="30"/>
        <v>1000000</v>
      </c>
      <c r="G398" s="2042"/>
      <c r="H398" s="2042"/>
      <c r="I398" s="2160"/>
      <c r="J398" s="2173"/>
      <c r="K398" s="2042"/>
      <c r="L398" s="2042"/>
      <c r="M398" s="1242" t="s">
        <v>1993</v>
      </c>
      <c r="N398" s="264"/>
      <c r="O398" s="264"/>
      <c r="P398" s="264"/>
    </row>
    <row r="399" spans="1:16" ht="30" customHeight="1" x14ac:dyDescent="0.2">
      <c r="A399" s="426">
        <v>254</v>
      </c>
      <c r="B399" s="1591" t="s">
        <v>2017</v>
      </c>
      <c r="C399" s="1595"/>
      <c r="D399" s="1540">
        <v>195000000</v>
      </c>
      <c r="E399" s="1593">
        <v>0.05</v>
      </c>
      <c r="F399" s="1540">
        <f t="shared" si="30"/>
        <v>9750000</v>
      </c>
      <c r="G399" s="1565">
        <v>9750000</v>
      </c>
      <c r="H399" s="1565" t="s">
        <v>3060</v>
      </c>
      <c r="I399" s="1565">
        <v>105141609378571</v>
      </c>
      <c r="J399" s="1565" t="s">
        <v>3090</v>
      </c>
      <c r="K399" s="1540">
        <f t="shared" si="29"/>
        <v>9750000</v>
      </c>
      <c r="L399" s="1540">
        <f>F399-K399</f>
        <v>0</v>
      </c>
      <c r="M399" s="2192" t="s">
        <v>2333</v>
      </c>
      <c r="N399" s="2193"/>
      <c r="O399" s="2193"/>
      <c r="P399" s="2193"/>
    </row>
    <row r="400" spans="1:16" ht="30" customHeight="1" x14ac:dyDescent="0.2">
      <c r="A400" s="1596">
        <v>255</v>
      </c>
      <c r="B400" s="1594" t="s">
        <v>115</v>
      </c>
      <c r="C400" s="1564" t="s">
        <v>265</v>
      </c>
      <c r="D400" s="1540">
        <v>40000000</v>
      </c>
      <c r="E400" s="1593">
        <v>0.05</v>
      </c>
      <c r="F400" s="1540">
        <f t="shared" si="30"/>
        <v>2000000</v>
      </c>
      <c r="G400" s="1540">
        <v>2000000</v>
      </c>
      <c r="H400" s="1540" t="s">
        <v>3020</v>
      </c>
      <c r="I400" s="1566" t="s">
        <v>3104</v>
      </c>
      <c r="J400" s="21" t="s">
        <v>349</v>
      </c>
      <c r="K400" s="1540">
        <f>G400</f>
        <v>2000000</v>
      </c>
      <c r="L400" s="1540">
        <f t="shared" si="28"/>
        <v>0</v>
      </c>
      <c r="M400" s="1594"/>
    </row>
    <row r="401" spans="1:13" ht="30" customHeight="1" x14ac:dyDescent="0.2">
      <c r="A401" s="1596">
        <v>256</v>
      </c>
      <c r="B401" s="1594" t="s">
        <v>116</v>
      </c>
      <c r="C401" s="1564" t="s">
        <v>379</v>
      </c>
      <c r="D401" s="1540">
        <v>100000000</v>
      </c>
      <c r="E401" s="1593">
        <v>0.05</v>
      </c>
      <c r="F401" s="1540">
        <f t="shared" si="30"/>
        <v>5000000</v>
      </c>
      <c r="G401" s="1540">
        <v>5000000</v>
      </c>
      <c r="H401" s="1540" t="s">
        <v>2945</v>
      </c>
      <c r="I401" s="1566" t="s">
        <v>2953</v>
      </c>
      <c r="J401" s="21" t="s">
        <v>1947</v>
      </c>
      <c r="K401" s="1540">
        <f>G401</f>
        <v>5000000</v>
      </c>
      <c r="L401" s="1540">
        <f t="shared" si="28"/>
        <v>0</v>
      </c>
      <c r="M401" s="1594"/>
    </row>
    <row r="402" spans="1:13" ht="30" customHeight="1" x14ac:dyDescent="0.2">
      <c r="A402" s="1596">
        <v>257</v>
      </c>
      <c r="B402" s="1594" t="s">
        <v>117</v>
      </c>
      <c r="C402" s="1564" t="s">
        <v>1347</v>
      </c>
      <c r="D402" s="1540">
        <v>30000000</v>
      </c>
      <c r="E402" s="1593">
        <v>0.05</v>
      </c>
      <c r="F402" s="1540">
        <f t="shared" si="30"/>
        <v>1500000</v>
      </c>
      <c r="G402" s="1540">
        <v>1500000</v>
      </c>
      <c r="H402" s="1540" t="s">
        <v>3109</v>
      </c>
      <c r="I402" s="1566" t="s">
        <v>3119</v>
      </c>
      <c r="J402" s="24" t="s">
        <v>3120</v>
      </c>
      <c r="K402" s="1540">
        <f>G402</f>
        <v>1500000</v>
      </c>
      <c r="L402" s="1540">
        <f t="shared" si="28"/>
        <v>0</v>
      </c>
      <c r="M402" s="1594"/>
    </row>
    <row r="403" spans="1:13" ht="30" customHeight="1" x14ac:dyDescent="0.2">
      <c r="A403" s="1596">
        <v>258</v>
      </c>
      <c r="B403" s="1594" t="s">
        <v>876</v>
      </c>
      <c r="C403" s="1564" t="s">
        <v>265</v>
      </c>
      <c r="D403" s="1540">
        <v>12000000</v>
      </c>
      <c r="E403" s="1593">
        <v>0.05</v>
      </c>
      <c r="F403" s="1540">
        <f t="shared" si="30"/>
        <v>600000</v>
      </c>
      <c r="G403" s="2040">
        <v>1600000</v>
      </c>
      <c r="H403" s="2040" t="s">
        <v>3109</v>
      </c>
      <c r="I403" s="2159" t="s">
        <v>3125</v>
      </c>
      <c r="J403" s="2168" t="s">
        <v>485</v>
      </c>
      <c r="K403" s="2040">
        <f>G403</f>
        <v>1600000</v>
      </c>
      <c r="L403" s="2040">
        <f>(F403+F404)-K403</f>
        <v>0</v>
      </c>
      <c r="M403" s="2101"/>
    </row>
    <row r="404" spans="1:13" ht="30" customHeight="1" x14ac:dyDescent="0.2">
      <c r="A404" s="1596">
        <v>259</v>
      </c>
      <c r="B404" s="1594" t="s">
        <v>159</v>
      </c>
      <c r="C404" s="1564" t="s">
        <v>265</v>
      </c>
      <c r="D404" s="1540">
        <v>20000000</v>
      </c>
      <c r="E404" s="1593">
        <v>0.05</v>
      </c>
      <c r="F404" s="1540">
        <f>D404*E404</f>
        <v>1000000</v>
      </c>
      <c r="G404" s="2042"/>
      <c r="H404" s="2042"/>
      <c r="I404" s="2160"/>
      <c r="J404" s="2169"/>
      <c r="K404" s="2042"/>
      <c r="L404" s="2042"/>
      <c r="M404" s="2102"/>
    </row>
    <row r="405" spans="1:13" ht="30" customHeight="1" x14ac:dyDescent="0.2">
      <c r="A405" s="1596">
        <v>261</v>
      </c>
      <c r="B405" s="1594" t="s">
        <v>120</v>
      </c>
      <c r="C405" s="1564"/>
      <c r="D405" s="1540">
        <v>10500000</v>
      </c>
      <c r="E405" s="1593">
        <v>0.05</v>
      </c>
      <c r="F405" s="1540">
        <f t="shared" si="30"/>
        <v>525000</v>
      </c>
      <c r="G405" s="1540">
        <v>525000</v>
      </c>
      <c r="H405" s="1540" t="s">
        <v>3060</v>
      </c>
      <c r="I405" s="1566" t="s">
        <v>3067</v>
      </c>
      <c r="J405" s="21" t="s">
        <v>423</v>
      </c>
      <c r="K405" s="1540">
        <f>G405</f>
        <v>525000</v>
      </c>
      <c r="L405" s="1540">
        <f t="shared" ref="L405:L408" si="31">F405-K405</f>
        <v>0</v>
      </c>
      <c r="M405" s="1594"/>
    </row>
    <row r="406" spans="1:13" ht="30" customHeight="1" x14ac:dyDescent="0.2">
      <c r="A406" s="2031">
        <v>263</v>
      </c>
      <c r="B406" s="2029" t="s">
        <v>586</v>
      </c>
      <c r="C406" s="2149"/>
      <c r="D406" s="2080"/>
      <c r="E406" s="2082"/>
      <c r="F406" s="2080">
        <f t="shared" si="30"/>
        <v>0</v>
      </c>
      <c r="G406" s="1540">
        <v>2000000</v>
      </c>
      <c r="H406" s="1540" t="s">
        <v>3018</v>
      </c>
      <c r="I406" s="1566" t="s">
        <v>3100</v>
      </c>
      <c r="J406" s="24" t="s">
        <v>461</v>
      </c>
      <c r="K406" s="2040">
        <f>G406+G407</f>
        <v>4000000</v>
      </c>
      <c r="L406" s="2080">
        <f t="shared" si="31"/>
        <v>-4000000</v>
      </c>
      <c r="M406" s="2046"/>
    </row>
    <row r="407" spans="1:13" ht="30" customHeight="1" x14ac:dyDescent="0.2">
      <c r="A407" s="2032"/>
      <c r="B407" s="2030"/>
      <c r="C407" s="2150"/>
      <c r="D407" s="2081"/>
      <c r="E407" s="2083"/>
      <c r="F407" s="2081"/>
      <c r="G407" s="1540">
        <v>2000000</v>
      </c>
      <c r="H407" s="1540" t="s">
        <v>3018</v>
      </c>
      <c r="I407" s="1566" t="s">
        <v>3102</v>
      </c>
      <c r="J407" s="24" t="s">
        <v>461</v>
      </c>
      <c r="K407" s="2042"/>
      <c r="L407" s="2081"/>
      <c r="M407" s="2048"/>
    </row>
    <row r="408" spans="1:13" ht="30" customHeight="1" x14ac:dyDescent="0.2">
      <c r="A408" s="1596">
        <v>264</v>
      </c>
      <c r="B408" s="1594" t="s">
        <v>122</v>
      </c>
      <c r="C408" s="1564" t="s">
        <v>265</v>
      </c>
      <c r="D408" s="1550"/>
      <c r="E408" s="44"/>
      <c r="F408" s="1540">
        <v>2000000</v>
      </c>
      <c r="G408" s="1540">
        <v>2000000</v>
      </c>
      <c r="H408" s="1540" t="s">
        <v>3020</v>
      </c>
      <c r="I408" s="1566" t="s">
        <v>3108</v>
      </c>
      <c r="J408" s="28" t="s">
        <v>2074</v>
      </c>
      <c r="K408" s="1540">
        <f>G408</f>
        <v>2000000</v>
      </c>
      <c r="L408" s="1540">
        <f t="shared" si="31"/>
        <v>0</v>
      </c>
      <c r="M408" s="1565"/>
    </row>
    <row r="409" spans="1:13" ht="30" customHeight="1" x14ac:dyDescent="0.2">
      <c r="A409" s="2031">
        <v>265</v>
      </c>
      <c r="B409" s="2282" t="s">
        <v>124</v>
      </c>
      <c r="C409" s="2149" t="s">
        <v>265</v>
      </c>
      <c r="D409" s="1565">
        <v>961000000</v>
      </c>
      <c r="E409" s="1537">
        <v>7.0000000000000007E-2</v>
      </c>
      <c r="F409" s="1540">
        <f>D409*E409</f>
        <v>67270000</v>
      </c>
      <c r="G409" s="2200" t="s">
        <v>2492</v>
      </c>
      <c r="H409" s="2201"/>
      <c r="I409" s="2201"/>
      <c r="J409" s="2201"/>
      <c r="K409" s="2202"/>
      <c r="L409" s="1550"/>
      <c r="M409" s="1574" t="s">
        <v>2491</v>
      </c>
    </row>
    <row r="410" spans="1:13" ht="30" customHeight="1" x14ac:dyDescent="0.2">
      <c r="A410" s="2034"/>
      <c r="B410" s="2283"/>
      <c r="C410" s="2158"/>
      <c r="D410" s="1540"/>
      <c r="E410" s="1537"/>
      <c r="F410" s="1540"/>
      <c r="G410" s="1554">
        <v>21000000</v>
      </c>
      <c r="H410" s="1554" t="s">
        <v>3018</v>
      </c>
      <c r="I410" s="118" t="s">
        <v>3091</v>
      </c>
      <c r="J410" s="1554" t="s">
        <v>512</v>
      </c>
      <c r="K410" s="1554">
        <f>G410</f>
        <v>21000000</v>
      </c>
      <c r="L410" s="1550"/>
      <c r="M410" s="2285" t="s">
        <v>3112</v>
      </c>
    </row>
    <row r="411" spans="1:13" ht="30" customHeight="1" x14ac:dyDescent="0.2">
      <c r="A411" s="2034"/>
      <c r="B411" s="2283"/>
      <c r="C411" s="2158"/>
      <c r="D411" s="1540"/>
      <c r="E411" s="1537"/>
      <c r="F411" s="1540"/>
      <c r="G411" s="1550">
        <v>50000000</v>
      </c>
      <c r="H411" s="1550" t="s">
        <v>3109</v>
      </c>
      <c r="I411" s="118" t="s">
        <v>3110</v>
      </c>
      <c r="J411" s="1554" t="s">
        <v>3111</v>
      </c>
      <c r="K411" s="1550">
        <f>G411</f>
        <v>50000000</v>
      </c>
      <c r="L411" s="1550"/>
      <c r="M411" s="2286"/>
    </row>
    <row r="412" spans="1:13" ht="30" customHeight="1" x14ac:dyDescent="0.2">
      <c r="A412" s="2034"/>
      <c r="B412" s="2283"/>
      <c r="C412" s="2158"/>
      <c r="D412" s="1540">
        <v>1000000000</v>
      </c>
      <c r="E412" s="1537">
        <v>7.0000000000000007E-2</v>
      </c>
      <c r="F412" s="1540">
        <f>D412*E412</f>
        <v>70000000</v>
      </c>
      <c r="G412" s="2154" t="s">
        <v>3427</v>
      </c>
      <c r="H412" s="2155"/>
      <c r="I412" s="2155"/>
      <c r="J412" s="2155"/>
      <c r="K412" s="2155"/>
      <c r="L412" s="2156"/>
      <c r="M412" s="1574"/>
    </row>
    <row r="413" spans="1:13" ht="30" customHeight="1" x14ac:dyDescent="0.2">
      <c r="A413" s="2032"/>
      <c r="B413" s="2284"/>
      <c r="C413" s="2150"/>
      <c r="D413" s="1947" t="s">
        <v>3432</v>
      </c>
      <c r="E413" s="1948"/>
      <c r="F413" s="1949"/>
      <c r="G413" s="1540">
        <v>25000000</v>
      </c>
      <c r="H413" s="1540" t="s">
        <v>3430</v>
      </c>
      <c r="I413" s="1586" t="s">
        <v>3433</v>
      </c>
      <c r="J413" s="1565" t="s">
        <v>3434</v>
      </c>
      <c r="K413" s="1540">
        <f>G413</f>
        <v>25000000</v>
      </c>
      <c r="L413" s="1540"/>
      <c r="M413" s="1574"/>
    </row>
    <row r="414" spans="1:13" ht="30" customHeight="1" x14ac:dyDescent="0.2">
      <c r="A414" s="1065">
        <v>266</v>
      </c>
      <c r="B414" s="1064" t="s">
        <v>2042</v>
      </c>
      <c r="C414" s="1046"/>
      <c r="D414" s="1032">
        <v>80000000</v>
      </c>
      <c r="E414" s="1060">
        <v>4.4999999999999998E-2</v>
      </c>
      <c r="F414" s="1032">
        <f t="shared" ref="F414:F480" si="32">D414*E414</f>
        <v>3600000</v>
      </c>
      <c r="G414" s="1032">
        <v>3600000</v>
      </c>
      <c r="H414" s="1032" t="s">
        <v>3146</v>
      </c>
      <c r="I414" s="1048" t="s">
        <v>3177</v>
      </c>
      <c r="J414" s="21" t="s">
        <v>585</v>
      </c>
      <c r="K414" s="1032">
        <f>G414</f>
        <v>3600000</v>
      </c>
      <c r="L414" s="1032">
        <f t="shared" ref="L414:L464" si="33">F414-K414</f>
        <v>0</v>
      </c>
      <c r="M414" s="1064"/>
    </row>
    <row r="415" spans="1:13" ht="30" customHeight="1" x14ac:dyDescent="0.2">
      <c r="A415" s="2031">
        <v>267</v>
      </c>
      <c r="B415" s="2029" t="s">
        <v>508</v>
      </c>
      <c r="C415" s="2149" t="s">
        <v>379</v>
      </c>
      <c r="D415" s="1032">
        <v>250000000</v>
      </c>
      <c r="E415" s="1060">
        <v>0.04</v>
      </c>
      <c r="F415" s="1032">
        <f t="shared" si="32"/>
        <v>10000000</v>
      </c>
      <c r="G415" s="2154" t="s">
        <v>3034</v>
      </c>
      <c r="H415" s="2155"/>
      <c r="I415" s="2155"/>
      <c r="J415" s="2155"/>
      <c r="K415" s="2156"/>
      <c r="L415" s="1032">
        <f t="shared" si="33"/>
        <v>10000000</v>
      </c>
      <c r="M415" s="1270" t="s">
        <v>3035</v>
      </c>
    </row>
    <row r="416" spans="1:13" ht="30" customHeight="1" x14ac:dyDescent="0.2">
      <c r="A416" s="2032"/>
      <c r="B416" s="2030"/>
      <c r="C416" s="2150"/>
      <c r="D416" s="1263">
        <v>300000000</v>
      </c>
      <c r="E416" s="1272">
        <v>0.04</v>
      </c>
      <c r="F416" s="1263">
        <f t="shared" si="32"/>
        <v>12000000</v>
      </c>
      <c r="G416" s="2200" t="s">
        <v>3036</v>
      </c>
      <c r="H416" s="2201"/>
      <c r="I416" s="2201"/>
      <c r="J416" s="2201"/>
      <c r="K416" s="2202"/>
      <c r="L416" s="1263">
        <f t="shared" si="33"/>
        <v>12000000</v>
      </c>
      <c r="M416" s="1341" t="s">
        <v>3173</v>
      </c>
    </row>
    <row r="417" spans="1:13" ht="30" customHeight="1" x14ac:dyDescent="0.2">
      <c r="A417" s="1065">
        <v>268</v>
      </c>
      <c r="B417" s="1064" t="s">
        <v>400</v>
      </c>
      <c r="C417" s="1046" t="s">
        <v>401</v>
      </c>
      <c r="D417" s="1032">
        <v>130000000</v>
      </c>
      <c r="E417" s="1060">
        <v>4.4999999999999998E-2</v>
      </c>
      <c r="F417" s="1032">
        <f t="shared" si="32"/>
        <v>5850000</v>
      </c>
      <c r="G417" s="1032">
        <v>5850000</v>
      </c>
      <c r="H417" s="1032" t="s">
        <v>3146</v>
      </c>
      <c r="I417" s="1048" t="s">
        <v>3174</v>
      </c>
      <c r="J417" s="21" t="s">
        <v>2186</v>
      </c>
      <c r="K417" s="1032">
        <f>G417</f>
        <v>5850000</v>
      </c>
      <c r="L417" s="1032">
        <f t="shared" si="33"/>
        <v>0</v>
      </c>
      <c r="M417" s="1064"/>
    </row>
    <row r="418" spans="1:13" ht="30" customHeight="1" x14ac:dyDescent="0.2">
      <c r="A418" s="1065">
        <v>269</v>
      </c>
      <c r="B418" s="1064" t="s">
        <v>126</v>
      </c>
      <c r="C418" s="1046" t="s">
        <v>265</v>
      </c>
      <c r="D418" s="1032">
        <v>300000000</v>
      </c>
      <c r="E418" s="1060">
        <v>0.05</v>
      </c>
      <c r="F418" s="1032">
        <f t="shared" si="32"/>
        <v>15000000</v>
      </c>
      <c r="G418" s="1032">
        <v>15000000</v>
      </c>
      <c r="H418" s="1032" t="s">
        <v>2855</v>
      </c>
      <c r="I418" s="1048" t="s">
        <v>2937</v>
      </c>
      <c r="J418" s="24" t="s">
        <v>1895</v>
      </c>
      <c r="K418" s="1032">
        <f>G418</f>
        <v>15000000</v>
      </c>
      <c r="L418" s="1032">
        <f t="shared" si="33"/>
        <v>0</v>
      </c>
      <c r="M418" s="1064"/>
    </row>
    <row r="419" spans="1:13" ht="30" customHeight="1" x14ac:dyDescent="0.2">
      <c r="A419" s="1065">
        <v>270</v>
      </c>
      <c r="B419" s="1064" t="s">
        <v>127</v>
      </c>
      <c r="C419" s="1046"/>
      <c r="D419" s="1032">
        <v>20000000</v>
      </c>
      <c r="E419" s="1060">
        <v>5.5E-2</v>
      </c>
      <c r="F419" s="1032">
        <f t="shared" si="32"/>
        <v>1100000</v>
      </c>
      <c r="G419" s="1032">
        <v>1100000</v>
      </c>
      <c r="H419" s="1032" t="s">
        <v>2855</v>
      </c>
      <c r="I419" s="1048" t="s">
        <v>2934</v>
      </c>
      <c r="J419" s="24" t="s">
        <v>503</v>
      </c>
      <c r="K419" s="1032">
        <f>G419</f>
        <v>1100000</v>
      </c>
      <c r="L419" s="1032">
        <f t="shared" si="33"/>
        <v>0</v>
      </c>
      <c r="M419" s="1064"/>
    </row>
    <row r="420" spans="1:13" ht="30" customHeight="1" x14ac:dyDescent="0.2">
      <c r="A420" s="1065">
        <v>271</v>
      </c>
      <c r="B420" s="22" t="s">
        <v>128</v>
      </c>
      <c r="C420" s="1059" t="s">
        <v>367</v>
      </c>
      <c r="D420" s="1047">
        <v>40000000</v>
      </c>
      <c r="E420" s="1060">
        <v>5.5E-2</v>
      </c>
      <c r="F420" s="1047">
        <f t="shared" si="32"/>
        <v>2200000</v>
      </c>
      <c r="G420" s="1047">
        <v>2200000</v>
      </c>
      <c r="H420" s="1047" t="s">
        <v>2040</v>
      </c>
      <c r="I420" s="424" t="s">
        <v>3000</v>
      </c>
      <c r="J420" s="21" t="s">
        <v>514</v>
      </c>
      <c r="K420" s="1047">
        <f>G420</f>
        <v>2200000</v>
      </c>
      <c r="L420" s="1047">
        <f t="shared" si="33"/>
        <v>0</v>
      </c>
      <c r="M420" s="1064"/>
    </row>
    <row r="421" spans="1:13" ht="30" customHeight="1" x14ac:dyDescent="0.2">
      <c r="A421" s="2031"/>
      <c r="B421" s="2029" t="s">
        <v>2666</v>
      </c>
      <c r="C421" s="2149" t="s">
        <v>1342</v>
      </c>
      <c r="D421" s="926">
        <v>520000000</v>
      </c>
      <c r="E421" s="927">
        <v>5.5E-2</v>
      </c>
      <c r="F421" s="926">
        <f>D421*E421</f>
        <v>28600000</v>
      </c>
      <c r="G421" s="2313">
        <v>38900000</v>
      </c>
      <c r="H421" s="2311" t="s">
        <v>3060</v>
      </c>
      <c r="I421" s="2315" t="s">
        <v>3062</v>
      </c>
      <c r="J421" s="2311" t="s">
        <v>841</v>
      </c>
      <c r="K421" s="2311">
        <f>G421+G423</f>
        <v>50000000</v>
      </c>
      <c r="L421" s="2311"/>
      <c r="M421" s="1307" t="s">
        <v>2562</v>
      </c>
    </row>
    <row r="422" spans="1:13" ht="30" customHeight="1" x14ac:dyDescent="0.2">
      <c r="A422" s="2034"/>
      <c r="B422" s="2033"/>
      <c r="C422" s="2158"/>
      <c r="D422" s="926">
        <v>65000000</v>
      </c>
      <c r="E422" s="927">
        <v>0.06</v>
      </c>
      <c r="F422" s="926">
        <f>D422*E422</f>
        <v>3900000</v>
      </c>
      <c r="G422" s="2313"/>
      <c r="H422" s="2314"/>
      <c r="I422" s="2316"/>
      <c r="J422" s="2314"/>
      <c r="K422" s="2314"/>
      <c r="L422" s="2314"/>
      <c r="M422" s="1308" t="s">
        <v>3063</v>
      </c>
    </row>
    <row r="423" spans="1:13" ht="30" customHeight="1" x14ac:dyDescent="0.2">
      <c r="A423" s="2034"/>
      <c r="B423" s="2033"/>
      <c r="C423" s="2158"/>
      <c r="D423" s="926">
        <v>85000000</v>
      </c>
      <c r="E423" s="927">
        <v>0.06</v>
      </c>
      <c r="F423" s="926">
        <f>D423*E423</f>
        <v>5100000</v>
      </c>
      <c r="G423" s="2311">
        <v>11100000</v>
      </c>
      <c r="H423" s="2314"/>
      <c r="I423" s="2316"/>
      <c r="J423" s="2314"/>
      <c r="K423" s="2314"/>
      <c r="L423" s="2314"/>
      <c r="M423" s="2310" t="s">
        <v>3144</v>
      </c>
    </row>
    <row r="424" spans="1:13" ht="30" customHeight="1" x14ac:dyDescent="0.2">
      <c r="A424" s="2034"/>
      <c r="B424" s="2033"/>
      <c r="C424" s="2158"/>
      <c r="D424" s="2277" t="s">
        <v>1903</v>
      </c>
      <c r="E424" s="2278"/>
      <c r="F424" s="926">
        <v>1300000</v>
      </c>
      <c r="G424" s="2312"/>
      <c r="H424" s="2312"/>
      <c r="I424" s="2317"/>
      <c r="J424" s="2312"/>
      <c r="K424" s="2312"/>
      <c r="L424" s="2312"/>
      <c r="M424" s="2310"/>
    </row>
    <row r="425" spans="1:13" ht="30" customHeight="1" x14ac:dyDescent="0.2">
      <c r="A425" s="2032"/>
      <c r="B425" s="2030"/>
      <c r="C425" s="2150"/>
      <c r="D425" s="1080">
        <v>100000000</v>
      </c>
      <c r="E425" s="1086">
        <v>0.06</v>
      </c>
      <c r="F425" s="1080">
        <f>D425*E425</f>
        <v>6000000</v>
      </c>
      <c r="G425" s="2200" t="s">
        <v>2559</v>
      </c>
      <c r="H425" s="2201"/>
      <c r="I425" s="2201"/>
      <c r="J425" s="2202"/>
      <c r="K425" s="1080"/>
      <c r="L425" s="1080"/>
      <c r="M425" s="1091" t="s">
        <v>2563</v>
      </c>
    </row>
    <row r="426" spans="1:13" ht="30" customHeight="1" x14ac:dyDescent="0.2">
      <c r="A426" s="1512"/>
      <c r="B426" s="1511"/>
      <c r="C426" s="1515"/>
      <c r="D426" s="1521">
        <v>40000000</v>
      </c>
      <c r="E426" s="1522">
        <v>0.06</v>
      </c>
      <c r="F426" s="1521">
        <f>D426*E426</f>
        <v>2400000</v>
      </c>
      <c r="G426" s="2321" t="s">
        <v>3500</v>
      </c>
      <c r="H426" s="2322"/>
      <c r="I426" s="2322"/>
      <c r="J426" s="2322"/>
      <c r="K426" s="2323"/>
      <c r="L426" s="1521"/>
      <c r="M426" s="1091"/>
    </row>
    <row r="427" spans="1:13" ht="30" customHeight="1" x14ac:dyDescent="0.2">
      <c r="A427" s="1065">
        <v>273</v>
      </c>
      <c r="B427" s="1064" t="s">
        <v>130</v>
      </c>
      <c r="C427" s="1046" t="s">
        <v>1346</v>
      </c>
      <c r="D427" s="1032">
        <v>20000000</v>
      </c>
      <c r="E427" s="1060">
        <v>0.05</v>
      </c>
      <c r="F427" s="1032">
        <f t="shared" si="32"/>
        <v>1000000</v>
      </c>
      <c r="G427" s="1032">
        <v>1000000</v>
      </c>
      <c r="H427" s="1032" t="s">
        <v>3018</v>
      </c>
      <c r="I427" s="1048" t="s">
        <v>3103</v>
      </c>
      <c r="J427" s="24" t="s">
        <v>490</v>
      </c>
      <c r="K427" s="1032">
        <f t="shared" ref="K427:K433" si="34">G427</f>
        <v>1000000</v>
      </c>
      <c r="L427" s="1032">
        <f t="shared" si="33"/>
        <v>0</v>
      </c>
      <c r="M427" s="1064"/>
    </row>
    <row r="428" spans="1:13" ht="30" customHeight="1" x14ac:dyDescent="0.2">
      <c r="A428" s="2031">
        <v>274</v>
      </c>
      <c r="B428" s="2029" t="s">
        <v>131</v>
      </c>
      <c r="C428" s="2149"/>
      <c r="D428" s="1032">
        <v>8000000</v>
      </c>
      <c r="E428" s="1060">
        <v>0.05</v>
      </c>
      <c r="F428" s="1032">
        <f t="shared" si="32"/>
        <v>400000</v>
      </c>
      <c r="G428" s="1032">
        <v>400000</v>
      </c>
      <c r="H428" s="1032" t="s">
        <v>3041</v>
      </c>
      <c r="I428" s="1048" t="s">
        <v>3158</v>
      </c>
      <c r="J428" s="24" t="s">
        <v>397</v>
      </c>
      <c r="K428" s="1032">
        <f t="shared" si="34"/>
        <v>400000</v>
      </c>
      <c r="L428" s="1032">
        <f t="shared" si="33"/>
        <v>0</v>
      </c>
      <c r="M428" s="171"/>
    </row>
    <row r="429" spans="1:13" ht="30" customHeight="1" x14ac:dyDescent="0.2">
      <c r="A429" s="2032"/>
      <c r="B429" s="2030"/>
      <c r="C429" s="2150"/>
      <c r="D429" s="1372">
        <v>50000000</v>
      </c>
      <c r="E429" s="1377">
        <v>0.05</v>
      </c>
      <c r="F429" s="1372">
        <f>D429*E429</f>
        <v>2500000</v>
      </c>
      <c r="G429" s="2200" t="s">
        <v>3266</v>
      </c>
      <c r="H429" s="2201"/>
      <c r="I429" s="2201"/>
      <c r="J429" s="2201"/>
      <c r="K429" s="2202"/>
      <c r="L429" s="1372"/>
      <c r="M429" s="103" t="s">
        <v>3267</v>
      </c>
    </row>
    <row r="430" spans="1:13" ht="30" customHeight="1" x14ac:dyDescent="0.2">
      <c r="A430" s="1065">
        <v>275</v>
      </c>
      <c r="B430" s="1064" t="s">
        <v>132</v>
      </c>
      <c r="C430" s="1046" t="s">
        <v>1346</v>
      </c>
      <c r="D430" s="1032">
        <v>130000000</v>
      </c>
      <c r="E430" s="1060">
        <v>0.05</v>
      </c>
      <c r="F430" s="1032">
        <f t="shared" si="32"/>
        <v>6500000</v>
      </c>
      <c r="G430" s="1032">
        <v>6500000</v>
      </c>
      <c r="H430" s="1032" t="s">
        <v>3288</v>
      </c>
      <c r="I430" s="1048" t="s">
        <v>3318</v>
      </c>
      <c r="J430" s="24" t="s">
        <v>3319</v>
      </c>
      <c r="K430" s="1032">
        <f t="shared" si="34"/>
        <v>6500000</v>
      </c>
      <c r="L430" s="1032">
        <f t="shared" si="33"/>
        <v>0</v>
      </c>
      <c r="M430" s="1064"/>
    </row>
    <row r="431" spans="1:13" ht="30" customHeight="1" x14ac:dyDescent="0.2">
      <c r="A431" s="1065">
        <v>276</v>
      </c>
      <c r="B431" s="1064" t="s">
        <v>133</v>
      </c>
      <c r="C431" s="1046"/>
      <c r="D431" s="1032">
        <v>95000000</v>
      </c>
      <c r="E431" s="1060">
        <v>5.2999999999999999E-2</v>
      </c>
      <c r="F431" s="1032">
        <v>5000000</v>
      </c>
      <c r="G431" s="1032">
        <v>5000000</v>
      </c>
      <c r="H431" s="1032" t="s">
        <v>3227</v>
      </c>
      <c r="I431" s="1048" t="s">
        <v>3239</v>
      </c>
      <c r="J431" s="24" t="s">
        <v>3240</v>
      </c>
      <c r="K431" s="1032">
        <f t="shared" si="34"/>
        <v>5000000</v>
      </c>
      <c r="L431" s="1032">
        <f t="shared" si="33"/>
        <v>0</v>
      </c>
      <c r="M431" s="1064"/>
    </row>
    <row r="432" spans="1:13" ht="30" customHeight="1" x14ac:dyDescent="0.2">
      <c r="A432" s="1065">
        <v>277</v>
      </c>
      <c r="B432" s="1064" t="s">
        <v>134</v>
      </c>
      <c r="C432" s="1046"/>
      <c r="D432" s="1032">
        <v>200000000</v>
      </c>
      <c r="E432" s="1060">
        <v>0.05</v>
      </c>
      <c r="F432" s="1032">
        <f t="shared" si="32"/>
        <v>10000000</v>
      </c>
      <c r="G432" s="1032">
        <v>10000000</v>
      </c>
      <c r="H432" s="1032" t="s">
        <v>3060</v>
      </c>
      <c r="I432" s="1048" t="s">
        <v>3064</v>
      </c>
      <c r="J432" s="24" t="s">
        <v>2282</v>
      </c>
      <c r="K432" s="1032">
        <f t="shared" si="34"/>
        <v>10000000</v>
      </c>
      <c r="L432" s="1032">
        <f t="shared" si="33"/>
        <v>0</v>
      </c>
      <c r="M432" s="1064"/>
    </row>
    <row r="433" spans="1:13" ht="30" customHeight="1" x14ac:dyDescent="0.2">
      <c r="A433" s="2031">
        <v>278</v>
      </c>
      <c r="B433" s="2029" t="s">
        <v>634</v>
      </c>
      <c r="C433" s="2149" t="s">
        <v>3151</v>
      </c>
      <c r="D433" s="1032">
        <v>30000000</v>
      </c>
      <c r="E433" s="1060">
        <v>4.4999999999999998E-2</v>
      </c>
      <c r="F433" s="1032">
        <f>D433*E433</f>
        <v>1350000</v>
      </c>
      <c r="G433" s="2040">
        <v>1750000</v>
      </c>
      <c r="H433" s="2040" t="s">
        <v>3041</v>
      </c>
      <c r="I433" s="2159" t="s">
        <v>3152</v>
      </c>
      <c r="J433" s="2128" t="s">
        <v>2196</v>
      </c>
      <c r="K433" s="2040">
        <f t="shared" si="34"/>
        <v>1750000</v>
      </c>
      <c r="L433" s="2040">
        <f>(F433+F434)-K433</f>
        <v>0</v>
      </c>
      <c r="M433" s="2101"/>
    </row>
    <row r="434" spans="1:13" ht="30" customHeight="1" x14ac:dyDescent="0.2">
      <c r="A434" s="2032"/>
      <c r="B434" s="2030"/>
      <c r="C434" s="2150"/>
      <c r="D434" s="1032">
        <v>10000000</v>
      </c>
      <c r="E434" s="1060">
        <v>0.04</v>
      </c>
      <c r="F434" s="1032">
        <f>D434*E434</f>
        <v>400000</v>
      </c>
      <c r="G434" s="2042"/>
      <c r="H434" s="2042"/>
      <c r="I434" s="2160"/>
      <c r="J434" s="2129"/>
      <c r="K434" s="2042"/>
      <c r="L434" s="2042"/>
      <c r="M434" s="2102"/>
    </row>
    <row r="435" spans="1:13" ht="30" customHeight="1" x14ac:dyDescent="0.2">
      <c r="A435" s="1065">
        <v>279</v>
      </c>
      <c r="B435" s="1064" t="s">
        <v>135</v>
      </c>
      <c r="C435" s="1046"/>
      <c r="D435" s="1032">
        <v>11000000</v>
      </c>
      <c r="E435" s="1060">
        <v>4.4999999999999998E-2</v>
      </c>
      <c r="F435" s="1032">
        <v>500000</v>
      </c>
      <c r="G435" s="1032">
        <v>500000</v>
      </c>
      <c r="H435" s="1032" t="s">
        <v>2341</v>
      </c>
      <c r="I435" s="1048" t="s">
        <v>2761</v>
      </c>
      <c r="J435" s="24" t="s">
        <v>751</v>
      </c>
      <c r="K435" s="1032">
        <f>G435</f>
        <v>500000</v>
      </c>
      <c r="L435" s="1032">
        <f t="shared" si="33"/>
        <v>0</v>
      </c>
      <c r="M435" s="1064"/>
    </row>
    <row r="436" spans="1:13" ht="30" customHeight="1" x14ac:dyDescent="0.2">
      <c r="A436" s="1065">
        <v>280</v>
      </c>
      <c r="B436" s="1081" t="s">
        <v>468</v>
      </c>
      <c r="C436" s="421"/>
      <c r="D436" s="1357">
        <v>20000000</v>
      </c>
      <c r="E436" s="1362">
        <v>0.05</v>
      </c>
      <c r="F436" s="1357">
        <f t="shared" si="32"/>
        <v>1000000</v>
      </c>
      <c r="G436" s="2240" t="s">
        <v>3241</v>
      </c>
      <c r="H436" s="2241"/>
      <c r="I436" s="2241"/>
      <c r="J436" s="2242"/>
      <c r="K436" s="1357"/>
      <c r="L436" s="1357"/>
      <c r="M436" s="1074"/>
    </row>
    <row r="437" spans="1:13" ht="30" customHeight="1" x14ac:dyDescent="0.2">
      <c r="A437" s="1027">
        <v>281</v>
      </c>
      <c r="B437" s="1066" t="s">
        <v>136</v>
      </c>
      <c r="C437" s="1046" t="s">
        <v>1345</v>
      </c>
      <c r="D437" s="1032">
        <v>40000000</v>
      </c>
      <c r="E437" s="1071">
        <v>0.05</v>
      </c>
      <c r="F437" s="1032">
        <f t="shared" si="32"/>
        <v>2000000</v>
      </c>
      <c r="G437" s="1032">
        <v>2000000</v>
      </c>
      <c r="H437" s="1032" t="s">
        <v>3109</v>
      </c>
      <c r="I437" s="1048" t="s">
        <v>3127</v>
      </c>
      <c r="J437" s="7" t="s">
        <v>651</v>
      </c>
      <c r="K437" s="1070">
        <f>G437</f>
        <v>2000000</v>
      </c>
      <c r="L437" s="1032">
        <f>F437-K437</f>
        <v>0</v>
      </c>
      <c r="M437" s="13" t="s">
        <v>1296</v>
      </c>
    </row>
    <row r="438" spans="1:13" ht="30" customHeight="1" x14ac:dyDescent="0.2">
      <c r="A438" s="1065">
        <v>282</v>
      </c>
      <c r="B438" s="1064" t="s">
        <v>1054</v>
      </c>
      <c r="C438" s="1046"/>
      <c r="D438" s="1032">
        <v>20000000</v>
      </c>
      <c r="E438" s="1060">
        <v>0.04</v>
      </c>
      <c r="F438" s="1032">
        <f t="shared" si="32"/>
        <v>800000</v>
      </c>
      <c r="G438" s="1032">
        <v>800000</v>
      </c>
      <c r="H438" s="1032" t="s">
        <v>3109</v>
      </c>
      <c r="I438" s="1048" t="s">
        <v>3121</v>
      </c>
      <c r="J438" s="1057" t="s">
        <v>2589</v>
      </c>
      <c r="K438" s="1032">
        <f>G438</f>
        <v>800000</v>
      </c>
      <c r="L438" s="1032">
        <f t="shared" si="33"/>
        <v>0</v>
      </c>
      <c r="M438" s="1064"/>
    </row>
    <row r="439" spans="1:13" ht="30" customHeight="1" x14ac:dyDescent="0.2">
      <c r="A439" s="2031">
        <v>283</v>
      </c>
      <c r="B439" s="2029" t="s">
        <v>137</v>
      </c>
      <c r="C439" s="2149" t="s">
        <v>1349</v>
      </c>
      <c r="D439" s="1070">
        <v>37093000</v>
      </c>
      <c r="E439" s="1071">
        <v>0.05</v>
      </c>
      <c r="F439" s="1070">
        <f>D439*E439</f>
        <v>1854650</v>
      </c>
      <c r="G439" s="247">
        <v>1854650</v>
      </c>
      <c r="H439" s="247" t="s">
        <v>3041</v>
      </c>
      <c r="I439" s="247">
        <v>123444977920</v>
      </c>
      <c r="J439" s="24" t="s">
        <v>2276</v>
      </c>
      <c r="K439" s="1030">
        <f>G439</f>
        <v>1854650</v>
      </c>
      <c r="L439" s="1030">
        <f t="shared" si="33"/>
        <v>0</v>
      </c>
      <c r="M439" s="1379" t="s">
        <v>2333</v>
      </c>
    </row>
    <row r="440" spans="1:13" ht="30" customHeight="1" x14ac:dyDescent="0.2">
      <c r="A440" s="2034"/>
      <c r="B440" s="2033"/>
      <c r="C440" s="2158"/>
      <c r="D440" s="1278"/>
      <c r="E440" s="1279"/>
      <c r="F440" s="1278"/>
      <c r="G440" s="2200" t="s">
        <v>3054</v>
      </c>
      <c r="H440" s="2201"/>
      <c r="I440" s="2201"/>
      <c r="J440" s="2202"/>
      <c r="K440" s="1277"/>
      <c r="L440" s="1277"/>
      <c r="M440" s="823"/>
    </row>
    <row r="441" spans="1:13" ht="30" customHeight="1" x14ac:dyDescent="0.2">
      <c r="A441" s="2034"/>
      <c r="B441" s="2033"/>
      <c r="C441" s="2158"/>
      <c r="D441" s="1797">
        <f>D439+3730000</f>
        <v>40823000</v>
      </c>
      <c r="E441" s="1798">
        <v>0.05</v>
      </c>
      <c r="F441" s="1278">
        <f>D441*E441</f>
        <v>2041150</v>
      </c>
      <c r="G441" s="247"/>
      <c r="H441" s="247"/>
      <c r="I441" s="247"/>
      <c r="J441" s="24"/>
      <c r="K441" s="1277"/>
      <c r="L441" s="1277"/>
      <c r="M441" s="823" t="s">
        <v>2746</v>
      </c>
    </row>
    <row r="442" spans="1:13" ht="30" customHeight="1" x14ac:dyDescent="0.2">
      <c r="A442" s="2034"/>
      <c r="B442" s="2033"/>
      <c r="C442" s="2158"/>
      <c r="D442" s="1797"/>
      <c r="E442" s="1798"/>
      <c r="F442" s="1797"/>
      <c r="G442" s="2200" t="s">
        <v>3817</v>
      </c>
      <c r="H442" s="2201"/>
      <c r="I442" s="2201"/>
      <c r="J442" s="2202"/>
      <c r="K442" s="1796"/>
      <c r="L442" s="1796"/>
      <c r="M442" s="823"/>
    </row>
    <row r="443" spans="1:13" ht="30" customHeight="1" x14ac:dyDescent="0.2">
      <c r="A443" s="2032"/>
      <c r="B443" s="2030"/>
      <c r="C443" s="2150"/>
      <c r="D443" s="1797">
        <f>40823000+3800000</f>
        <v>44623000</v>
      </c>
      <c r="E443" s="1798">
        <v>0.05</v>
      </c>
      <c r="F443" s="1797">
        <f>D443*E443</f>
        <v>2231150</v>
      </c>
      <c r="G443" s="247"/>
      <c r="H443" s="247"/>
      <c r="I443" s="247"/>
      <c r="J443" s="24"/>
      <c r="K443" s="1796"/>
      <c r="L443" s="1796"/>
      <c r="M443" s="823"/>
    </row>
    <row r="444" spans="1:13" ht="30" customHeight="1" x14ac:dyDescent="0.2">
      <c r="A444" s="2031">
        <v>284</v>
      </c>
      <c r="B444" s="2029" t="s">
        <v>1197</v>
      </c>
      <c r="C444" s="2149" t="s">
        <v>379</v>
      </c>
      <c r="D444" s="1032">
        <v>110000000</v>
      </c>
      <c r="E444" s="1029">
        <v>4.4999999999999998E-2</v>
      </c>
      <c r="F444" s="1032">
        <f t="shared" si="32"/>
        <v>4950000</v>
      </c>
      <c r="G444" s="2040">
        <v>7925000</v>
      </c>
      <c r="H444" s="2040" t="s">
        <v>3041</v>
      </c>
      <c r="I444" s="2159" t="s">
        <v>3154</v>
      </c>
      <c r="J444" s="2128" t="s">
        <v>2349</v>
      </c>
      <c r="K444" s="2040">
        <f>G444</f>
        <v>7925000</v>
      </c>
      <c r="L444" s="2040">
        <f>(F444+F445)-K444</f>
        <v>25000</v>
      </c>
      <c r="M444" s="2068"/>
    </row>
    <row r="445" spans="1:13" ht="30" customHeight="1" x14ac:dyDescent="0.2">
      <c r="A445" s="2034"/>
      <c r="B445" s="2033"/>
      <c r="C445" s="2158"/>
      <c r="D445" s="1032">
        <v>60000000</v>
      </c>
      <c r="E445" s="1060">
        <v>0.05</v>
      </c>
      <c r="F445" s="1032">
        <f t="shared" si="32"/>
        <v>3000000</v>
      </c>
      <c r="G445" s="2042"/>
      <c r="H445" s="2042"/>
      <c r="I445" s="2160"/>
      <c r="J445" s="2129"/>
      <c r="K445" s="2042"/>
      <c r="L445" s="2042"/>
      <c r="M445" s="2069"/>
    </row>
    <row r="446" spans="1:13" ht="30" customHeight="1" x14ac:dyDescent="0.2">
      <c r="A446" s="2032"/>
      <c r="B446" s="2030"/>
      <c r="C446" s="2150"/>
      <c r="D446" s="1263">
        <v>30000000</v>
      </c>
      <c r="E446" s="1272"/>
      <c r="F446" s="1263"/>
      <c r="G446" s="2200" t="s">
        <v>3037</v>
      </c>
      <c r="H446" s="2201"/>
      <c r="I446" s="2201"/>
      <c r="J446" s="2202"/>
      <c r="K446" s="1263"/>
      <c r="L446" s="1263"/>
      <c r="M446" s="1264"/>
    </row>
    <row r="447" spans="1:13" ht="30" customHeight="1" x14ac:dyDescent="0.2">
      <c r="A447" s="1065">
        <v>285</v>
      </c>
      <c r="B447" s="1064" t="s">
        <v>138</v>
      </c>
      <c r="C447" s="1046" t="s">
        <v>2413</v>
      </c>
      <c r="D447" s="1032">
        <v>100000000</v>
      </c>
      <c r="E447" s="1060">
        <v>7.0000000000000007E-2</v>
      </c>
      <c r="F447" s="1032">
        <f t="shared" si="32"/>
        <v>7000000.0000000009</v>
      </c>
      <c r="G447" s="1032">
        <v>7000000</v>
      </c>
      <c r="H447" s="1032" t="s">
        <v>3041</v>
      </c>
      <c r="I447" s="1048" t="s">
        <v>3166</v>
      </c>
      <c r="J447" s="24" t="s">
        <v>3167</v>
      </c>
      <c r="K447" s="1032">
        <f>G447</f>
        <v>7000000</v>
      </c>
      <c r="L447" s="1032">
        <f t="shared" si="33"/>
        <v>0</v>
      </c>
      <c r="M447" s="1064"/>
    </row>
    <row r="448" spans="1:13" ht="30" customHeight="1" x14ac:dyDescent="0.2">
      <c r="A448" s="1069">
        <v>286</v>
      </c>
      <c r="B448" s="1081" t="s">
        <v>1719</v>
      </c>
      <c r="C448" s="1085"/>
      <c r="D448" s="1075">
        <v>35000000</v>
      </c>
      <c r="E448" s="1092">
        <v>0.04</v>
      </c>
      <c r="F448" s="1075">
        <f t="shared" si="32"/>
        <v>1400000</v>
      </c>
      <c r="G448" s="1075">
        <v>1400000</v>
      </c>
      <c r="H448" s="1075" t="s">
        <v>2695</v>
      </c>
      <c r="I448" s="424" t="s">
        <v>2699</v>
      </c>
      <c r="J448" s="21" t="s">
        <v>312</v>
      </c>
      <c r="K448" s="1075">
        <f>G448</f>
        <v>1400000</v>
      </c>
      <c r="L448" s="1075">
        <f t="shared" si="33"/>
        <v>0</v>
      </c>
      <c r="M448" s="1074"/>
    </row>
    <row r="449" spans="1:13" ht="30" customHeight="1" x14ac:dyDescent="0.2">
      <c r="A449" s="2031">
        <v>287</v>
      </c>
      <c r="B449" s="2029" t="s">
        <v>140</v>
      </c>
      <c r="C449" s="2149"/>
      <c r="D449" s="1032">
        <v>15000000</v>
      </c>
      <c r="E449" s="1071">
        <v>0.05</v>
      </c>
      <c r="F449" s="1032">
        <f t="shared" si="32"/>
        <v>750000</v>
      </c>
      <c r="G449" s="1032">
        <v>2475000</v>
      </c>
      <c r="H449" s="1032" t="s">
        <v>3109</v>
      </c>
      <c r="I449" s="1048" t="s">
        <v>3122</v>
      </c>
      <c r="J449" s="24" t="s">
        <v>3123</v>
      </c>
      <c r="K449" s="2040">
        <f>G449+G450</f>
        <v>3000000</v>
      </c>
      <c r="L449" s="2040">
        <f>(F449+F450)-K449</f>
        <v>0</v>
      </c>
      <c r="M449" s="2046"/>
    </row>
    <row r="450" spans="1:13" ht="30" customHeight="1" x14ac:dyDescent="0.2">
      <c r="A450" s="2032"/>
      <c r="B450" s="2030"/>
      <c r="C450" s="2150"/>
      <c r="D450" s="1300">
        <v>45000000</v>
      </c>
      <c r="E450" s="1301">
        <v>0.05</v>
      </c>
      <c r="F450" s="1300">
        <f t="shared" si="32"/>
        <v>2250000</v>
      </c>
      <c r="G450" s="1300">
        <v>525000</v>
      </c>
      <c r="H450" s="1300" t="s">
        <v>3271</v>
      </c>
      <c r="I450" s="1303" t="s">
        <v>3285</v>
      </c>
      <c r="J450" s="24"/>
      <c r="K450" s="2042"/>
      <c r="L450" s="2042"/>
      <c r="M450" s="2048"/>
    </row>
    <row r="451" spans="1:13" ht="30" customHeight="1" x14ac:dyDescent="0.2">
      <c r="A451" s="1065">
        <v>288</v>
      </c>
      <c r="B451" s="1064" t="s">
        <v>141</v>
      </c>
      <c r="C451" s="1046" t="s">
        <v>1344</v>
      </c>
      <c r="D451" s="1032">
        <v>50000000</v>
      </c>
      <c r="E451" s="1060">
        <v>4.4999999999999998E-2</v>
      </c>
      <c r="F451" s="1032">
        <f t="shared" si="32"/>
        <v>2250000</v>
      </c>
      <c r="G451" s="1032">
        <v>2250000</v>
      </c>
      <c r="H451" s="1032" t="s">
        <v>3109</v>
      </c>
      <c r="I451" s="1048" t="s">
        <v>3114</v>
      </c>
      <c r="J451" s="24" t="s">
        <v>2213</v>
      </c>
      <c r="K451" s="1032">
        <f t="shared" ref="K451:K453" si="35">G451</f>
        <v>2250000</v>
      </c>
      <c r="L451" s="1032">
        <f t="shared" si="33"/>
        <v>0</v>
      </c>
      <c r="M451" s="1064"/>
    </row>
    <row r="452" spans="1:13" ht="30" customHeight="1" x14ac:dyDescent="0.2">
      <c r="A452" s="1065">
        <v>289</v>
      </c>
      <c r="B452" s="1064" t="s">
        <v>653</v>
      </c>
      <c r="C452" s="1046" t="s">
        <v>1354</v>
      </c>
      <c r="D452" s="1291">
        <v>25000000</v>
      </c>
      <c r="E452" s="1298">
        <v>5.3999999999999999E-2</v>
      </c>
      <c r="F452" s="1291">
        <f t="shared" si="32"/>
        <v>1350000</v>
      </c>
      <c r="G452" s="1032">
        <v>1350000</v>
      </c>
      <c r="H452" s="1032" t="s">
        <v>3148</v>
      </c>
      <c r="I452" s="1048" t="s">
        <v>3186</v>
      </c>
      <c r="J452" s="21" t="s">
        <v>654</v>
      </c>
      <c r="K452" s="1032">
        <f t="shared" si="35"/>
        <v>1350000</v>
      </c>
      <c r="L452" s="1324">
        <f t="shared" si="33"/>
        <v>0</v>
      </c>
      <c r="M452" s="1064"/>
    </row>
    <row r="453" spans="1:13" ht="30" customHeight="1" x14ac:dyDescent="0.2">
      <c r="A453" s="1065">
        <v>290</v>
      </c>
      <c r="B453" s="1064" t="s">
        <v>652</v>
      </c>
      <c r="C453" s="1046" t="s">
        <v>1343</v>
      </c>
      <c r="D453" s="1032">
        <v>800000000</v>
      </c>
      <c r="E453" s="1060">
        <v>5.5E-2</v>
      </c>
      <c r="F453" s="1032">
        <f t="shared" si="32"/>
        <v>44000000</v>
      </c>
      <c r="G453" s="1032"/>
      <c r="H453" s="1032"/>
      <c r="I453" s="1048"/>
      <c r="J453" s="24" t="s">
        <v>2206</v>
      </c>
      <c r="K453" s="1032">
        <f t="shared" si="35"/>
        <v>0</v>
      </c>
      <c r="L453" s="1032">
        <f t="shared" si="33"/>
        <v>44000000</v>
      </c>
      <c r="M453" s="171" t="s">
        <v>639</v>
      </c>
    </row>
    <row r="454" spans="1:13" ht="30" customHeight="1" x14ac:dyDescent="0.2">
      <c r="A454" s="1065">
        <v>292</v>
      </c>
      <c r="B454" s="1064" t="s">
        <v>143</v>
      </c>
      <c r="C454" s="1059" t="s">
        <v>1354</v>
      </c>
      <c r="D454" s="1032">
        <v>100000000</v>
      </c>
      <c r="E454" s="1060">
        <v>0.05</v>
      </c>
      <c r="F454" s="1032">
        <f t="shared" si="32"/>
        <v>5000000</v>
      </c>
      <c r="G454" s="1032">
        <v>5000000</v>
      </c>
      <c r="H454" s="1032" t="s">
        <v>3041</v>
      </c>
      <c r="I454" s="1048" t="s">
        <v>3155</v>
      </c>
      <c r="J454" s="70" t="s">
        <v>3156</v>
      </c>
      <c r="K454" s="1032">
        <f>G454</f>
        <v>5000000</v>
      </c>
      <c r="L454" s="1032">
        <f t="shared" si="33"/>
        <v>0</v>
      </c>
      <c r="M454" s="1064"/>
    </row>
    <row r="455" spans="1:13" ht="30" customHeight="1" x14ac:dyDescent="0.2">
      <c r="A455" s="1065">
        <v>293</v>
      </c>
      <c r="B455" s="1064" t="s">
        <v>144</v>
      </c>
      <c r="C455" s="1046" t="s">
        <v>1354</v>
      </c>
      <c r="D455" s="1032">
        <v>75000000</v>
      </c>
      <c r="E455" s="1060">
        <v>0.04</v>
      </c>
      <c r="F455" s="1032">
        <f>D455*E455</f>
        <v>3000000</v>
      </c>
      <c r="G455" s="1032">
        <v>3000000</v>
      </c>
      <c r="H455" s="1032" t="s">
        <v>3148</v>
      </c>
      <c r="I455" s="1048" t="s">
        <v>3201</v>
      </c>
      <c r="J455" s="21" t="s">
        <v>2311</v>
      </c>
      <c r="K455" s="1032">
        <f>G455</f>
        <v>3000000</v>
      </c>
      <c r="L455" s="1032">
        <f t="shared" si="33"/>
        <v>0</v>
      </c>
      <c r="M455" s="1064"/>
    </row>
    <row r="456" spans="1:13" ht="30" customHeight="1" x14ac:dyDescent="0.2">
      <c r="A456" s="2031"/>
      <c r="B456" s="2029" t="s">
        <v>145</v>
      </c>
      <c r="C456" s="2324" t="s">
        <v>2920</v>
      </c>
      <c r="D456" s="2325"/>
      <c r="E456" s="2325"/>
      <c r="F456" s="2326"/>
      <c r="G456" s="1218">
        <v>79000000</v>
      </c>
      <c r="H456" s="1218" t="s">
        <v>2855</v>
      </c>
      <c r="I456" s="1228" t="s">
        <v>2921</v>
      </c>
      <c r="J456" s="21" t="s">
        <v>2922</v>
      </c>
      <c r="K456" s="2040">
        <f>G456+G457+G458+G459</f>
        <v>300000000</v>
      </c>
      <c r="L456" s="2040">
        <f>300000000-K456</f>
        <v>0</v>
      </c>
      <c r="M456" s="2101"/>
    </row>
    <row r="457" spans="1:13" ht="33.75" customHeight="1" x14ac:dyDescent="0.2">
      <c r="A457" s="2034"/>
      <c r="B457" s="2033"/>
      <c r="C457" s="2327"/>
      <c r="D457" s="2328"/>
      <c r="E457" s="2328"/>
      <c r="F457" s="2329"/>
      <c r="G457" s="1218">
        <v>19000000</v>
      </c>
      <c r="H457" s="1218" t="s">
        <v>2855</v>
      </c>
      <c r="I457" s="1228" t="s">
        <v>2923</v>
      </c>
      <c r="J457" s="21" t="s">
        <v>2922</v>
      </c>
      <c r="K457" s="2041"/>
      <c r="L457" s="2041"/>
      <c r="M457" s="2222"/>
    </row>
    <row r="458" spans="1:13" ht="33.75" customHeight="1" x14ac:dyDescent="0.2">
      <c r="A458" s="2034"/>
      <c r="B458" s="2033"/>
      <c r="C458" s="2327"/>
      <c r="D458" s="2328"/>
      <c r="E458" s="2328"/>
      <c r="F458" s="2329"/>
      <c r="G458" s="1324">
        <v>200000000</v>
      </c>
      <c r="H458" s="1324"/>
      <c r="I458" s="1333"/>
      <c r="J458" s="21"/>
      <c r="K458" s="2041"/>
      <c r="L458" s="2041"/>
      <c r="M458" s="2222"/>
    </row>
    <row r="459" spans="1:13" ht="33.75" customHeight="1" x14ac:dyDescent="0.2">
      <c r="A459" s="2034"/>
      <c r="B459" s="2033"/>
      <c r="C459" s="2330"/>
      <c r="D459" s="2331"/>
      <c r="E459" s="2331"/>
      <c r="F459" s="2332"/>
      <c r="G459" s="1324">
        <v>2000000</v>
      </c>
      <c r="H459" s="1324" t="s">
        <v>3371</v>
      </c>
      <c r="I459" s="1333" t="s">
        <v>3398</v>
      </c>
      <c r="J459" s="21" t="s">
        <v>2922</v>
      </c>
      <c r="K459" s="2042"/>
      <c r="L459" s="2042"/>
      <c r="M459" s="2102"/>
    </row>
    <row r="460" spans="1:13" ht="30" customHeight="1" x14ac:dyDescent="0.2">
      <c r="A460" s="2032"/>
      <c r="B460" s="2030"/>
      <c r="C460" s="1046" t="s">
        <v>1354</v>
      </c>
      <c r="D460" s="1032">
        <v>100000000</v>
      </c>
      <c r="E460" s="1060">
        <v>0.05</v>
      </c>
      <c r="F460" s="1032">
        <f t="shared" si="32"/>
        <v>5000000</v>
      </c>
      <c r="G460" s="2040">
        <v>5500000</v>
      </c>
      <c r="H460" s="2040" t="s">
        <v>3148</v>
      </c>
      <c r="I460" s="2159" t="s">
        <v>3203</v>
      </c>
      <c r="J460" s="2040" t="s">
        <v>2922</v>
      </c>
      <c r="K460" s="2040">
        <f>G460</f>
        <v>5500000</v>
      </c>
      <c r="L460" s="2040">
        <f>(F460+F461)-G460</f>
        <v>0</v>
      </c>
      <c r="M460" s="2068"/>
    </row>
    <row r="461" spans="1:13" ht="30" customHeight="1" x14ac:dyDescent="0.2">
      <c r="A461" s="1065">
        <v>295</v>
      </c>
      <c r="B461" s="1064" t="s">
        <v>727</v>
      </c>
      <c r="C461" s="1046" t="s">
        <v>1354</v>
      </c>
      <c r="D461" s="1032">
        <v>10000000</v>
      </c>
      <c r="E461" s="1060">
        <v>0.05</v>
      </c>
      <c r="F461" s="1032">
        <f>D461*E461</f>
        <v>500000</v>
      </c>
      <c r="G461" s="2042"/>
      <c r="H461" s="2042"/>
      <c r="I461" s="2160"/>
      <c r="J461" s="2042"/>
      <c r="K461" s="2042"/>
      <c r="L461" s="2042"/>
      <c r="M461" s="2069"/>
    </row>
    <row r="462" spans="1:13" ht="30" customHeight="1" x14ac:dyDescent="0.2">
      <c r="A462" s="1065">
        <v>296</v>
      </c>
      <c r="B462" s="1064" t="s">
        <v>146</v>
      </c>
      <c r="C462" s="1046" t="s">
        <v>1378</v>
      </c>
      <c r="D462" s="1032">
        <v>35000000</v>
      </c>
      <c r="E462" s="1060">
        <v>0.04</v>
      </c>
      <c r="F462" s="1032">
        <f t="shared" si="32"/>
        <v>1400000</v>
      </c>
      <c r="G462" s="1032">
        <v>1400000</v>
      </c>
      <c r="H462" s="1032" t="s">
        <v>3148</v>
      </c>
      <c r="I462" s="1048" t="s">
        <v>3200</v>
      </c>
      <c r="J462" s="24" t="s">
        <v>2516</v>
      </c>
      <c r="K462" s="1032">
        <f>G462</f>
        <v>1400000</v>
      </c>
      <c r="L462" s="1032">
        <f t="shared" si="33"/>
        <v>0</v>
      </c>
      <c r="M462" s="1064"/>
    </row>
    <row r="463" spans="1:13" ht="30" customHeight="1" x14ac:dyDescent="0.2">
      <c r="A463" s="1065">
        <v>297</v>
      </c>
      <c r="B463" s="1064" t="s">
        <v>147</v>
      </c>
      <c r="C463" s="1046"/>
      <c r="D463" s="2240" t="s">
        <v>3194</v>
      </c>
      <c r="E463" s="2241"/>
      <c r="F463" s="2242"/>
      <c r="G463" s="1032">
        <v>50000000</v>
      </c>
      <c r="H463" s="1032" t="s">
        <v>3148</v>
      </c>
      <c r="I463" s="1048" t="s">
        <v>3192</v>
      </c>
      <c r="J463" s="1047" t="s">
        <v>3193</v>
      </c>
      <c r="K463" s="1032">
        <f>G463</f>
        <v>50000000</v>
      </c>
      <c r="L463" s="1324">
        <f>50000000-G463</f>
        <v>0</v>
      </c>
      <c r="M463" s="1064"/>
    </row>
    <row r="464" spans="1:13" ht="30" customHeight="1" x14ac:dyDescent="0.2">
      <c r="A464" s="1065">
        <v>298</v>
      </c>
      <c r="B464" s="1064" t="s">
        <v>148</v>
      </c>
      <c r="C464" s="1046" t="s">
        <v>1165</v>
      </c>
      <c r="D464" s="1032">
        <v>40000000</v>
      </c>
      <c r="E464" s="1060">
        <v>5.1999999999999998E-2</v>
      </c>
      <c r="F464" s="1032">
        <v>2000000</v>
      </c>
      <c r="G464" s="1032">
        <v>2000000</v>
      </c>
      <c r="H464" s="1032" t="s">
        <v>3041</v>
      </c>
      <c r="I464" s="1048" t="s">
        <v>3159</v>
      </c>
      <c r="J464" s="24" t="s">
        <v>1010</v>
      </c>
      <c r="K464" s="1032">
        <f>G464</f>
        <v>2000000</v>
      </c>
      <c r="L464" s="1032">
        <f t="shared" si="33"/>
        <v>0</v>
      </c>
      <c r="M464" s="1064"/>
    </row>
    <row r="465" spans="1:13" ht="30" customHeight="1" x14ac:dyDescent="0.2">
      <c r="A465" s="1065">
        <v>300</v>
      </c>
      <c r="B465" s="1066" t="s">
        <v>150</v>
      </c>
      <c r="C465" s="1059" t="s">
        <v>917</v>
      </c>
      <c r="D465" s="1047">
        <v>178000000</v>
      </c>
      <c r="E465" s="1060">
        <v>5.8999999999999997E-2</v>
      </c>
      <c r="F465" s="1047">
        <v>10500000</v>
      </c>
      <c r="G465" s="2318" t="s">
        <v>3264</v>
      </c>
      <c r="H465" s="2319"/>
      <c r="I465" s="2319"/>
      <c r="J465" s="2319"/>
      <c r="K465" s="2320"/>
      <c r="L465" s="1376"/>
      <c r="M465" s="1064"/>
    </row>
    <row r="466" spans="1:13" ht="30" customHeight="1" x14ac:dyDescent="0.2">
      <c r="A466" s="1065">
        <v>301</v>
      </c>
      <c r="B466" s="1064" t="s">
        <v>2482</v>
      </c>
      <c r="C466" s="1046"/>
      <c r="D466" s="1032">
        <v>10000000</v>
      </c>
      <c r="E466" s="1029">
        <v>0.04</v>
      </c>
      <c r="F466" s="1032">
        <f>D466*E466</f>
        <v>400000</v>
      </c>
      <c r="G466" s="1032">
        <v>400000</v>
      </c>
      <c r="H466" s="1032" t="s">
        <v>3271</v>
      </c>
      <c r="I466" s="1048" t="s">
        <v>3297</v>
      </c>
      <c r="J466" s="1048" t="s">
        <v>2483</v>
      </c>
      <c r="K466" s="1032">
        <f>G466</f>
        <v>400000</v>
      </c>
      <c r="L466" s="1032">
        <f t="shared" ref="L466:L499" si="36">F466-K466</f>
        <v>0</v>
      </c>
      <c r="M466" s="103"/>
    </row>
    <row r="467" spans="1:13" ht="30" customHeight="1" x14ac:dyDescent="0.2">
      <c r="A467" s="1065">
        <v>302</v>
      </c>
      <c r="B467" s="1064" t="s">
        <v>152</v>
      </c>
      <c r="C467" s="1046" t="s">
        <v>1351</v>
      </c>
      <c r="D467" s="1032">
        <v>60000000</v>
      </c>
      <c r="E467" s="1060">
        <v>4.4999999999999998E-2</v>
      </c>
      <c r="F467" s="1032">
        <f t="shared" si="32"/>
        <v>2700000</v>
      </c>
      <c r="G467" s="1032">
        <v>2700000</v>
      </c>
      <c r="H467" s="1032" t="s">
        <v>3288</v>
      </c>
      <c r="I467" s="1048" t="s">
        <v>3322</v>
      </c>
      <c r="J467" s="24" t="s">
        <v>3323</v>
      </c>
      <c r="K467" s="1032">
        <f>G467</f>
        <v>2700000</v>
      </c>
      <c r="L467" s="1032">
        <f t="shared" si="36"/>
        <v>0</v>
      </c>
      <c r="M467" s="1064"/>
    </row>
    <row r="468" spans="1:13" ht="30" customHeight="1" x14ac:dyDescent="0.2">
      <c r="A468" s="2031">
        <v>303</v>
      </c>
      <c r="B468" s="2029" t="s">
        <v>153</v>
      </c>
      <c r="C468" s="2149" t="s">
        <v>1913</v>
      </c>
      <c r="D468" s="2040">
        <v>1816000000</v>
      </c>
      <c r="E468" s="2037">
        <f t="shared" ref="E468" si="37">F468/D468</f>
        <v>7.306167400881057E-2</v>
      </c>
      <c r="F468" s="2040">
        <v>132680000</v>
      </c>
      <c r="G468" s="1416">
        <v>50000000</v>
      </c>
      <c r="H468" s="1416" t="s">
        <v>3371</v>
      </c>
      <c r="I468" s="1424" t="s">
        <v>3383</v>
      </c>
      <c r="J468" s="24" t="s">
        <v>1115</v>
      </c>
      <c r="K468" s="2040">
        <f>G468+G469+G470</f>
        <v>132680000</v>
      </c>
      <c r="L468" s="2040">
        <f>F468-K468</f>
        <v>0</v>
      </c>
      <c r="M468" s="1457" t="s">
        <v>2572</v>
      </c>
    </row>
    <row r="469" spans="1:13" ht="30" customHeight="1" x14ac:dyDescent="0.2">
      <c r="A469" s="2034"/>
      <c r="B469" s="2033"/>
      <c r="C469" s="2158"/>
      <c r="D469" s="2041"/>
      <c r="E469" s="2038"/>
      <c r="F469" s="2041"/>
      <c r="G469" s="1416">
        <v>25000000</v>
      </c>
      <c r="H469" s="1416" t="s">
        <v>3358</v>
      </c>
      <c r="I469" s="1424" t="s">
        <v>3419</v>
      </c>
      <c r="J469" s="24" t="s">
        <v>1115</v>
      </c>
      <c r="K469" s="2041"/>
      <c r="L469" s="2041"/>
      <c r="M469" s="1457"/>
    </row>
    <row r="470" spans="1:13" ht="30" customHeight="1" x14ac:dyDescent="0.2">
      <c r="A470" s="2034"/>
      <c r="B470" s="2033"/>
      <c r="C470" s="2158"/>
      <c r="D470" s="2041"/>
      <c r="E470" s="2038"/>
      <c r="F470" s="2041"/>
      <c r="G470" s="1416">
        <v>57680000</v>
      </c>
      <c r="H470" s="1416" t="s">
        <v>3442</v>
      </c>
      <c r="I470" s="1424" t="s">
        <v>3510</v>
      </c>
      <c r="J470" s="24" t="s">
        <v>1115</v>
      </c>
      <c r="K470" s="2042"/>
      <c r="L470" s="2042"/>
      <c r="M470" s="1457"/>
    </row>
    <row r="471" spans="1:13" ht="30" customHeight="1" x14ac:dyDescent="0.2">
      <c r="A471" s="2034"/>
      <c r="B471" s="2033"/>
      <c r="C471" s="2158"/>
      <c r="D471" s="2042"/>
      <c r="E471" s="2039"/>
      <c r="F471" s="2042"/>
      <c r="G471" s="2295" t="s">
        <v>3480</v>
      </c>
      <c r="H471" s="2295"/>
      <c r="I471" s="2295"/>
      <c r="J471" s="2295"/>
      <c r="K471" s="2295"/>
      <c r="L471" s="1477"/>
      <c r="M471" s="1457"/>
    </row>
    <row r="472" spans="1:13" ht="30" customHeight="1" x14ac:dyDescent="0.2">
      <c r="A472" s="2032"/>
      <c r="B472" s="2030"/>
      <c r="C472" s="2150"/>
      <c r="D472" s="1477">
        <f>D468+30000000</f>
        <v>1846000000</v>
      </c>
      <c r="E472" s="1475">
        <f>F472/D472</f>
        <v>7.3174431202600212E-2</v>
      </c>
      <c r="F472" s="1478">
        <v>135080000</v>
      </c>
      <c r="G472" s="2295" t="s">
        <v>3460</v>
      </c>
      <c r="H472" s="2295"/>
      <c r="I472" s="2295"/>
      <c r="J472" s="2295"/>
      <c r="K472" s="2295"/>
      <c r="L472" s="1477"/>
      <c r="M472" s="1457"/>
    </row>
    <row r="473" spans="1:13" ht="30" customHeight="1" x14ac:dyDescent="0.2">
      <c r="A473" s="2031">
        <v>305</v>
      </c>
      <c r="B473" s="2029" t="s">
        <v>155</v>
      </c>
      <c r="C473" s="2149"/>
      <c r="D473" s="2040">
        <v>750000000</v>
      </c>
      <c r="E473" s="2262">
        <v>6.5000000000000002E-2</v>
      </c>
      <c r="F473" s="2157">
        <v>48000000</v>
      </c>
      <c r="G473" s="1032">
        <v>4000000</v>
      </c>
      <c r="H473" s="1032" t="s">
        <v>2341</v>
      </c>
      <c r="I473" s="1053" t="s">
        <v>2769</v>
      </c>
      <c r="J473" s="24" t="s">
        <v>2303</v>
      </c>
      <c r="K473" s="2040">
        <f>G473+G474</f>
        <v>24000000</v>
      </c>
      <c r="L473" s="2040">
        <f t="shared" si="36"/>
        <v>24000000</v>
      </c>
      <c r="M473" s="385" t="s">
        <v>2829</v>
      </c>
    </row>
    <row r="474" spans="1:13" ht="30" customHeight="1" x14ac:dyDescent="0.2">
      <c r="A474" s="2034"/>
      <c r="B474" s="2033"/>
      <c r="C474" s="2158"/>
      <c r="D474" s="2042"/>
      <c r="E474" s="2262"/>
      <c r="F474" s="2157"/>
      <c r="G474" s="1032">
        <v>20000000</v>
      </c>
      <c r="H474" s="1032" t="s">
        <v>2847</v>
      </c>
      <c r="I474" s="1053" t="s">
        <v>2862</v>
      </c>
      <c r="J474" s="24" t="s">
        <v>2529</v>
      </c>
      <c r="K474" s="2042"/>
      <c r="L474" s="2042"/>
      <c r="M474" s="759" t="s">
        <v>3426</v>
      </c>
    </row>
    <row r="475" spans="1:13" ht="30" customHeight="1" x14ac:dyDescent="0.2">
      <c r="A475" s="2034"/>
      <c r="B475" s="2033"/>
      <c r="C475" s="2158"/>
      <c r="D475" s="2040">
        <v>750000000</v>
      </c>
      <c r="E475" s="2037">
        <v>6.5000000000000002E-2</v>
      </c>
      <c r="F475" s="2040">
        <v>48000000</v>
      </c>
      <c r="G475" s="1478">
        <v>10000000</v>
      </c>
      <c r="H475" s="1478" t="s">
        <v>3449</v>
      </c>
      <c r="I475" s="1495" t="s">
        <v>3497</v>
      </c>
      <c r="J475" s="24" t="s">
        <v>2529</v>
      </c>
      <c r="K475" s="2040">
        <f>G475+G476+G477+G478</f>
        <v>22000000</v>
      </c>
      <c r="L475" s="2040">
        <f>F475-10000000-K475</f>
        <v>16000000</v>
      </c>
      <c r="M475" s="2212" t="s">
        <v>3496</v>
      </c>
    </row>
    <row r="476" spans="1:13" ht="30" customHeight="1" x14ac:dyDescent="0.2">
      <c r="A476" s="2034"/>
      <c r="B476" s="2033"/>
      <c r="C476" s="2158"/>
      <c r="D476" s="2041"/>
      <c r="E476" s="2038"/>
      <c r="F476" s="2041"/>
      <c r="G476" s="1478">
        <v>10000000</v>
      </c>
      <c r="H476" s="1478" t="s">
        <v>3449</v>
      </c>
      <c r="I476" s="1495" t="s">
        <v>3498</v>
      </c>
      <c r="J476" s="24" t="s">
        <v>2529</v>
      </c>
      <c r="K476" s="2041"/>
      <c r="L476" s="2041"/>
      <c r="M476" s="2253"/>
    </row>
    <row r="477" spans="1:13" ht="30" customHeight="1" x14ac:dyDescent="0.2">
      <c r="A477" s="2034"/>
      <c r="B477" s="2033"/>
      <c r="C477" s="2158"/>
      <c r="D477" s="2041"/>
      <c r="E477" s="2038"/>
      <c r="F477" s="2041"/>
      <c r="G477" s="1478">
        <v>2000000</v>
      </c>
      <c r="H477" s="1478" t="s">
        <v>3449</v>
      </c>
      <c r="I477" s="1495" t="s">
        <v>3499</v>
      </c>
      <c r="J477" s="24" t="s">
        <v>2303</v>
      </c>
      <c r="K477" s="2041"/>
      <c r="L477" s="2041"/>
      <c r="M477" s="2253"/>
    </row>
    <row r="478" spans="1:13" ht="30" customHeight="1" x14ac:dyDescent="0.2">
      <c r="A478" s="2032"/>
      <c r="B478" s="2030"/>
      <c r="C478" s="2150"/>
      <c r="D478" s="2042"/>
      <c r="E478" s="2039"/>
      <c r="F478" s="2042"/>
      <c r="G478" s="1478"/>
      <c r="H478" s="1478"/>
      <c r="I478" s="1495"/>
      <c r="J478" s="24"/>
      <c r="K478" s="2042"/>
      <c r="L478" s="2042"/>
      <c r="M478" s="2213"/>
    </row>
    <row r="479" spans="1:13" ht="30" customHeight="1" x14ac:dyDescent="0.2">
      <c r="A479" s="1065">
        <v>307</v>
      </c>
      <c r="B479" s="1064" t="s">
        <v>157</v>
      </c>
      <c r="C479" s="1046" t="s">
        <v>1378</v>
      </c>
      <c r="D479" s="1032">
        <v>260000000</v>
      </c>
      <c r="E479" s="1060">
        <v>0.05</v>
      </c>
      <c r="F479" s="1032">
        <f t="shared" si="32"/>
        <v>13000000</v>
      </c>
      <c r="G479" s="1032">
        <v>13000000</v>
      </c>
      <c r="H479" s="1032" t="s">
        <v>3227</v>
      </c>
      <c r="I479" s="1048" t="s">
        <v>3244</v>
      </c>
      <c r="J479" s="24" t="s">
        <v>2544</v>
      </c>
      <c r="K479" s="1032">
        <f>G479</f>
        <v>13000000</v>
      </c>
      <c r="L479" s="1032">
        <f t="shared" si="36"/>
        <v>0</v>
      </c>
      <c r="M479" s="1064"/>
    </row>
    <row r="480" spans="1:13" ht="30" customHeight="1" x14ac:dyDescent="0.2">
      <c r="A480" s="1026">
        <v>308</v>
      </c>
      <c r="B480" s="1066" t="s">
        <v>158</v>
      </c>
      <c r="C480" s="1059" t="s">
        <v>1349</v>
      </c>
      <c r="D480" s="1047">
        <v>300000000</v>
      </c>
      <c r="E480" s="1060">
        <v>0.05</v>
      </c>
      <c r="F480" s="1047">
        <f t="shared" si="32"/>
        <v>15000000</v>
      </c>
      <c r="G480" s="2040">
        <v>24000000</v>
      </c>
      <c r="H480" s="2040" t="s">
        <v>3041</v>
      </c>
      <c r="I480" s="2159" t="s">
        <v>3136</v>
      </c>
      <c r="J480" s="2168" t="s">
        <v>1997</v>
      </c>
      <c r="K480" s="2040">
        <f>G480</f>
        <v>24000000</v>
      </c>
      <c r="L480" s="2040">
        <f>(F480+F481)-K480</f>
        <v>0</v>
      </c>
      <c r="M480" s="2101"/>
    </row>
    <row r="481" spans="1:13" ht="30" customHeight="1" x14ac:dyDescent="0.2">
      <c r="A481" s="1065">
        <v>309</v>
      </c>
      <c r="B481" s="1066" t="s">
        <v>1998</v>
      </c>
      <c r="C481" s="1059" t="s">
        <v>380</v>
      </c>
      <c r="D481" s="1032">
        <v>180000000</v>
      </c>
      <c r="E481" s="1029">
        <v>0.05</v>
      </c>
      <c r="F481" s="1032">
        <f>D481*E481</f>
        <v>9000000</v>
      </c>
      <c r="G481" s="2042"/>
      <c r="H481" s="2042"/>
      <c r="I481" s="2160"/>
      <c r="J481" s="2169"/>
      <c r="K481" s="2042"/>
      <c r="L481" s="2042"/>
      <c r="M481" s="2102"/>
    </row>
    <row r="482" spans="1:13" ht="30" customHeight="1" x14ac:dyDescent="0.2">
      <c r="A482" s="1026">
        <v>310</v>
      </c>
      <c r="B482" s="1064" t="s">
        <v>160</v>
      </c>
      <c r="C482" s="1046" t="s">
        <v>401</v>
      </c>
      <c r="D482" s="1032">
        <v>100000000</v>
      </c>
      <c r="E482" s="1029">
        <v>0.05</v>
      </c>
      <c r="F482" s="1032">
        <f t="shared" ref="F482:F498" si="38">D482*E482</f>
        <v>5000000</v>
      </c>
      <c r="G482" s="1032">
        <v>5000000</v>
      </c>
      <c r="H482" s="1032" t="s">
        <v>2798</v>
      </c>
      <c r="I482" s="1057" t="s">
        <v>2801</v>
      </c>
      <c r="J482" s="24" t="s">
        <v>1629</v>
      </c>
      <c r="K482" s="1032">
        <f>G482</f>
        <v>5000000</v>
      </c>
      <c r="L482" s="1032">
        <f t="shared" si="36"/>
        <v>0</v>
      </c>
      <c r="M482" s="1064"/>
    </row>
    <row r="483" spans="1:13" ht="30" customHeight="1" x14ac:dyDescent="0.2">
      <c r="A483" s="1065">
        <v>311</v>
      </c>
      <c r="B483" s="1064" t="s">
        <v>161</v>
      </c>
      <c r="C483" s="1046" t="s">
        <v>916</v>
      </c>
      <c r="D483" s="1032">
        <v>55000000</v>
      </c>
      <c r="E483" s="1060">
        <v>0.05</v>
      </c>
      <c r="F483" s="1032">
        <f t="shared" si="38"/>
        <v>2750000</v>
      </c>
      <c r="G483" s="1032">
        <v>2750000</v>
      </c>
      <c r="H483" s="1032" t="s">
        <v>2831</v>
      </c>
      <c r="I483" s="1049" t="s">
        <v>2892</v>
      </c>
      <c r="J483" s="1049" t="s">
        <v>391</v>
      </c>
      <c r="K483" s="1032">
        <f>G483</f>
        <v>2750000</v>
      </c>
      <c r="L483" s="1032">
        <f t="shared" si="36"/>
        <v>0</v>
      </c>
      <c r="M483" s="169"/>
    </row>
    <row r="484" spans="1:13" ht="30" customHeight="1" x14ac:dyDescent="0.2">
      <c r="A484" s="1026">
        <v>312</v>
      </c>
      <c r="B484" s="1064" t="s">
        <v>162</v>
      </c>
      <c r="C484" s="1046"/>
      <c r="D484" s="1038"/>
      <c r="E484" s="44"/>
      <c r="F484" s="1038">
        <f t="shared" si="38"/>
        <v>0</v>
      </c>
      <c r="G484" s="1032">
        <v>1000000</v>
      </c>
      <c r="H484" s="1032" t="s">
        <v>3358</v>
      </c>
      <c r="I484" s="1048" t="s">
        <v>3412</v>
      </c>
      <c r="J484" s="24" t="s">
        <v>3413</v>
      </c>
      <c r="K484" s="1032">
        <f>G484</f>
        <v>1000000</v>
      </c>
      <c r="L484" s="1038">
        <f t="shared" si="36"/>
        <v>-1000000</v>
      </c>
      <c r="M484" s="1064"/>
    </row>
    <row r="485" spans="1:13" ht="30" customHeight="1" x14ac:dyDescent="0.2">
      <c r="A485" s="1065">
        <v>313</v>
      </c>
      <c r="B485" s="22" t="s">
        <v>164</v>
      </c>
      <c r="C485" s="421"/>
      <c r="D485" s="1047">
        <v>152000000</v>
      </c>
      <c r="E485" s="1060">
        <v>0.05</v>
      </c>
      <c r="F485" s="1032">
        <f>D485*E485</f>
        <v>7600000</v>
      </c>
      <c r="G485" s="1032">
        <v>7600000</v>
      </c>
      <c r="H485" s="1032" t="s">
        <v>2798</v>
      </c>
      <c r="I485" s="1048" t="s">
        <v>2813</v>
      </c>
      <c r="J485" s="24" t="s">
        <v>1848</v>
      </c>
      <c r="K485" s="1032">
        <f>G485</f>
        <v>7600000</v>
      </c>
      <c r="L485" s="1032">
        <f t="shared" si="36"/>
        <v>0</v>
      </c>
      <c r="M485" s="1064"/>
    </row>
    <row r="486" spans="1:13" ht="30" customHeight="1" x14ac:dyDescent="0.2">
      <c r="A486" s="1026">
        <v>314</v>
      </c>
      <c r="B486" s="1025" t="s">
        <v>165</v>
      </c>
      <c r="C486" s="1046"/>
      <c r="D486" s="1032">
        <v>20000000</v>
      </c>
      <c r="E486" s="1060">
        <v>0.04</v>
      </c>
      <c r="F486" s="1032">
        <f t="shared" si="38"/>
        <v>800000</v>
      </c>
      <c r="G486" s="1032"/>
      <c r="H486" s="1032"/>
      <c r="I486" s="1048"/>
      <c r="J486" s="24"/>
      <c r="K486" s="1032"/>
      <c r="L486" s="1032">
        <f t="shared" si="36"/>
        <v>800000</v>
      </c>
      <c r="M486" s="103" t="s">
        <v>749</v>
      </c>
    </row>
    <row r="487" spans="1:13" ht="30" customHeight="1" x14ac:dyDescent="0.2">
      <c r="A487" s="1069">
        <v>315</v>
      </c>
      <c r="B487" s="22" t="s">
        <v>166</v>
      </c>
      <c r="C487" s="1085" t="s">
        <v>1219</v>
      </c>
      <c r="D487" s="1075">
        <v>400000000</v>
      </c>
      <c r="E487" s="1079">
        <v>6.3E-2</v>
      </c>
      <c r="F487" s="1075">
        <v>25000000</v>
      </c>
      <c r="G487" s="1075">
        <v>25000000</v>
      </c>
      <c r="H487" s="1075" t="s">
        <v>2831</v>
      </c>
      <c r="I487" s="424" t="s">
        <v>2836</v>
      </c>
      <c r="J487" s="1084" t="s">
        <v>455</v>
      </c>
      <c r="K487" s="247">
        <f t="shared" ref="K487:K496" si="39">G487</f>
        <v>25000000</v>
      </c>
      <c r="L487" s="1075">
        <f t="shared" si="36"/>
        <v>0</v>
      </c>
      <c r="M487" s="1074"/>
    </row>
    <row r="488" spans="1:13" ht="30" customHeight="1" x14ac:dyDescent="0.2">
      <c r="A488" s="1065">
        <v>316</v>
      </c>
      <c r="B488" s="1068" t="s">
        <v>167</v>
      </c>
      <c r="C488" s="1046"/>
      <c r="D488" s="1070">
        <v>35000000</v>
      </c>
      <c r="E488" s="1071">
        <v>0.04</v>
      </c>
      <c r="F488" s="1070">
        <f>D488*E488</f>
        <v>1400000</v>
      </c>
      <c r="G488" s="1070">
        <v>1400000</v>
      </c>
      <c r="H488" s="1070" t="s">
        <v>2855</v>
      </c>
      <c r="I488" s="1077" t="s">
        <v>2924</v>
      </c>
      <c r="J488" s="1076" t="s">
        <v>1827</v>
      </c>
      <c r="K488" s="1070">
        <f t="shared" si="39"/>
        <v>1400000</v>
      </c>
      <c r="L488" s="1070">
        <f t="shared" si="36"/>
        <v>0</v>
      </c>
      <c r="M488" s="1064"/>
    </row>
    <row r="489" spans="1:13" ht="30" customHeight="1" x14ac:dyDescent="0.2">
      <c r="A489" s="2031">
        <v>317</v>
      </c>
      <c r="B489" s="2029" t="s">
        <v>168</v>
      </c>
      <c r="C489" s="1046" t="s">
        <v>367</v>
      </c>
      <c r="D489" s="1199">
        <v>100000000</v>
      </c>
      <c r="E489" s="1205">
        <v>0.05</v>
      </c>
      <c r="F489" s="1199">
        <f>D489*E489</f>
        <v>5000000</v>
      </c>
      <c r="G489" s="1199">
        <v>5000000</v>
      </c>
      <c r="H489" s="1199" t="s">
        <v>2040</v>
      </c>
      <c r="I489" s="1204" t="s">
        <v>2996</v>
      </c>
      <c r="J489" s="24" t="s">
        <v>2191</v>
      </c>
      <c r="K489" s="1199">
        <f t="shared" si="39"/>
        <v>5000000</v>
      </c>
      <c r="L489" s="1199">
        <f t="shared" si="36"/>
        <v>0</v>
      </c>
      <c r="M489" s="103" t="s">
        <v>2850</v>
      </c>
    </row>
    <row r="490" spans="1:13" ht="30" customHeight="1" x14ac:dyDescent="0.2">
      <c r="A490" s="2034"/>
      <c r="B490" s="2033"/>
      <c r="C490" s="1202" t="s">
        <v>1342</v>
      </c>
      <c r="D490" s="1199">
        <v>210000000</v>
      </c>
      <c r="E490" s="1205">
        <v>0.05</v>
      </c>
      <c r="F490" s="1199">
        <f>D490*E490</f>
        <v>10500000</v>
      </c>
      <c r="G490" s="1199">
        <v>17000000</v>
      </c>
      <c r="H490" s="1199" t="s">
        <v>3041</v>
      </c>
      <c r="I490" s="1204" t="s">
        <v>3139</v>
      </c>
      <c r="J490" s="24" t="s">
        <v>3140</v>
      </c>
      <c r="K490" s="1199">
        <f t="shared" si="39"/>
        <v>17000000</v>
      </c>
      <c r="L490" s="1300">
        <f>17000000-K490</f>
        <v>0</v>
      </c>
      <c r="M490" s="103" t="s">
        <v>2851</v>
      </c>
    </row>
    <row r="491" spans="1:13" ht="30" customHeight="1" x14ac:dyDescent="0.2">
      <c r="A491" s="2032"/>
      <c r="B491" s="2030"/>
      <c r="C491" s="1442"/>
      <c r="D491" s="1437"/>
      <c r="E491" s="1447"/>
      <c r="F491" s="1437"/>
      <c r="G491" s="1441">
        <v>15000000</v>
      </c>
      <c r="H491" s="1441" t="s">
        <v>3430</v>
      </c>
      <c r="I491" s="118" t="s">
        <v>3435</v>
      </c>
      <c r="J491" s="61" t="s">
        <v>3140</v>
      </c>
      <c r="K491" s="1441">
        <f t="shared" si="39"/>
        <v>15000000</v>
      </c>
      <c r="L491" s="1441"/>
      <c r="M491" s="103" t="s">
        <v>3436</v>
      </c>
    </row>
    <row r="492" spans="1:13" ht="30" customHeight="1" x14ac:dyDescent="0.2">
      <c r="A492" s="1065">
        <v>318</v>
      </c>
      <c r="B492" s="1064" t="s">
        <v>170</v>
      </c>
      <c r="C492" s="1046"/>
      <c r="D492" s="1246">
        <v>80000000</v>
      </c>
      <c r="E492" s="1255">
        <v>0.05</v>
      </c>
      <c r="F492" s="1246">
        <f t="shared" si="38"/>
        <v>4000000</v>
      </c>
      <c r="G492" s="1246">
        <v>4000000</v>
      </c>
      <c r="H492" s="1246" t="s">
        <v>2040</v>
      </c>
      <c r="I492" s="1253" t="s">
        <v>2981</v>
      </c>
      <c r="J492" s="21" t="s">
        <v>1931</v>
      </c>
      <c r="K492" s="1246">
        <f t="shared" si="39"/>
        <v>4000000</v>
      </c>
      <c r="L492" s="1246">
        <f t="shared" si="36"/>
        <v>0</v>
      </c>
      <c r="M492" s="1064"/>
    </row>
    <row r="493" spans="1:13" ht="30" customHeight="1" x14ac:dyDescent="0.2">
      <c r="A493" s="1065">
        <v>319</v>
      </c>
      <c r="B493" s="1064" t="s">
        <v>171</v>
      </c>
      <c r="C493" s="1046" t="s">
        <v>1342</v>
      </c>
      <c r="D493" s="1032">
        <v>200000000</v>
      </c>
      <c r="E493" s="1060">
        <v>5.5E-2</v>
      </c>
      <c r="F493" s="1032">
        <f t="shared" si="38"/>
        <v>11000000</v>
      </c>
      <c r="G493" s="1032">
        <v>10000000</v>
      </c>
      <c r="H493" s="1032" t="s">
        <v>3271</v>
      </c>
      <c r="I493" s="1053" t="s">
        <v>3279</v>
      </c>
      <c r="J493" s="24" t="s">
        <v>3280</v>
      </c>
      <c r="K493" s="1032">
        <f t="shared" si="39"/>
        <v>10000000</v>
      </c>
      <c r="L493" s="1032">
        <f t="shared" si="36"/>
        <v>1000000</v>
      </c>
      <c r="M493" s="103"/>
    </row>
    <row r="494" spans="1:13" ht="30" customHeight="1" x14ac:dyDescent="0.2">
      <c r="A494" s="1065">
        <v>320</v>
      </c>
      <c r="B494" s="1064" t="s">
        <v>172</v>
      </c>
      <c r="C494" s="1046" t="s">
        <v>2413</v>
      </c>
      <c r="D494" s="1032">
        <v>135000000</v>
      </c>
      <c r="E494" s="1060">
        <v>0.06</v>
      </c>
      <c r="F494" s="1032">
        <v>8000000</v>
      </c>
      <c r="G494" s="1032">
        <v>8000000</v>
      </c>
      <c r="H494" s="1032" t="s">
        <v>3109</v>
      </c>
      <c r="I494" s="1048" t="s">
        <v>3113</v>
      </c>
      <c r="J494" s="24" t="s">
        <v>2208</v>
      </c>
      <c r="K494" s="1032">
        <f t="shared" si="39"/>
        <v>8000000</v>
      </c>
      <c r="L494" s="1300">
        <f t="shared" si="36"/>
        <v>0</v>
      </c>
      <c r="M494" s="103"/>
    </row>
    <row r="495" spans="1:13" ht="30" customHeight="1" x14ac:dyDescent="0.2">
      <c r="A495" s="1065">
        <v>321</v>
      </c>
      <c r="B495" s="1064" t="s">
        <v>174</v>
      </c>
      <c r="C495" s="1046"/>
      <c r="D495" s="1032">
        <v>5000000</v>
      </c>
      <c r="E495" s="1060">
        <v>0.04</v>
      </c>
      <c r="F495" s="1032">
        <f t="shared" si="38"/>
        <v>200000</v>
      </c>
      <c r="G495" s="1032">
        <v>200000</v>
      </c>
      <c r="H495" s="1032" t="s">
        <v>3271</v>
      </c>
      <c r="I495" s="1048" t="s">
        <v>3299</v>
      </c>
      <c r="J495" s="24" t="s">
        <v>2465</v>
      </c>
      <c r="K495" s="1032">
        <f t="shared" si="39"/>
        <v>200000</v>
      </c>
      <c r="L495" s="1032">
        <f t="shared" si="36"/>
        <v>0</v>
      </c>
      <c r="M495" s="1064"/>
    </row>
    <row r="496" spans="1:13" ht="30" customHeight="1" x14ac:dyDescent="0.2">
      <c r="A496" s="2031">
        <v>322</v>
      </c>
      <c r="B496" s="2029" t="s">
        <v>1450</v>
      </c>
      <c r="C496" s="2149" t="s">
        <v>1112</v>
      </c>
      <c r="D496" s="1032">
        <v>10000000</v>
      </c>
      <c r="E496" s="1060">
        <v>0.05</v>
      </c>
      <c r="F496" s="1032">
        <f t="shared" si="38"/>
        <v>500000</v>
      </c>
      <c r="G496" s="1032">
        <v>500000</v>
      </c>
      <c r="H496" s="1032" t="s">
        <v>2798</v>
      </c>
      <c r="I496" s="1057" t="s">
        <v>2804</v>
      </c>
      <c r="J496" s="1057" t="s">
        <v>1448</v>
      </c>
      <c r="K496" s="1032">
        <f t="shared" si="39"/>
        <v>500000</v>
      </c>
      <c r="L496" s="1032">
        <f t="shared" si="36"/>
        <v>0</v>
      </c>
      <c r="M496" s="103" t="s">
        <v>2667</v>
      </c>
    </row>
    <row r="497" spans="1:13" ht="30" customHeight="1" x14ac:dyDescent="0.2">
      <c r="A497" s="2032"/>
      <c r="B497" s="2030"/>
      <c r="C497" s="2150"/>
      <c r="D497" s="1032">
        <v>10000000</v>
      </c>
      <c r="E497" s="1060">
        <v>0.05</v>
      </c>
      <c r="F497" s="1032">
        <f t="shared" si="38"/>
        <v>500000</v>
      </c>
      <c r="G497" s="1032"/>
      <c r="H497" s="1032"/>
      <c r="I497" s="1057"/>
      <c r="J497" s="1057"/>
      <c r="K497" s="1032"/>
      <c r="L497" s="1032"/>
      <c r="M497" s="1064"/>
    </row>
    <row r="498" spans="1:13" ht="30" customHeight="1" x14ac:dyDescent="0.2">
      <c r="A498" s="1065">
        <v>323</v>
      </c>
      <c r="B498" s="1064" t="s">
        <v>175</v>
      </c>
      <c r="C498" s="1046"/>
      <c r="D498" s="1032">
        <v>60000000</v>
      </c>
      <c r="E498" s="1060">
        <v>4.4999999999999998E-2</v>
      </c>
      <c r="F498" s="1032">
        <f t="shared" si="38"/>
        <v>2700000</v>
      </c>
      <c r="G498" s="1032"/>
      <c r="H498" s="1032"/>
      <c r="I498" s="1048"/>
      <c r="J498" s="1048" t="s">
        <v>497</v>
      </c>
      <c r="K498" s="1032">
        <f>G498</f>
        <v>0</v>
      </c>
      <c r="L498" s="1032">
        <f t="shared" si="36"/>
        <v>2700000</v>
      </c>
      <c r="M498" s="1064"/>
    </row>
    <row r="499" spans="1:13" ht="30" customHeight="1" x14ac:dyDescent="0.2">
      <c r="A499" s="1065">
        <v>324</v>
      </c>
      <c r="B499" s="1064" t="s">
        <v>176</v>
      </c>
      <c r="C499" s="1046" t="s">
        <v>916</v>
      </c>
      <c r="D499" s="1032">
        <v>20000000</v>
      </c>
      <c r="E499" s="1060">
        <v>0.05</v>
      </c>
      <c r="F499" s="1032">
        <f>D499*E499</f>
        <v>1000000</v>
      </c>
      <c r="G499" s="1032">
        <v>1000000</v>
      </c>
      <c r="H499" s="1032" t="s">
        <v>2945</v>
      </c>
      <c r="I499" s="1050">
        <v>344868</v>
      </c>
      <c r="J499" s="24" t="s">
        <v>1843</v>
      </c>
      <c r="K499" s="1032">
        <f>G499</f>
        <v>1000000</v>
      </c>
      <c r="L499" s="1032">
        <f t="shared" si="36"/>
        <v>0</v>
      </c>
      <c r="M499" s="1064"/>
    </row>
    <row r="500" spans="1:13" ht="30" customHeight="1" x14ac:dyDescent="0.2">
      <c r="A500" s="2031">
        <v>325</v>
      </c>
      <c r="B500" s="2029" t="s">
        <v>273</v>
      </c>
      <c r="C500" s="2149"/>
      <c r="D500" s="1032">
        <v>300000000</v>
      </c>
      <c r="E500" s="1060">
        <v>0.1</v>
      </c>
      <c r="F500" s="1032">
        <v>30750000</v>
      </c>
      <c r="G500" s="2040">
        <v>40550000</v>
      </c>
      <c r="H500" s="2040" t="s">
        <v>3060</v>
      </c>
      <c r="I500" s="2175" t="s">
        <v>3070</v>
      </c>
      <c r="J500" s="2128" t="s">
        <v>3071</v>
      </c>
      <c r="K500" s="2040">
        <f>G500</f>
        <v>40550000</v>
      </c>
      <c r="L500" s="2040">
        <f>(F500+F501)-K500</f>
        <v>0</v>
      </c>
      <c r="M500" s="2149"/>
    </row>
    <row r="501" spans="1:13" ht="30" customHeight="1" x14ac:dyDescent="0.2">
      <c r="A501" s="2032"/>
      <c r="B501" s="2030"/>
      <c r="C501" s="2150"/>
      <c r="D501" s="1032">
        <v>140000000</v>
      </c>
      <c r="E501" s="1060">
        <v>7.0000000000000007E-2</v>
      </c>
      <c r="F501" s="1032">
        <v>9800000</v>
      </c>
      <c r="G501" s="2042"/>
      <c r="H501" s="2042"/>
      <c r="I501" s="2176"/>
      <c r="J501" s="2129"/>
      <c r="K501" s="2042"/>
      <c r="L501" s="2042"/>
      <c r="M501" s="2150"/>
    </row>
    <row r="502" spans="1:13" ht="30" customHeight="1" x14ac:dyDescent="0.2">
      <c r="A502" s="2031">
        <v>326</v>
      </c>
      <c r="B502" s="2029" t="s">
        <v>179</v>
      </c>
      <c r="C502" s="2149"/>
      <c r="D502" s="2040">
        <v>500000000</v>
      </c>
      <c r="E502" s="2037">
        <v>0.05</v>
      </c>
      <c r="F502" s="2040">
        <f>D502*E502</f>
        <v>25000000</v>
      </c>
      <c r="G502" s="2192" t="s">
        <v>2968</v>
      </c>
      <c r="H502" s="2193"/>
      <c r="I502" s="2193"/>
      <c r="J502" s="2193"/>
      <c r="K502" s="2194"/>
      <c r="L502" s="1252">
        <f>F502-K502</f>
        <v>25000000</v>
      </c>
      <c r="M502" s="823"/>
    </row>
    <row r="503" spans="1:13" ht="30" customHeight="1" x14ac:dyDescent="0.2">
      <c r="A503" s="2034"/>
      <c r="B503" s="2033"/>
      <c r="C503" s="2158"/>
      <c r="D503" s="2041"/>
      <c r="E503" s="2038"/>
      <c r="F503" s="2041"/>
      <c r="G503" s="2192" t="s">
        <v>2969</v>
      </c>
      <c r="H503" s="2193"/>
      <c r="I503" s="2193"/>
      <c r="J503" s="2193"/>
      <c r="K503" s="2194"/>
      <c r="L503" s="1246"/>
      <c r="M503" s="1408"/>
    </row>
    <row r="504" spans="1:13" ht="30" customHeight="1" x14ac:dyDescent="0.2">
      <c r="A504" s="2034"/>
      <c r="B504" s="2033"/>
      <c r="C504" s="2158"/>
      <c r="D504" s="2041"/>
      <c r="E504" s="2038"/>
      <c r="F504" s="2041"/>
      <c r="G504" s="2192" t="s">
        <v>2970</v>
      </c>
      <c r="H504" s="2193"/>
      <c r="I504" s="2193"/>
      <c r="J504" s="2193"/>
      <c r="K504" s="2194"/>
      <c r="L504" s="1246"/>
      <c r="M504" s="1408"/>
    </row>
    <row r="505" spans="1:13" ht="30" customHeight="1" x14ac:dyDescent="0.2">
      <c r="A505" s="2034"/>
      <c r="B505" s="2033"/>
      <c r="C505" s="2158"/>
      <c r="D505" s="2041"/>
      <c r="E505" s="2038"/>
      <c r="F505" s="2041"/>
      <c r="G505" s="1246">
        <v>8000000</v>
      </c>
      <c r="H505" s="1246" t="s">
        <v>3018</v>
      </c>
      <c r="I505" s="1258" t="s">
        <v>3093</v>
      </c>
      <c r="J505" s="24" t="s">
        <v>3094</v>
      </c>
      <c r="K505" s="1246">
        <f>G505</f>
        <v>8000000</v>
      </c>
      <c r="L505" s="1246"/>
      <c r="M505" s="1408"/>
    </row>
    <row r="506" spans="1:13" ht="30" customHeight="1" x14ac:dyDescent="0.2">
      <c r="A506" s="2032"/>
      <c r="B506" s="2030"/>
      <c r="C506" s="2150"/>
      <c r="D506" s="2042"/>
      <c r="E506" s="2039"/>
      <c r="F506" s="2042"/>
      <c r="G506" s="1383">
        <v>200000000</v>
      </c>
      <c r="H506" s="1383" t="s">
        <v>3245</v>
      </c>
      <c r="I506" s="1399" t="s">
        <v>3268</v>
      </c>
      <c r="J506" s="24" t="s">
        <v>3269</v>
      </c>
      <c r="K506" s="1383">
        <f>G506</f>
        <v>200000000</v>
      </c>
      <c r="L506" s="1383"/>
      <c r="M506" s="759" t="s">
        <v>3270</v>
      </c>
    </row>
    <row r="507" spans="1:13" ht="30" customHeight="1" x14ac:dyDescent="0.2">
      <c r="A507" s="1065">
        <v>327</v>
      </c>
      <c r="B507" s="1003" t="s">
        <v>1280</v>
      </c>
      <c r="C507" s="1004"/>
      <c r="D507" s="1005">
        <v>60000000</v>
      </c>
      <c r="E507" s="1006">
        <v>0.05</v>
      </c>
      <c r="F507" s="1005">
        <f t="shared" ref="F507:F511" si="40">D507*E507</f>
        <v>3000000</v>
      </c>
      <c r="G507" s="1005">
        <v>3000000</v>
      </c>
      <c r="H507" s="1005" t="s">
        <v>2650</v>
      </c>
      <c r="I507" s="1007" t="s">
        <v>2651</v>
      </c>
      <c r="J507" s="1008" t="s">
        <v>2652</v>
      </c>
      <c r="K507" s="1005">
        <f>G507</f>
        <v>3000000</v>
      </c>
      <c r="L507" s="1005">
        <f t="shared" ref="L507:L511" si="41">F507-K507</f>
        <v>0</v>
      </c>
      <c r="M507" s="103"/>
    </row>
    <row r="508" spans="1:13" ht="30" customHeight="1" x14ac:dyDescent="0.2">
      <c r="A508" s="1065">
        <v>328</v>
      </c>
      <c r="B508" s="2029" t="s">
        <v>2817</v>
      </c>
      <c r="C508" s="2149" t="s">
        <v>971</v>
      </c>
      <c r="D508" s="1032">
        <v>726100000</v>
      </c>
      <c r="E508" s="1060">
        <v>0.06</v>
      </c>
      <c r="F508" s="1032">
        <f>D508*E508</f>
        <v>43566000</v>
      </c>
      <c r="G508" s="2318" t="s">
        <v>2820</v>
      </c>
      <c r="H508" s="2319"/>
      <c r="I508" s="2319"/>
      <c r="J508" s="2319"/>
      <c r="K508" s="2320"/>
      <c r="L508" s="1032"/>
      <c r="M508" s="103"/>
    </row>
    <row r="509" spans="1:13" ht="30" customHeight="1" x14ac:dyDescent="0.2">
      <c r="A509" s="1173"/>
      <c r="B509" s="2033"/>
      <c r="C509" s="2158"/>
      <c r="D509" s="1176">
        <f>D508+18900000</f>
        <v>745000000</v>
      </c>
      <c r="E509" s="1180">
        <v>0.06</v>
      </c>
      <c r="F509" s="1176">
        <f>D509*E509</f>
        <v>44700000</v>
      </c>
      <c r="G509" s="1176"/>
      <c r="H509" s="1176"/>
      <c r="I509" s="1178"/>
      <c r="J509" s="24"/>
      <c r="K509" s="1176"/>
      <c r="L509" s="1176"/>
      <c r="M509" s="1177"/>
    </row>
    <row r="510" spans="1:13" ht="30" customHeight="1" x14ac:dyDescent="0.2">
      <c r="A510" s="1173"/>
      <c r="B510" s="2030"/>
      <c r="C510" s="2150"/>
      <c r="D510" s="1176"/>
      <c r="E510" s="1180"/>
      <c r="F510" s="1176"/>
      <c r="G510" s="1176"/>
      <c r="H510" s="1176"/>
      <c r="I510" s="1178"/>
      <c r="J510" s="24"/>
      <c r="K510" s="1176"/>
      <c r="L510" s="1176"/>
      <c r="M510" s="1177"/>
    </row>
    <row r="511" spans="1:13" ht="30" customHeight="1" x14ac:dyDescent="0.2">
      <c r="A511" s="1026">
        <v>329</v>
      </c>
      <c r="B511" s="1066" t="s">
        <v>184</v>
      </c>
      <c r="C511" s="421"/>
      <c r="D511" s="1041"/>
      <c r="E511" s="44"/>
      <c r="F511" s="1041">
        <f t="shared" si="40"/>
        <v>0</v>
      </c>
      <c r="G511" s="1047"/>
      <c r="H511" s="1047"/>
      <c r="I511" s="424"/>
      <c r="J511" s="1063"/>
      <c r="K511" s="1047"/>
      <c r="L511" s="1041">
        <f t="shared" si="41"/>
        <v>0</v>
      </c>
      <c r="M511" s="1044"/>
    </row>
    <row r="512" spans="1:13" ht="30" customHeight="1" x14ac:dyDescent="0.2">
      <c r="A512" s="1065">
        <v>330</v>
      </c>
      <c r="B512" s="1064" t="s">
        <v>1211</v>
      </c>
      <c r="C512" s="1046" t="s">
        <v>1175</v>
      </c>
      <c r="D512" s="1032">
        <v>30000000</v>
      </c>
      <c r="E512" s="1029">
        <f>F512/D512</f>
        <v>0.05</v>
      </c>
      <c r="F512" s="1032">
        <v>1500000</v>
      </c>
      <c r="G512" s="1032">
        <v>1500000</v>
      </c>
      <c r="H512" s="1032" t="s">
        <v>3358</v>
      </c>
      <c r="I512" s="1048" t="s">
        <v>3415</v>
      </c>
      <c r="J512" s="24" t="s">
        <v>2585</v>
      </c>
      <c r="K512" s="1032">
        <f>G512</f>
        <v>1500000</v>
      </c>
      <c r="L512" s="1032">
        <f>F512-K512</f>
        <v>0</v>
      </c>
      <c r="M512" s="1064"/>
    </row>
    <row r="513" spans="1:13" ht="30" customHeight="1" x14ac:dyDescent="0.2">
      <c r="A513" s="2031">
        <v>331</v>
      </c>
      <c r="B513" s="2029" t="s">
        <v>345</v>
      </c>
      <c r="C513" s="2149" t="s">
        <v>379</v>
      </c>
      <c r="D513" s="2040">
        <v>280000000</v>
      </c>
      <c r="E513" s="2037">
        <v>0.06</v>
      </c>
      <c r="F513" s="2040">
        <f t="shared" ref="F513:F520" si="42">D513*E513</f>
        <v>16800000</v>
      </c>
      <c r="G513" s="1947" t="s">
        <v>2852</v>
      </c>
      <c r="H513" s="1948"/>
      <c r="I513" s="1948"/>
      <c r="J513" s="1949"/>
      <c r="K513" s="2157">
        <f>10000000+G514</f>
        <v>16800000</v>
      </c>
      <c r="L513" s="2157">
        <f>F513-K513</f>
        <v>0</v>
      </c>
      <c r="M513" s="2101"/>
    </row>
    <row r="514" spans="1:13" ht="30" customHeight="1" x14ac:dyDescent="0.2">
      <c r="A514" s="2034"/>
      <c r="B514" s="2033"/>
      <c r="C514" s="2158"/>
      <c r="D514" s="2042"/>
      <c r="E514" s="2039"/>
      <c r="F514" s="2042"/>
      <c r="G514" s="1236">
        <v>6800000</v>
      </c>
      <c r="H514" s="1236" t="s">
        <v>2945</v>
      </c>
      <c r="I514" s="1239" t="s">
        <v>2955</v>
      </c>
      <c r="J514" s="24" t="s">
        <v>2956</v>
      </c>
      <c r="K514" s="2157"/>
      <c r="L514" s="2157"/>
      <c r="M514" s="2222"/>
    </row>
    <row r="515" spans="1:13" ht="30" customHeight="1" x14ac:dyDescent="0.2">
      <c r="A515" s="2032"/>
      <c r="B515" s="2030"/>
      <c r="C515" s="2150"/>
      <c r="D515" s="1236">
        <v>290000000</v>
      </c>
      <c r="E515" s="1240">
        <v>0.06</v>
      </c>
      <c r="F515" s="1236">
        <f>D515*E515</f>
        <v>17400000</v>
      </c>
      <c r="G515" s="2192" t="s">
        <v>2954</v>
      </c>
      <c r="H515" s="2193"/>
      <c r="I515" s="2193"/>
      <c r="J515" s="2194"/>
      <c r="K515" s="1235"/>
      <c r="L515" s="1235"/>
      <c r="M515" s="2102"/>
    </row>
    <row r="516" spans="1:13" ht="30" customHeight="1" x14ac:dyDescent="0.2">
      <c r="A516" s="1065">
        <v>332</v>
      </c>
      <c r="B516" s="1064" t="s">
        <v>378</v>
      </c>
      <c r="C516" s="1046" t="s">
        <v>379</v>
      </c>
      <c r="D516" s="1032">
        <v>30000000</v>
      </c>
      <c r="E516" s="1060">
        <v>0.05</v>
      </c>
      <c r="F516" s="1032">
        <f t="shared" si="42"/>
        <v>1500000</v>
      </c>
      <c r="G516" s="1032">
        <v>1500000</v>
      </c>
      <c r="H516" s="1032" t="s">
        <v>3060</v>
      </c>
      <c r="I516" s="1048" t="s">
        <v>3089</v>
      </c>
      <c r="J516" s="24" t="s">
        <v>1952</v>
      </c>
      <c r="K516" s="1030">
        <f>G516</f>
        <v>1500000</v>
      </c>
      <c r="L516" s="1030">
        <f>F516-K516</f>
        <v>0</v>
      </c>
      <c r="M516" s="1064"/>
    </row>
    <row r="517" spans="1:13" ht="30" customHeight="1" x14ac:dyDescent="0.2">
      <c r="A517" s="2031">
        <v>333</v>
      </c>
      <c r="B517" s="2029" t="s">
        <v>915</v>
      </c>
      <c r="C517" s="1046" t="s">
        <v>916</v>
      </c>
      <c r="D517" s="1032">
        <v>320000000</v>
      </c>
      <c r="E517" s="1060">
        <v>0.05</v>
      </c>
      <c r="F517" s="1032">
        <f t="shared" si="42"/>
        <v>16000000</v>
      </c>
      <c r="G517" s="2040">
        <v>21000000</v>
      </c>
      <c r="H517" s="2040" t="s">
        <v>2855</v>
      </c>
      <c r="I517" s="2226" t="s">
        <v>3209</v>
      </c>
      <c r="J517" s="2128" t="s">
        <v>1395</v>
      </c>
      <c r="K517" s="2157">
        <f>G517</f>
        <v>21000000</v>
      </c>
      <c r="L517" s="2157">
        <f>(F517+F518)-K517</f>
        <v>0</v>
      </c>
      <c r="M517" s="2101"/>
    </row>
    <row r="518" spans="1:13" ht="30" customHeight="1" x14ac:dyDescent="0.2">
      <c r="A518" s="2032"/>
      <c r="B518" s="2030"/>
      <c r="C518" s="1046" t="s">
        <v>917</v>
      </c>
      <c r="D518" s="1032">
        <v>100000000</v>
      </c>
      <c r="E518" s="1060">
        <v>0.05</v>
      </c>
      <c r="F518" s="1032">
        <f t="shared" si="42"/>
        <v>5000000</v>
      </c>
      <c r="G518" s="2042"/>
      <c r="H518" s="2042"/>
      <c r="I518" s="2227"/>
      <c r="J518" s="2129"/>
      <c r="K518" s="2157"/>
      <c r="L518" s="2157"/>
      <c r="M518" s="2102"/>
    </row>
    <row r="519" spans="1:13" ht="30" customHeight="1" x14ac:dyDescent="0.2">
      <c r="A519" s="1065">
        <v>334</v>
      </c>
      <c r="B519" s="1025" t="s">
        <v>1312</v>
      </c>
      <c r="C519" s="1046" t="s">
        <v>916</v>
      </c>
      <c r="D519" s="1032">
        <v>100000000</v>
      </c>
      <c r="E519" s="1060">
        <v>0.05</v>
      </c>
      <c r="F519" s="1032">
        <f t="shared" si="42"/>
        <v>5000000</v>
      </c>
      <c r="G519" s="1032">
        <v>5000000</v>
      </c>
      <c r="H519" s="1032" t="s">
        <v>2855</v>
      </c>
      <c r="I519" s="1048" t="s">
        <v>2929</v>
      </c>
      <c r="J519" s="24" t="s">
        <v>2930</v>
      </c>
      <c r="K519" s="1032">
        <f>G519</f>
        <v>5000000</v>
      </c>
      <c r="L519" s="1032">
        <f>F519-K519</f>
        <v>0</v>
      </c>
      <c r="M519" s="1064"/>
    </row>
    <row r="520" spans="1:13" ht="30" customHeight="1" x14ac:dyDescent="0.2">
      <c r="A520" s="2031">
        <v>335</v>
      </c>
      <c r="B520" s="2029" t="s">
        <v>1328</v>
      </c>
      <c r="C520" s="2149" t="s">
        <v>916</v>
      </c>
      <c r="D520" s="1032">
        <v>10000000</v>
      </c>
      <c r="E520" s="1060">
        <v>0.05</v>
      </c>
      <c r="F520" s="1032">
        <f t="shared" si="42"/>
        <v>500000</v>
      </c>
      <c r="G520" s="1032">
        <v>500000</v>
      </c>
      <c r="H520" s="1032" t="s">
        <v>2831</v>
      </c>
      <c r="I520" s="1048" t="s">
        <v>2888</v>
      </c>
      <c r="J520" s="24" t="s">
        <v>2889</v>
      </c>
      <c r="K520" s="1032">
        <f>G520</f>
        <v>500000</v>
      </c>
      <c r="L520" s="1032">
        <f>F520-K520</f>
        <v>0</v>
      </c>
      <c r="M520" s="1064"/>
    </row>
    <row r="521" spans="1:13" ht="30" customHeight="1" x14ac:dyDescent="0.2">
      <c r="A521" s="2032"/>
      <c r="B521" s="2030"/>
      <c r="C521" s="2150"/>
      <c r="D521" s="1478">
        <v>5000000</v>
      </c>
      <c r="E521" s="1504"/>
      <c r="F521" s="1478"/>
      <c r="G521" s="2192" t="s">
        <v>3461</v>
      </c>
      <c r="H521" s="2193"/>
      <c r="I521" s="2193"/>
      <c r="J521" s="2194"/>
      <c r="K521" s="1478"/>
      <c r="L521" s="1478"/>
      <c r="M521" s="1505"/>
    </row>
    <row r="522" spans="1:13" ht="30" customHeight="1" x14ac:dyDescent="0.2">
      <c r="A522" s="1065">
        <v>336</v>
      </c>
      <c r="B522" s="1025" t="s">
        <v>2718</v>
      </c>
      <c r="C522" s="1046" t="s">
        <v>916</v>
      </c>
      <c r="D522" s="1099">
        <v>210000000</v>
      </c>
      <c r="E522" s="1106">
        <v>0.05</v>
      </c>
      <c r="F522" s="1099">
        <f>D522*E522</f>
        <v>10500000</v>
      </c>
      <c r="G522" s="1032">
        <v>10500000</v>
      </c>
      <c r="H522" s="1032" t="s">
        <v>2674</v>
      </c>
      <c r="I522" s="1053" t="s">
        <v>2684</v>
      </c>
      <c r="J522" s="24" t="s">
        <v>1389</v>
      </c>
      <c r="K522" s="1032">
        <f>G522</f>
        <v>10500000</v>
      </c>
      <c r="L522" s="1032">
        <f>F522-K522</f>
        <v>0</v>
      </c>
      <c r="M522" s="1064"/>
    </row>
    <row r="523" spans="1:13" ht="30" customHeight="1" x14ac:dyDescent="0.2">
      <c r="A523" s="1065">
        <v>337</v>
      </c>
      <c r="B523" s="1025" t="s">
        <v>1376</v>
      </c>
      <c r="C523" s="1046" t="s">
        <v>916</v>
      </c>
      <c r="D523" s="1032">
        <v>80000000</v>
      </c>
      <c r="E523" s="1060">
        <v>7.0000000000000007E-2</v>
      </c>
      <c r="F523" s="1032">
        <f t="shared" ref="F523:F533" si="43">D523*E523</f>
        <v>5600000.0000000009</v>
      </c>
      <c r="G523" s="1032">
        <v>5600000</v>
      </c>
      <c r="H523" s="1032" t="s">
        <v>2798</v>
      </c>
      <c r="I523" s="1048" t="s">
        <v>2815</v>
      </c>
      <c r="J523" s="24" t="s">
        <v>1670</v>
      </c>
      <c r="K523" s="1032">
        <f>G523</f>
        <v>5600000</v>
      </c>
      <c r="L523" s="1032">
        <f>G523-K523</f>
        <v>0</v>
      </c>
      <c r="M523" s="1064"/>
    </row>
    <row r="524" spans="1:13" ht="30" customHeight="1" x14ac:dyDescent="0.2">
      <c r="A524" s="2031">
        <v>338</v>
      </c>
      <c r="B524" s="2070" t="s">
        <v>1780</v>
      </c>
      <c r="C524" s="2180"/>
      <c r="D524" s="1480">
        <v>235500000</v>
      </c>
      <c r="E524" s="1504">
        <v>0.05</v>
      </c>
      <c r="F524" s="1478">
        <f t="shared" si="43"/>
        <v>11775000</v>
      </c>
      <c r="G524" s="1478"/>
      <c r="H524" s="247"/>
      <c r="I524" s="247"/>
      <c r="J524" s="247"/>
      <c r="K524" s="247"/>
      <c r="L524" s="2040">
        <f>(F524+F525)-K525</f>
        <v>32775000.000000004</v>
      </c>
      <c r="M524" s="2101"/>
    </row>
    <row r="525" spans="1:13" ht="30" customHeight="1" x14ac:dyDescent="0.2">
      <c r="A525" s="2034"/>
      <c r="B525" s="2303"/>
      <c r="C525" s="2302"/>
      <c r="D525" s="1478">
        <v>300000000</v>
      </c>
      <c r="E525" s="1504">
        <v>7.0000000000000007E-2</v>
      </c>
      <c r="F525" s="1478">
        <f t="shared" si="43"/>
        <v>21000000.000000004</v>
      </c>
      <c r="G525" s="1478"/>
      <c r="H525" s="1491"/>
      <c r="I525" s="1491"/>
      <c r="J525" s="1491"/>
      <c r="K525" s="1491"/>
      <c r="L525" s="2042"/>
      <c r="M525" s="2102"/>
    </row>
    <row r="526" spans="1:13" ht="30" customHeight="1" x14ac:dyDescent="0.2">
      <c r="A526" s="2034"/>
      <c r="B526" s="2303"/>
      <c r="C526" s="2302"/>
      <c r="D526" s="1478">
        <v>30000000</v>
      </c>
      <c r="E526" s="1504">
        <v>7.0000000000000007E-2</v>
      </c>
      <c r="F526" s="1478">
        <f t="shared" si="43"/>
        <v>2100000</v>
      </c>
      <c r="G526" s="2200" t="s">
        <v>1578</v>
      </c>
      <c r="H526" s="2201"/>
      <c r="I526" s="2201"/>
      <c r="J526" s="2201"/>
      <c r="K526" s="2201"/>
      <c r="L526" s="2202"/>
      <c r="M526" s="2205" t="s">
        <v>1581</v>
      </c>
    </row>
    <row r="527" spans="1:13" ht="30" customHeight="1" x14ac:dyDescent="0.2">
      <c r="A527" s="2034"/>
      <c r="B527" s="2303"/>
      <c r="C527" s="2302"/>
      <c r="D527" s="1491">
        <v>20000000</v>
      </c>
      <c r="E527" s="1474">
        <v>7.0000000000000007E-2</v>
      </c>
      <c r="F527" s="1491">
        <f>D527*E527</f>
        <v>1400000.0000000002</v>
      </c>
      <c r="G527" s="2228" t="s">
        <v>1580</v>
      </c>
      <c r="H527" s="2229"/>
      <c r="I527" s="2229"/>
      <c r="J527" s="2229"/>
      <c r="K527" s="2229"/>
      <c r="L527" s="2230"/>
      <c r="M527" s="2307"/>
    </row>
    <row r="528" spans="1:13" ht="30" customHeight="1" x14ac:dyDescent="0.2">
      <c r="A528" s="2034"/>
      <c r="B528" s="2303"/>
      <c r="C528" s="2302"/>
      <c r="D528" s="1491">
        <v>12000000</v>
      </c>
      <c r="E528" s="1474">
        <v>7.0000000000000007E-2</v>
      </c>
      <c r="F528" s="1491">
        <f>D528*E528</f>
        <v>840000.00000000012</v>
      </c>
      <c r="G528" s="2295" t="s">
        <v>1578</v>
      </c>
      <c r="H528" s="2295"/>
      <c r="I528" s="2295"/>
      <c r="J528" s="2295"/>
      <c r="K528" s="2295"/>
      <c r="L528" s="2295"/>
      <c r="M528" s="2307"/>
    </row>
    <row r="529" spans="1:18" ht="30" customHeight="1" x14ac:dyDescent="0.2">
      <c r="A529" s="2034"/>
      <c r="B529" s="2303"/>
      <c r="C529" s="2302"/>
      <c r="D529" s="1472">
        <f>SUM(D525:D528)</f>
        <v>362000000</v>
      </c>
      <c r="E529" s="1474">
        <v>7.0000000000000007E-2</v>
      </c>
      <c r="F529" s="1491">
        <f>D529*E529</f>
        <v>25340000.000000004</v>
      </c>
      <c r="G529" s="1507"/>
      <c r="H529" s="1507"/>
      <c r="I529" s="1526"/>
      <c r="J529" s="1507"/>
      <c r="K529" s="1497"/>
      <c r="L529" s="1507"/>
      <c r="M529" s="2307"/>
    </row>
    <row r="530" spans="1:18" ht="30" customHeight="1" x14ac:dyDescent="0.2">
      <c r="A530" s="2034"/>
      <c r="B530" s="2303"/>
      <c r="C530" s="2302"/>
      <c r="D530" s="1989">
        <f>D524+D529</f>
        <v>597500000</v>
      </c>
      <c r="E530" s="2304"/>
      <c r="F530" s="1472">
        <f>F524+F529</f>
        <v>37115000</v>
      </c>
      <c r="G530" s="1321">
        <v>37115000</v>
      </c>
      <c r="H530" s="1321" t="s">
        <v>2855</v>
      </c>
      <c r="I530" s="1344">
        <v>464437</v>
      </c>
      <c r="J530" s="1321" t="s">
        <v>1823</v>
      </c>
      <c r="K530" s="1343">
        <f>G530</f>
        <v>37115000</v>
      </c>
      <c r="L530" s="1321">
        <f>F530-K530</f>
        <v>0</v>
      </c>
      <c r="M530" s="2307"/>
    </row>
    <row r="531" spans="1:18" ht="30" customHeight="1" x14ac:dyDescent="0.2">
      <c r="A531" s="2034"/>
      <c r="B531" s="2303"/>
      <c r="C531" s="2302"/>
      <c r="D531" s="1472">
        <v>45000000</v>
      </c>
      <c r="E531" s="1479">
        <v>7.0000000000000007E-2</v>
      </c>
      <c r="F531" s="1472">
        <f>D531*E531</f>
        <v>3150000.0000000005</v>
      </c>
      <c r="G531" s="2200" t="s">
        <v>3456</v>
      </c>
      <c r="H531" s="2201"/>
      <c r="I531" s="2201"/>
      <c r="J531" s="2201"/>
      <c r="K531" s="2201"/>
      <c r="L531" s="2202"/>
      <c r="M531" s="2307"/>
    </row>
    <row r="532" spans="1:18" ht="30" customHeight="1" x14ac:dyDescent="0.2">
      <c r="A532" s="2032"/>
      <c r="B532" s="2071"/>
      <c r="C532" s="2181"/>
      <c r="D532" s="1989">
        <f>D530+D531</f>
        <v>642500000</v>
      </c>
      <c r="E532" s="2304"/>
      <c r="F532" s="1472">
        <f>F530+F531</f>
        <v>40265000</v>
      </c>
      <c r="G532" s="2200" t="s">
        <v>3459</v>
      </c>
      <c r="H532" s="2201"/>
      <c r="I532" s="2201"/>
      <c r="J532" s="2201"/>
      <c r="K532" s="2201"/>
      <c r="L532" s="2202"/>
      <c r="M532" s="2206"/>
    </row>
    <row r="533" spans="1:18" ht="30" customHeight="1" x14ac:dyDescent="0.2">
      <c r="A533" s="1088">
        <v>339</v>
      </c>
      <c r="B533" s="1082" t="s">
        <v>173</v>
      </c>
      <c r="C533" s="1073" t="s">
        <v>1378</v>
      </c>
      <c r="D533" s="1075">
        <v>200000000</v>
      </c>
      <c r="E533" s="1079">
        <v>7.0000000000000007E-2</v>
      </c>
      <c r="F533" s="1075">
        <f t="shared" si="43"/>
        <v>14000000.000000002</v>
      </c>
      <c r="G533" s="247"/>
      <c r="H533" s="247"/>
      <c r="I533" s="1459"/>
      <c r="J533" s="1460"/>
      <c r="K533" s="247"/>
      <c r="L533" s="430"/>
      <c r="M533" s="428"/>
      <c r="N533" s="429"/>
      <c r="O533" s="429"/>
      <c r="P533" s="429"/>
      <c r="Q533" s="429"/>
      <c r="R533" s="429"/>
    </row>
    <row r="534" spans="1:18" ht="30" customHeight="1" x14ac:dyDescent="0.2">
      <c r="A534" s="1088">
        <v>340</v>
      </c>
      <c r="B534" s="22" t="s">
        <v>68</v>
      </c>
      <c r="C534" s="421" t="s">
        <v>1175</v>
      </c>
      <c r="D534" s="1032">
        <v>60000000</v>
      </c>
      <c r="E534" s="1060">
        <v>0.05</v>
      </c>
      <c r="F534" s="1032">
        <f>D534*E534</f>
        <v>3000000</v>
      </c>
      <c r="G534" s="1423">
        <v>3000000</v>
      </c>
      <c r="H534" s="1423" t="s">
        <v>3358</v>
      </c>
      <c r="I534" s="1429" t="s">
        <v>3417</v>
      </c>
      <c r="J534" s="1430" t="s">
        <v>1392</v>
      </c>
      <c r="K534" s="1423">
        <f>G534</f>
        <v>3000000</v>
      </c>
      <c r="L534" s="1413">
        <f>F534-K534</f>
        <v>0</v>
      </c>
      <c r="M534" s="1087" t="s">
        <v>3416</v>
      </c>
      <c r="N534" s="429"/>
      <c r="O534" s="429"/>
      <c r="P534" s="429"/>
      <c r="Q534" s="429"/>
      <c r="R534" s="429"/>
    </row>
    <row r="535" spans="1:18" ht="30" customHeight="1" x14ac:dyDescent="0.2">
      <c r="A535" s="1027">
        <v>341</v>
      </c>
      <c r="B535" s="1025" t="s">
        <v>1429</v>
      </c>
      <c r="C535" s="1046"/>
      <c r="D535" s="1513">
        <v>75000000</v>
      </c>
      <c r="E535" s="1520">
        <v>4.4999999999999998E-2</v>
      </c>
      <c r="F535" s="1513">
        <v>3500000</v>
      </c>
      <c r="G535" s="1032">
        <v>3500000</v>
      </c>
      <c r="H535" s="1032" t="s">
        <v>2719</v>
      </c>
      <c r="I535" s="434">
        <v>276203</v>
      </c>
      <c r="J535" s="1042" t="s">
        <v>1430</v>
      </c>
      <c r="K535" s="1032">
        <f t="shared" ref="K535:K542" si="44">G535</f>
        <v>3500000</v>
      </c>
      <c r="L535" s="1056">
        <f>G535-K535</f>
        <v>0</v>
      </c>
      <c r="M535" s="428"/>
      <c r="N535" s="429"/>
      <c r="O535" s="429"/>
      <c r="P535" s="429"/>
      <c r="Q535" s="429"/>
      <c r="R535" s="429"/>
    </row>
    <row r="536" spans="1:18" ht="30" customHeight="1" x14ac:dyDescent="0.2">
      <c r="A536" s="1027">
        <v>342</v>
      </c>
      <c r="B536" s="1025" t="s">
        <v>72</v>
      </c>
      <c r="C536" s="1046" t="s">
        <v>2498</v>
      </c>
      <c r="D536" s="1032">
        <v>110000000</v>
      </c>
      <c r="E536" s="1060">
        <v>0.05</v>
      </c>
      <c r="F536" s="1032">
        <f>D536*E536</f>
        <v>5500000</v>
      </c>
      <c r="G536" s="1032">
        <v>5500000</v>
      </c>
      <c r="H536" s="1032" t="s">
        <v>2816</v>
      </c>
      <c r="I536" s="434">
        <v>898166813</v>
      </c>
      <c r="J536" s="1042" t="s">
        <v>1433</v>
      </c>
      <c r="K536" s="1032">
        <f t="shared" si="44"/>
        <v>5500000</v>
      </c>
      <c r="L536" s="1056">
        <f>F536-K536</f>
        <v>0</v>
      </c>
      <c r="M536" s="428"/>
      <c r="N536" s="429"/>
      <c r="O536" s="429"/>
      <c r="P536" s="429"/>
      <c r="Q536" s="429"/>
      <c r="R536" s="429"/>
    </row>
    <row r="537" spans="1:18" ht="30" customHeight="1" x14ac:dyDescent="0.2">
      <c r="A537" s="1093">
        <v>343</v>
      </c>
      <c r="B537" s="22" t="s">
        <v>1437</v>
      </c>
      <c r="C537" s="1464" t="s">
        <v>1913</v>
      </c>
      <c r="D537" s="1462">
        <v>8000000</v>
      </c>
      <c r="E537" s="1463">
        <v>0.04</v>
      </c>
      <c r="F537" s="1462">
        <f>D537*E537</f>
        <v>320000</v>
      </c>
      <c r="G537" s="1462">
        <v>320000</v>
      </c>
      <c r="H537" s="1462" t="s">
        <v>3442</v>
      </c>
      <c r="I537" s="1094">
        <v>123830514386</v>
      </c>
      <c r="J537" s="1462" t="s">
        <v>1438</v>
      </c>
      <c r="K537" s="1462">
        <f t="shared" si="44"/>
        <v>320000</v>
      </c>
      <c r="L537" s="1461">
        <f>F537-K537</f>
        <v>0</v>
      </c>
      <c r="M537" s="1078"/>
      <c r="N537" s="429"/>
      <c r="O537" s="429"/>
      <c r="P537" s="429"/>
      <c r="Q537" s="429"/>
      <c r="R537" s="429"/>
    </row>
    <row r="538" spans="1:18" ht="30" customHeight="1" x14ac:dyDescent="0.2">
      <c r="A538" s="1027">
        <v>344</v>
      </c>
      <c r="B538" s="1025" t="s">
        <v>1445</v>
      </c>
      <c r="C538" s="1046"/>
      <c r="D538" s="1038"/>
      <c r="E538" s="1072"/>
      <c r="F538" s="1038"/>
      <c r="G538" s="1032">
        <v>6500000</v>
      </c>
      <c r="H538" s="1032" t="s">
        <v>2798</v>
      </c>
      <c r="I538" s="434">
        <v>897974206</v>
      </c>
      <c r="J538" s="1042" t="s">
        <v>1446</v>
      </c>
      <c r="K538" s="1032">
        <f t="shared" si="44"/>
        <v>6500000</v>
      </c>
      <c r="L538" s="1055">
        <f>F538-K538</f>
        <v>-6500000</v>
      </c>
      <c r="M538" s="428"/>
      <c r="N538" s="429"/>
      <c r="O538" s="429"/>
      <c r="P538" s="429"/>
      <c r="Q538" s="429"/>
      <c r="R538" s="429"/>
    </row>
    <row r="539" spans="1:18" ht="30" customHeight="1" x14ac:dyDescent="0.2">
      <c r="A539" s="1027">
        <v>345</v>
      </c>
      <c r="B539" s="1025" t="s">
        <v>2210</v>
      </c>
      <c r="C539" s="1046" t="s">
        <v>1354</v>
      </c>
      <c r="D539" s="1032">
        <v>60000000</v>
      </c>
      <c r="E539" s="1060">
        <v>7.0000000000000007E-2</v>
      </c>
      <c r="F539" s="1032">
        <f>D539*E539</f>
        <v>4200000</v>
      </c>
      <c r="G539" s="1032">
        <v>4200000</v>
      </c>
      <c r="H539" s="1032" t="s">
        <v>3148</v>
      </c>
      <c r="I539" s="434">
        <v>659663694114</v>
      </c>
      <c r="J539" s="1042" t="s">
        <v>2211</v>
      </c>
      <c r="K539" s="1032">
        <f t="shared" si="44"/>
        <v>4200000</v>
      </c>
      <c r="L539" s="1056">
        <f>G539-K539</f>
        <v>0</v>
      </c>
      <c r="M539" s="428"/>
      <c r="N539" s="429"/>
      <c r="O539" s="429"/>
      <c r="P539" s="429"/>
      <c r="Q539" s="429"/>
      <c r="R539" s="429"/>
    </row>
    <row r="540" spans="1:18" ht="30" customHeight="1" x14ac:dyDescent="0.2">
      <c r="A540" s="1027">
        <v>346</v>
      </c>
      <c r="B540" s="1025" t="s">
        <v>1452</v>
      </c>
      <c r="C540" s="1046"/>
      <c r="D540" s="1038"/>
      <c r="E540" s="44"/>
      <c r="F540" s="1038"/>
      <c r="G540" s="1032">
        <v>250000</v>
      </c>
      <c r="H540" s="1032" t="s">
        <v>2798</v>
      </c>
      <c r="I540" s="434">
        <v>185609</v>
      </c>
      <c r="J540" s="1042" t="s">
        <v>1453</v>
      </c>
      <c r="K540" s="1032">
        <f t="shared" si="44"/>
        <v>250000</v>
      </c>
      <c r="L540" s="1055">
        <f>F540-K540</f>
        <v>-250000</v>
      </c>
      <c r="M540" s="428"/>
      <c r="N540" s="429"/>
      <c r="O540" s="429"/>
      <c r="P540" s="429"/>
      <c r="Q540" s="429"/>
      <c r="R540" s="429"/>
    </row>
    <row r="541" spans="1:18" ht="30" customHeight="1" x14ac:dyDescent="0.2">
      <c r="A541" s="1027">
        <v>347</v>
      </c>
      <c r="B541" s="1025" t="s">
        <v>181</v>
      </c>
      <c r="C541" s="1046"/>
      <c r="D541" s="1032">
        <v>130000000</v>
      </c>
      <c r="E541" s="1060">
        <v>0.05</v>
      </c>
      <c r="F541" s="1032">
        <f>D541*E541</f>
        <v>6500000</v>
      </c>
      <c r="G541" s="1032">
        <v>6500000</v>
      </c>
      <c r="H541" s="1032" t="s">
        <v>2695</v>
      </c>
      <c r="I541" s="434">
        <v>869380</v>
      </c>
      <c r="J541" s="1042" t="s">
        <v>1458</v>
      </c>
      <c r="K541" s="1032">
        <f t="shared" si="44"/>
        <v>6500000</v>
      </c>
      <c r="L541" s="1056">
        <f>F541-K541</f>
        <v>0</v>
      </c>
      <c r="M541" s="428"/>
      <c r="N541" s="429"/>
      <c r="O541" s="429"/>
      <c r="P541" s="429"/>
      <c r="Q541" s="429"/>
      <c r="R541" s="429"/>
    </row>
    <row r="542" spans="1:18" ht="30" customHeight="1" x14ac:dyDescent="0.2">
      <c r="A542" s="1083">
        <v>348</v>
      </c>
      <c r="B542" s="22" t="s">
        <v>1480</v>
      </c>
      <c r="C542" s="1085" t="s">
        <v>1378</v>
      </c>
      <c r="D542" s="1075">
        <v>50000000</v>
      </c>
      <c r="E542" s="1079">
        <v>0.04</v>
      </c>
      <c r="F542" s="1075">
        <f>D542*E542</f>
        <v>2000000</v>
      </c>
      <c r="G542" s="1075">
        <v>2000000</v>
      </c>
      <c r="H542" s="1075" t="s">
        <v>3271</v>
      </c>
      <c r="I542" s="1094">
        <v>123625417777</v>
      </c>
      <c r="J542" s="1042" t="s">
        <v>1481</v>
      </c>
      <c r="K542" s="1032">
        <f t="shared" si="44"/>
        <v>2000000</v>
      </c>
      <c r="L542" s="1056">
        <f>F542-K542</f>
        <v>0</v>
      </c>
      <c r="M542" s="428"/>
      <c r="N542" s="429"/>
      <c r="O542" s="429"/>
      <c r="P542" s="429"/>
      <c r="Q542" s="429"/>
      <c r="R542" s="429"/>
    </row>
    <row r="543" spans="1:18" ht="30" customHeight="1" x14ac:dyDescent="0.2">
      <c r="A543" s="1027">
        <v>349</v>
      </c>
      <c r="B543" s="1025" t="s">
        <v>1619</v>
      </c>
      <c r="C543" s="1046"/>
      <c r="D543" s="1032">
        <v>80000000</v>
      </c>
      <c r="E543" s="1071">
        <v>0.04</v>
      </c>
      <c r="F543" s="1032">
        <f>D543*E543</f>
        <v>3200000</v>
      </c>
      <c r="G543" s="1032"/>
      <c r="H543" s="1032"/>
      <c r="I543" s="434"/>
      <c r="J543" s="1042"/>
      <c r="K543" s="1032"/>
      <c r="L543" s="1056">
        <f t="shared" ref="L543:L555" si="45">F543-K543</f>
        <v>3200000</v>
      </c>
      <c r="M543" s="428"/>
      <c r="N543" s="429"/>
      <c r="O543" s="429"/>
      <c r="P543" s="429"/>
      <c r="Q543" s="429"/>
      <c r="R543" s="429"/>
    </row>
    <row r="544" spans="1:18" ht="30" customHeight="1" x14ac:dyDescent="0.2">
      <c r="A544" s="1027">
        <v>350</v>
      </c>
      <c r="B544" s="1025" t="s">
        <v>1650</v>
      </c>
      <c r="C544" s="1046"/>
      <c r="D544" s="1032">
        <v>110000000</v>
      </c>
      <c r="E544" s="2308" t="s">
        <v>1652</v>
      </c>
      <c r="F544" s="2309"/>
      <c r="G544" s="1032">
        <v>4400000</v>
      </c>
      <c r="H544" s="1032" t="s">
        <v>2040</v>
      </c>
      <c r="I544" s="434">
        <v>123304494996</v>
      </c>
      <c r="J544" s="1042" t="s">
        <v>2982</v>
      </c>
      <c r="K544" s="1032">
        <f>G544</f>
        <v>4400000</v>
      </c>
      <c r="L544" s="1055">
        <f t="shared" si="45"/>
        <v>-4400000</v>
      </c>
      <c r="M544" s="428"/>
      <c r="N544" s="429"/>
      <c r="O544" s="429"/>
      <c r="P544" s="429"/>
      <c r="Q544" s="429"/>
      <c r="R544" s="429"/>
    </row>
    <row r="545" spans="1:18" ht="30" customHeight="1" x14ac:dyDescent="0.2">
      <c r="A545" s="2031">
        <v>351</v>
      </c>
      <c r="B545" s="2029" t="s">
        <v>1654</v>
      </c>
      <c r="C545" s="2149" t="s">
        <v>1215</v>
      </c>
      <c r="D545" s="2040">
        <v>560000000</v>
      </c>
      <c r="E545" s="2037">
        <v>7.0000000000000007E-2</v>
      </c>
      <c r="F545" s="2040">
        <f>D545*E545</f>
        <v>39200000.000000007</v>
      </c>
      <c r="G545" s="1032">
        <v>25000000</v>
      </c>
      <c r="H545" s="1032" t="s">
        <v>2776</v>
      </c>
      <c r="I545" s="434">
        <v>55781</v>
      </c>
      <c r="J545" s="1042" t="s">
        <v>1655</v>
      </c>
      <c r="K545" s="2040">
        <f>G545+G546</f>
        <v>39200000</v>
      </c>
      <c r="L545" s="2210">
        <f t="shared" si="45"/>
        <v>0</v>
      </c>
      <c r="M545" s="2205" t="s">
        <v>2768</v>
      </c>
      <c r="N545" s="429"/>
      <c r="O545" s="429"/>
      <c r="P545" s="429"/>
      <c r="Q545" s="429"/>
      <c r="R545" s="429"/>
    </row>
    <row r="546" spans="1:18" ht="30" customHeight="1" x14ac:dyDescent="0.2">
      <c r="A546" s="2034"/>
      <c r="B546" s="2033"/>
      <c r="C546" s="2158"/>
      <c r="D546" s="2042"/>
      <c r="E546" s="2039"/>
      <c r="F546" s="2042"/>
      <c r="G546" s="1246">
        <v>14200000</v>
      </c>
      <c r="H546" s="1246" t="s">
        <v>2040</v>
      </c>
      <c r="I546" s="1262">
        <v>105131036011856</v>
      </c>
      <c r="J546" s="1251" t="s">
        <v>2596</v>
      </c>
      <c r="K546" s="2042"/>
      <c r="L546" s="2211"/>
      <c r="M546" s="2307"/>
      <c r="N546" s="429"/>
      <c r="O546" s="429"/>
      <c r="P546" s="429"/>
      <c r="Q546" s="429"/>
      <c r="R546" s="429"/>
    </row>
    <row r="547" spans="1:18" ht="30" customHeight="1" x14ac:dyDescent="0.2">
      <c r="A547" s="2034"/>
      <c r="B547" s="2033"/>
      <c r="C547" s="2158"/>
      <c r="D547" s="2240"/>
      <c r="E547" s="2241"/>
      <c r="F547" s="2242"/>
      <c r="G547" s="1422">
        <v>560000</v>
      </c>
      <c r="H547" s="1422" t="s">
        <v>3371</v>
      </c>
      <c r="I547" s="1458">
        <v>1.4010526016289E+17</v>
      </c>
      <c r="J547" s="1422" t="s">
        <v>2596</v>
      </c>
      <c r="K547" s="1422"/>
      <c r="L547" s="1425"/>
      <c r="M547" s="2307"/>
      <c r="N547" s="429"/>
      <c r="O547" s="429"/>
      <c r="P547" s="429"/>
      <c r="Q547" s="429"/>
      <c r="R547" s="429"/>
    </row>
    <row r="548" spans="1:18" ht="30" customHeight="1" x14ac:dyDescent="0.2">
      <c r="A548" s="2032"/>
      <c r="B548" s="2030"/>
      <c r="C548" s="2150"/>
      <c r="D548" s="1218">
        <v>680000000</v>
      </c>
      <c r="E548" s="1221">
        <v>7.0000000000000007E-2</v>
      </c>
      <c r="F548" s="1218">
        <f>D548*E548</f>
        <v>47600000.000000007</v>
      </c>
      <c r="G548" s="2192" t="s">
        <v>2874</v>
      </c>
      <c r="H548" s="2193"/>
      <c r="I548" s="2193"/>
      <c r="J548" s="2193"/>
      <c r="K548" s="2194"/>
      <c r="L548" s="1230"/>
      <c r="M548" s="2206"/>
      <c r="N548" s="429"/>
      <c r="O548" s="429"/>
      <c r="P548" s="429"/>
      <c r="Q548" s="429"/>
      <c r="R548" s="429"/>
    </row>
    <row r="549" spans="1:18" ht="30" customHeight="1" x14ac:dyDescent="0.2">
      <c r="A549" s="1027">
        <v>352</v>
      </c>
      <c r="B549" s="1025" t="s">
        <v>1657</v>
      </c>
      <c r="C549" s="1046"/>
      <c r="D549" s="1199">
        <v>50000000</v>
      </c>
      <c r="E549" s="1205">
        <v>7.0000000000000007E-2</v>
      </c>
      <c r="F549" s="1199">
        <f>D549*E549</f>
        <v>3500000.0000000005</v>
      </c>
      <c r="G549" s="1199">
        <v>3500000</v>
      </c>
      <c r="H549" s="1199" t="s">
        <v>2040</v>
      </c>
      <c r="I549" s="434">
        <v>105131004431527</v>
      </c>
      <c r="J549" s="24" t="s">
        <v>2999</v>
      </c>
      <c r="K549" s="1199">
        <f>G549</f>
        <v>3500000</v>
      </c>
      <c r="L549" s="1203">
        <f t="shared" si="45"/>
        <v>0</v>
      </c>
      <c r="M549" s="428"/>
      <c r="N549" s="429"/>
      <c r="O549" s="429"/>
      <c r="P549" s="429"/>
      <c r="Q549" s="429"/>
      <c r="R549" s="429"/>
    </row>
    <row r="550" spans="1:18" ht="30" customHeight="1" x14ac:dyDescent="0.2">
      <c r="A550" s="2031">
        <v>353</v>
      </c>
      <c r="B550" s="2029" t="s">
        <v>1661</v>
      </c>
      <c r="C550" s="1280" t="s">
        <v>1215</v>
      </c>
      <c r="D550" s="1246">
        <v>50000000</v>
      </c>
      <c r="E550" s="1255">
        <v>0.05</v>
      </c>
      <c r="F550" s="1246">
        <f>D550*E550</f>
        <v>2500000</v>
      </c>
      <c r="G550" s="1246">
        <v>2500000</v>
      </c>
      <c r="H550" s="1246" t="s">
        <v>2040</v>
      </c>
      <c r="I550" s="1262">
        <v>123307122994</v>
      </c>
      <c r="J550" s="1251" t="s">
        <v>2989</v>
      </c>
      <c r="K550" s="1032">
        <f>G550</f>
        <v>2500000</v>
      </c>
      <c r="L550" s="1056">
        <f t="shared" si="45"/>
        <v>0</v>
      </c>
      <c r="M550" s="428" t="s">
        <v>1662</v>
      </c>
      <c r="N550" s="429"/>
      <c r="O550" s="429"/>
      <c r="P550" s="429"/>
      <c r="Q550" s="429"/>
      <c r="R550" s="429"/>
    </row>
    <row r="551" spans="1:18" ht="30" customHeight="1" x14ac:dyDescent="0.2">
      <c r="A551" s="2034"/>
      <c r="B551" s="2033"/>
      <c r="C551" s="1281" t="s">
        <v>1354</v>
      </c>
      <c r="D551" s="1278">
        <v>20000000</v>
      </c>
      <c r="E551" s="1284"/>
      <c r="F551" s="1278"/>
      <c r="G551" s="2279" t="s">
        <v>3053</v>
      </c>
      <c r="H551" s="2280"/>
      <c r="I551" s="2280"/>
      <c r="J551" s="2280"/>
      <c r="K551" s="2281"/>
      <c r="L551" s="1283"/>
      <c r="M551" s="428"/>
      <c r="N551" s="429"/>
      <c r="O551" s="429"/>
      <c r="P551" s="429"/>
      <c r="Q551" s="429"/>
      <c r="R551" s="429"/>
    </row>
    <row r="552" spans="1:18" ht="30" customHeight="1" x14ac:dyDescent="0.2">
      <c r="A552" s="2032"/>
      <c r="B552" s="2030"/>
      <c r="C552" s="1352"/>
      <c r="D552" s="1347">
        <v>70000000</v>
      </c>
      <c r="E552" s="1362">
        <v>0.05</v>
      </c>
      <c r="F552" s="1347">
        <f>D552*E552</f>
        <v>3500000</v>
      </c>
      <c r="G552" s="2279" t="s">
        <v>2827</v>
      </c>
      <c r="H552" s="2280"/>
      <c r="I552" s="2280"/>
      <c r="J552" s="2280"/>
      <c r="K552" s="2281"/>
      <c r="L552" s="1359"/>
      <c r="M552" s="428"/>
      <c r="N552" s="429"/>
      <c r="O552" s="429"/>
      <c r="P552" s="429"/>
      <c r="Q552" s="429"/>
      <c r="R552" s="429"/>
    </row>
    <row r="553" spans="1:18" ht="30" customHeight="1" x14ac:dyDescent="0.2">
      <c r="A553" s="1027">
        <v>354</v>
      </c>
      <c r="B553" s="1025" t="s">
        <v>1674</v>
      </c>
      <c r="C553" s="1046"/>
      <c r="D553" s="1032">
        <v>70000000</v>
      </c>
      <c r="E553" s="1060">
        <v>0.04</v>
      </c>
      <c r="F553" s="1032">
        <f>D553*E553</f>
        <v>2800000</v>
      </c>
      <c r="G553" s="1032"/>
      <c r="H553" s="1032"/>
      <c r="I553" s="434"/>
      <c r="J553" s="434" t="s">
        <v>1675</v>
      </c>
      <c r="K553" s="1032">
        <f>G553</f>
        <v>0</v>
      </c>
      <c r="L553" s="1056">
        <f t="shared" si="45"/>
        <v>2800000</v>
      </c>
      <c r="M553" s="428"/>
      <c r="N553" s="429"/>
      <c r="O553" s="429"/>
      <c r="P553" s="429"/>
      <c r="Q553" s="429"/>
      <c r="R553" s="429"/>
    </row>
    <row r="554" spans="1:18" ht="30" customHeight="1" x14ac:dyDescent="0.2">
      <c r="A554" s="1027">
        <v>355</v>
      </c>
      <c r="B554" s="1025" t="s">
        <v>1679</v>
      </c>
      <c r="C554" s="1046" t="s">
        <v>2786</v>
      </c>
      <c r="D554" s="1156">
        <v>115000000</v>
      </c>
      <c r="E554" s="1167">
        <v>0.05</v>
      </c>
      <c r="F554" s="1156">
        <f>D554*E554</f>
        <v>5750000</v>
      </c>
      <c r="G554" s="1156">
        <v>6500000</v>
      </c>
      <c r="H554" s="1156" t="s">
        <v>2831</v>
      </c>
      <c r="I554" s="434">
        <v>464429</v>
      </c>
      <c r="J554" s="518" t="s">
        <v>1680</v>
      </c>
      <c r="K554" s="1156">
        <f>G554</f>
        <v>6500000</v>
      </c>
      <c r="L554" s="1165">
        <f t="shared" si="45"/>
        <v>-750000</v>
      </c>
      <c r="M554" s="428" t="s">
        <v>2840</v>
      </c>
      <c r="N554" s="429"/>
      <c r="O554" s="429"/>
      <c r="P554" s="429"/>
      <c r="Q554" s="429"/>
      <c r="R554" s="429"/>
    </row>
    <row r="555" spans="1:18" ht="30" customHeight="1" x14ac:dyDescent="0.2">
      <c r="A555" s="1027">
        <v>356</v>
      </c>
      <c r="B555" s="1025" t="s">
        <v>1687</v>
      </c>
      <c r="C555" s="1046"/>
      <c r="D555" s="1038"/>
      <c r="E555" s="44"/>
      <c r="F555" s="1038"/>
      <c r="G555" s="1032">
        <v>2800000</v>
      </c>
      <c r="H555" s="1032" t="s">
        <v>2695</v>
      </c>
      <c r="I555" s="434">
        <v>79373</v>
      </c>
      <c r="J555" s="518" t="s">
        <v>1688</v>
      </c>
      <c r="K555" s="1032">
        <f>G555</f>
        <v>2800000</v>
      </c>
      <c r="L555" s="1055">
        <f t="shared" si="45"/>
        <v>-2800000</v>
      </c>
      <c r="M555" s="428"/>
      <c r="N555" s="429"/>
      <c r="O555" s="429"/>
      <c r="P555" s="429"/>
      <c r="Q555" s="429"/>
      <c r="R555" s="429"/>
    </row>
    <row r="556" spans="1:18" ht="30" customHeight="1" x14ac:dyDescent="0.2">
      <c r="A556" s="1027">
        <v>357</v>
      </c>
      <c r="B556" s="1025" t="s">
        <v>1689</v>
      </c>
      <c r="C556" s="1046"/>
      <c r="D556" s="1032">
        <v>70000000</v>
      </c>
      <c r="E556" s="44"/>
      <c r="F556" s="1038"/>
      <c r="G556" s="1032"/>
      <c r="H556" s="1032"/>
      <c r="I556" s="434"/>
      <c r="J556" s="518"/>
      <c r="K556" s="1032"/>
      <c r="L556" s="1055"/>
      <c r="M556" s="428" t="s">
        <v>1690</v>
      </c>
      <c r="N556" s="429"/>
      <c r="O556" s="429"/>
      <c r="P556" s="429"/>
      <c r="Q556" s="429"/>
      <c r="R556" s="429"/>
    </row>
    <row r="557" spans="1:18" ht="30" customHeight="1" x14ac:dyDescent="0.2">
      <c r="A557" s="2031">
        <v>358</v>
      </c>
      <c r="B557" s="2029" t="s">
        <v>1694</v>
      </c>
      <c r="C557" s="2149"/>
      <c r="D557" s="2080"/>
      <c r="E557" s="2082"/>
      <c r="F557" s="2080"/>
      <c r="G557" s="1032">
        <v>6000000</v>
      </c>
      <c r="H557" s="1032" t="s">
        <v>2719</v>
      </c>
      <c r="I557" s="434">
        <v>896821844</v>
      </c>
      <c r="J557" s="518" t="s">
        <v>1695</v>
      </c>
      <c r="K557" s="1032">
        <f t="shared" ref="K557:K576" si="46">G557</f>
        <v>6000000</v>
      </c>
      <c r="L557" s="1055">
        <f t="shared" ref="L557:L576" si="47">F557-K557</f>
        <v>-6000000</v>
      </c>
      <c r="M557" s="428"/>
      <c r="N557" s="429"/>
      <c r="O557" s="429"/>
      <c r="P557" s="429"/>
      <c r="Q557" s="429"/>
      <c r="R557" s="429"/>
    </row>
    <row r="558" spans="1:18" ht="30" customHeight="1" x14ac:dyDescent="0.2">
      <c r="A558" s="2032"/>
      <c r="B558" s="2030"/>
      <c r="C558" s="2150"/>
      <c r="D558" s="2081"/>
      <c r="E558" s="2083"/>
      <c r="F558" s="2081"/>
      <c r="G558" s="1156">
        <v>20000000</v>
      </c>
      <c r="H558" s="1156" t="s">
        <v>2776</v>
      </c>
      <c r="I558" s="434">
        <v>897741956</v>
      </c>
      <c r="J558" s="518" t="s">
        <v>1695</v>
      </c>
      <c r="K558" s="1158"/>
      <c r="L558" s="1181"/>
      <c r="M558" s="1182" t="s">
        <v>2209</v>
      </c>
      <c r="N558" s="429"/>
      <c r="O558" s="429"/>
      <c r="P558" s="429"/>
      <c r="Q558" s="429"/>
      <c r="R558" s="429"/>
    </row>
    <row r="559" spans="1:18" ht="30" customHeight="1" x14ac:dyDescent="0.2">
      <c r="A559" s="2031">
        <v>359</v>
      </c>
      <c r="B559" s="2029" t="s">
        <v>1696</v>
      </c>
      <c r="C559" s="2149"/>
      <c r="D559" s="2080"/>
      <c r="E559" s="2082"/>
      <c r="F559" s="2080"/>
      <c r="G559" s="1032"/>
      <c r="H559" s="1032"/>
      <c r="I559" s="434"/>
      <c r="J559" s="518" t="s">
        <v>1697</v>
      </c>
      <c r="K559" s="2040">
        <f>G559+G560</f>
        <v>0</v>
      </c>
      <c r="L559" s="2238">
        <f t="shared" si="47"/>
        <v>0</v>
      </c>
      <c r="M559" s="2210"/>
      <c r="N559" s="429"/>
      <c r="O559" s="429"/>
      <c r="P559" s="429"/>
      <c r="Q559" s="429"/>
      <c r="R559" s="429"/>
    </row>
    <row r="560" spans="1:18" ht="30" customHeight="1" x14ac:dyDescent="0.2">
      <c r="A560" s="2032"/>
      <c r="B560" s="2030"/>
      <c r="C560" s="2150"/>
      <c r="D560" s="2081"/>
      <c r="E560" s="2083"/>
      <c r="F560" s="2081"/>
      <c r="G560" s="1032"/>
      <c r="H560" s="1032"/>
      <c r="I560" s="434"/>
      <c r="J560" s="518" t="s">
        <v>1697</v>
      </c>
      <c r="K560" s="2042"/>
      <c r="L560" s="2239"/>
      <c r="M560" s="2211"/>
      <c r="N560" s="429"/>
      <c r="O560" s="429"/>
      <c r="P560" s="429"/>
      <c r="Q560" s="429"/>
      <c r="R560" s="429"/>
    </row>
    <row r="561" spans="1:18" ht="30" customHeight="1" x14ac:dyDescent="0.2">
      <c r="A561" s="2031">
        <v>360</v>
      </c>
      <c r="B561" s="2029" t="s">
        <v>1711</v>
      </c>
      <c r="C561" s="2149" t="s">
        <v>916</v>
      </c>
      <c r="D561" s="1517">
        <v>290000000</v>
      </c>
      <c r="E561" s="1520">
        <v>0.05</v>
      </c>
      <c r="F561" s="1517">
        <f>D561*E561</f>
        <v>14500000</v>
      </c>
      <c r="G561" s="1032">
        <v>10000000</v>
      </c>
      <c r="H561" s="1032" t="s">
        <v>2719</v>
      </c>
      <c r="I561" s="434">
        <v>896674291</v>
      </c>
      <c r="J561" s="518" t="s">
        <v>2729</v>
      </c>
      <c r="K561" s="2040">
        <f>G561+G562</f>
        <v>27100000</v>
      </c>
      <c r="L561" s="2210">
        <f t="shared" si="47"/>
        <v>-12600000</v>
      </c>
      <c r="M561" s="2210"/>
      <c r="N561" s="429"/>
      <c r="O561" s="429"/>
      <c r="P561" s="429"/>
      <c r="Q561" s="429"/>
      <c r="R561" s="429"/>
    </row>
    <row r="562" spans="1:18" ht="30" customHeight="1" x14ac:dyDescent="0.2">
      <c r="A562" s="2032"/>
      <c r="B562" s="2030"/>
      <c r="C562" s="2150"/>
      <c r="D562" s="1517">
        <v>210000000</v>
      </c>
      <c r="E562" s="1520">
        <v>0.06</v>
      </c>
      <c r="F562" s="1517">
        <f>D562*E562</f>
        <v>12600000</v>
      </c>
      <c r="G562" s="1324">
        <v>17100000</v>
      </c>
      <c r="H562" s="1324" t="s">
        <v>2855</v>
      </c>
      <c r="I562" s="1342">
        <v>464446</v>
      </c>
      <c r="J562" s="518" t="s">
        <v>1708</v>
      </c>
      <c r="K562" s="2042"/>
      <c r="L562" s="2211"/>
      <c r="M562" s="2211"/>
      <c r="N562" s="429"/>
      <c r="O562" s="429"/>
      <c r="P562" s="429"/>
      <c r="Q562" s="429"/>
      <c r="R562" s="429"/>
    </row>
    <row r="563" spans="1:18" ht="30" customHeight="1" x14ac:dyDescent="0.2">
      <c r="A563" s="2031">
        <v>361</v>
      </c>
      <c r="B563" s="2029" t="s">
        <v>1709</v>
      </c>
      <c r="C563" s="2149"/>
      <c r="D563" s="2040">
        <v>3045000000</v>
      </c>
      <c r="E563" s="2037"/>
      <c r="F563" s="2040">
        <v>103600000</v>
      </c>
      <c r="G563" s="1115">
        <v>5000000</v>
      </c>
      <c r="H563" s="1115" t="s">
        <v>2719</v>
      </c>
      <c r="I563" s="434">
        <v>151165</v>
      </c>
      <c r="J563" s="518" t="s">
        <v>3296</v>
      </c>
      <c r="K563" s="2040">
        <f>G563+G564+G565+G566+G567+G568+G569+G570+G571+G572+G573</f>
        <v>84000000</v>
      </c>
      <c r="L563" s="2210">
        <f>F563-10000000-K563</f>
        <v>9600000</v>
      </c>
      <c r="M563" s="1122" t="s">
        <v>2730</v>
      </c>
      <c r="N563" s="429"/>
      <c r="O563" s="429"/>
      <c r="P563" s="429"/>
      <c r="Q563" s="429"/>
      <c r="R563" s="429"/>
    </row>
    <row r="564" spans="1:18" ht="30" customHeight="1" x14ac:dyDescent="0.2">
      <c r="A564" s="2034"/>
      <c r="B564" s="2033"/>
      <c r="C564" s="2158"/>
      <c r="D564" s="2041"/>
      <c r="E564" s="2038"/>
      <c r="F564" s="2041"/>
      <c r="G564" s="1115">
        <v>2000000</v>
      </c>
      <c r="H564" s="1115" t="s">
        <v>2831</v>
      </c>
      <c r="I564" s="434">
        <v>422985</v>
      </c>
      <c r="J564" s="518" t="s">
        <v>3296</v>
      </c>
      <c r="K564" s="2041"/>
      <c r="L564" s="2273"/>
      <c r="M564" s="1275" t="s">
        <v>3022</v>
      </c>
      <c r="N564" s="429"/>
      <c r="O564" s="429"/>
      <c r="P564" s="429"/>
      <c r="Q564" s="429"/>
      <c r="R564" s="429"/>
    </row>
    <row r="565" spans="1:18" ht="30" customHeight="1" x14ac:dyDescent="0.2">
      <c r="A565" s="2034"/>
      <c r="B565" s="2033"/>
      <c r="C565" s="2158"/>
      <c r="D565" s="2041"/>
      <c r="E565" s="2038"/>
      <c r="F565" s="2041"/>
      <c r="G565" s="1115">
        <v>5000000</v>
      </c>
      <c r="H565" s="1115" t="s">
        <v>3018</v>
      </c>
      <c r="I565" s="434">
        <v>182287</v>
      </c>
      <c r="J565" s="518" t="s">
        <v>3296</v>
      </c>
      <c r="K565" s="2041"/>
      <c r="L565" s="2273"/>
      <c r="M565" s="908"/>
      <c r="N565" s="429"/>
      <c r="O565" s="429"/>
      <c r="P565" s="429"/>
      <c r="Q565" s="429"/>
      <c r="R565" s="429"/>
    </row>
    <row r="566" spans="1:18" ht="30" customHeight="1" x14ac:dyDescent="0.2">
      <c r="A566" s="2034"/>
      <c r="B566" s="2033"/>
      <c r="C566" s="2158"/>
      <c r="D566" s="2041"/>
      <c r="E566" s="2038"/>
      <c r="F566" s="2041"/>
      <c r="G566" s="1115">
        <v>50000000</v>
      </c>
      <c r="H566" s="1115"/>
      <c r="I566" s="434"/>
      <c r="J566" s="518"/>
      <c r="K566" s="2041"/>
      <c r="L566" s="2273"/>
      <c r="M566" s="908"/>
      <c r="N566" s="429"/>
      <c r="O566" s="429"/>
      <c r="P566" s="429"/>
      <c r="Q566" s="429"/>
      <c r="R566" s="429"/>
    </row>
    <row r="567" spans="1:18" ht="30" customHeight="1" x14ac:dyDescent="0.2">
      <c r="A567" s="2034"/>
      <c r="B567" s="2033"/>
      <c r="C567" s="2158"/>
      <c r="D567" s="2041"/>
      <c r="E567" s="2038"/>
      <c r="F567" s="2041"/>
      <c r="G567" s="1115">
        <v>10000000</v>
      </c>
      <c r="H567" s="1115" t="s">
        <v>3227</v>
      </c>
      <c r="I567" s="434">
        <v>123540640718</v>
      </c>
      <c r="J567" s="518" t="s">
        <v>3296</v>
      </c>
      <c r="K567" s="2041"/>
      <c r="L567" s="2273"/>
      <c r="M567" s="908"/>
      <c r="N567" s="429"/>
      <c r="O567" s="429"/>
      <c r="P567" s="429"/>
      <c r="Q567" s="429"/>
      <c r="R567" s="429"/>
    </row>
    <row r="568" spans="1:18" ht="30" customHeight="1" x14ac:dyDescent="0.2">
      <c r="A568" s="2034"/>
      <c r="B568" s="2033"/>
      <c r="C568" s="2158"/>
      <c r="D568" s="2041"/>
      <c r="E568" s="2038"/>
      <c r="F568" s="2041"/>
      <c r="G568" s="1115">
        <v>6000000</v>
      </c>
      <c r="H568" s="1115" t="s">
        <v>3271</v>
      </c>
      <c r="I568" s="434">
        <v>12175613886</v>
      </c>
      <c r="J568" s="518" t="s">
        <v>3296</v>
      </c>
      <c r="K568" s="2041"/>
      <c r="L568" s="2273"/>
      <c r="M568" s="908"/>
      <c r="N568" s="429"/>
      <c r="O568" s="429"/>
      <c r="P568" s="429"/>
      <c r="Q568" s="429"/>
      <c r="R568" s="429"/>
    </row>
    <row r="569" spans="1:18" ht="30" customHeight="1" x14ac:dyDescent="0.2">
      <c r="A569" s="2032"/>
      <c r="B569" s="2033"/>
      <c r="C569" s="2158"/>
      <c r="D569" s="2041"/>
      <c r="E569" s="2038"/>
      <c r="F569" s="2041"/>
      <c r="G569" s="1115">
        <v>1000000</v>
      </c>
      <c r="H569" s="1115" t="s">
        <v>3358</v>
      </c>
      <c r="I569" s="434">
        <v>93940</v>
      </c>
      <c r="J569" s="518" t="s">
        <v>3296</v>
      </c>
      <c r="K569" s="2041"/>
      <c r="L569" s="2273"/>
      <c r="M569" s="908"/>
      <c r="N569" s="429"/>
      <c r="O569" s="429"/>
      <c r="P569" s="429"/>
      <c r="Q569" s="429"/>
      <c r="R569" s="429"/>
    </row>
    <row r="570" spans="1:18" ht="30" customHeight="1" x14ac:dyDescent="0.2">
      <c r="A570" s="1473"/>
      <c r="B570" s="2033"/>
      <c r="C570" s="2158"/>
      <c r="D570" s="2041"/>
      <c r="E570" s="2038"/>
      <c r="F570" s="2041"/>
      <c r="G570" s="1478">
        <v>1000000</v>
      </c>
      <c r="H570" s="1478" t="s">
        <v>3442</v>
      </c>
      <c r="I570" s="1510">
        <v>843434</v>
      </c>
      <c r="J570" s="518" t="s">
        <v>3296</v>
      </c>
      <c r="K570" s="2041"/>
      <c r="L570" s="2273"/>
      <c r="M570" s="908"/>
      <c r="N570" s="429"/>
      <c r="O570" s="429"/>
      <c r="P570" s="429"/>
      <c r="Q570" s="429"/>
      <c r="R570" s="429"/>
    </row>
    <row r="571" spans="1:18" ht="30" customHeight="1" x14ac:dyDescent="0.2">
      <c r="A571" s="1473"/>
      <c r="B571" s="2033"/>
      <c r="C571" s="2158"/>
      <c r="D571" s="2041"/>
      <c r="E571" s="2038"/>
      <c r="F571" s="2041"/>
      <c r="G571" s="1478">
        <v>4000000</v>
      </c>
      <c r="H571" s="1478" t="s">
        <v>3471</v>
      </c>
      <c r="I571" s="1510">
        <v>123857564687</v>
      </c>
      <c r="J571" s="518" t="s">
        <v>3296</v>
      </c>
      <c r="K571" s="2041"/>
      <c r="L571" s="2273"/>
      <c r="M571" s="908"/>
      <c r="N571" s="429"/>
      <c r="O571" s="429"/>
      <c r="P571" s="429"/>
      <c r="Q571" s="429"/>
      <c r="R571" s="429"/>
    </row>
    <row r="572" spans="1:18" ht="30" customHeight="1" x14ac:dyDescent="0.2">
      <c r="A572" s="1473"/>
      <c r="B572" s="2033"/>
      <c r="C572" s="2158"/>
      <c r="D572" s="2041"/>
      <c r="E572" s="2038"/>
      <c r="F572" s="2041"/>
      <c r="G572" s="1478"/>
      <c r="H572" s="1478"/>
      <c r="I572" s="1510"/>
      <c r="J572" s="518"/>
      <c r="K572" s="2041"/>
      <c r="L572" s="2273"/>
      <c r="M572" s="908"/>
      <c r="N572" s="429"/>
      <c r="O572" s="429"/>
      <c r="P572" s="429"/>
      <c r="Q572" s="429"/>
      <c r="R572" s="429"/>
    </row>
    <row r="573" spans="1:18" ht="30" customHeight="1" x14ac:dyDescent="0.2">
      <c r="A573" s="1473"/>
      <c r="B573" s="2030"/>
      <c r="C573" s="2150"/>
      <c r="D573" s="2042"/>
      <c r="E573" s="2039"/>
      <c r="F573" s="2042"/>
      <c r="G573" s="1478"/>
      <c r="H573" s="1478"/>
      <c r="I573" s="1510"/>
      <c r="J573" s="518"/>
      <c r="K573" s="2042"/>
      <c r="L573" s="2211"/>
      <c r="M573" s="961"/>
      <c r="N573" s="429"/>
      <c r="O573" s="429"/>
      <c r="P573" s="429"/>
      <c r="Q573" s="429"/>
      <c r="R573" s="429"/>
    </row>
    <row r="574" spans="1:18" ht="30" customHeight="1" x14ac:dyDescent="0.2">
      <c r="A574" s="1027">
        <v>362</v>
      </c>
      <c r="B574" s="1025" t="s">
        <v>1716</v>
      </c>
      <c r="C574" s="1046" t="s">
        <v>1750</v>
      </c>
      <c r="D574" s="1032">
        <v>300000000</v>
      </c>
      <c r="E574" s="1060">
        <v>4.4999999999999998E-2</v>
      </c>
      <c r="F574" s="1032">
        <f>D574*E574</f>
        <v>13500000</v>
      </c>
      <c r="G574" s="1032">
        <v>13500000</v>
      </c>
      <c r="H574" s="1032" t="s">
        <v>2798</v>
      </c>
      <c r="I574" s="434">
        <v>1.4010507054200001E+19</v>
      </c>
      <c r="J574" s="518" t="s">
        <v>1717</v>
      </c>
      <c r="K574" s="1032">
        <f t="shared" si="46"/>
        <v>13500000</v>
      </c>
      <c r="L574" s="1056">
        <f t="shared" si="47"/>
        <v>0</v>
      </c>
      <c r="M574" s="428"/>
      <c r="N574" s="429"/>
      <c r="O574" s="429"/>
      <c r="P574" s="429"/>
      <c r="Q574" s="429"/>
      <c r="R574" s="429"/>
    </row>
    <row r="575" spans="1:18" ht="30" customHeight="1" x14ac:dyDescent="0.2">
      <c r="A575" s="1027">
        <v>363</v>
      </c>
      <c r="B575" s="1025" t="s">
        <v>1738</v>
      </c>
      <c r="C575" s="1046"/>
      <c r="D575" s="1222"/>
      <c r="E575" s="44"/>
      <c r="F575" s="1222"/>
      <c r="G575" s="1032">
        <v>1193000</v>
      </c>
      <c r="H575" s="1032" t="s">
        <v>2831</v>
      </c>
      <c r="I575" s="434">
        <v>349323</v>
      </c>
      <c r="J575" s="518" t="s">
        <v>1718</v>
      </c>
      <c r="K575" s="1032">
        <f t="shared" si="46"/>
        <v>1193000</v>
      </c>
      <c r="L575" s="1056">
        <f t="shared" si="47"/>
        <v>-1193000</v>
      </c>
      <c r="M575" s="428"/>
      <c r="N575" s="429"/>
      <c r="O575" s="429"/>
      <c r="P575" s="429"/>
      <c r="Q575" s="429"/>
      <c r="R575" s="429"/>
    </row>
    <row r="576" spans="1:18" ht="30" customHeight="1" x14ac:dyDescent="0.2">
      <c r="A576" s="1027">
        <v>364</v>
      </c>
      <c r="B576" s="1025" t="s">
        <v>1734</v>
      </c>
      <c r="C576" s="1046"/>
      <c r="D576" s="1038"/>
      <c r="E576" s="44"/>
      <c r="F576" s="1038"/>
      <c r="G576" s="1032">
        <v>6600000</v>
      </c>
      <c r="H576" s="1032" t="s">
        <v>2855</v>
      </c>
      <c r="I576" s="434">
        <v>1.4010511054200001E+19</v>
      </c>
      <c r="J576" s="518" t="s">
        <v>2918</v>
      </c>
      <c r="K576" s="1032">
        <f t="shared" si="46"/>
        <v>6600000</v>
      </c>
      <c r="L576" s="1055">
        <f t="shared" si="47"/>
        <v>-6600000</v>
      </c>
      <c r="M576" s="428"/>
      <c r="N576" s="429"/>
      <c r="O576" s="429"/>
      <c r="P576" s="429"/>
      <c r="Q576" s="429"/>
      <c r="R576" s="429"/>
    </row>
    <row r="577" spans="1:18" ht="30" customHeight="1" x14ac:dyDescent="0.2">
      <c r="A577" s="2031">
        <v>365</v>
      </c>
      <c r="B577" s="2029" t="s">
        <v>1736</v>
      </c>
      <c r="C577" s="2149" t="s">
        <v>1821</v>
      </c>
      <c r="D577" s="1218">
        <v>300000000</v>
      </c>
      <c r="E577" s="1231">
        <v>0.05</v>
      </c>
      <c r="F577" s="1218">
        <f>D577*E577</f>
        <v>15000000</v>
      </c>
      <c r="G577" s="1218">
        <v>25000000</v>
      </c>
      <c r="H577" s="1218" t="s">
        <v>2831</v>
      </c>
      <c r="I577" s="518">
        <v>1.4010510054200199E+19</v>
      </c>
      <c r="J577" s="518" t="s">
        <v>1737</v>
      </c>
      <c r="K577" s="2040">
        <f>G577+G578</f>
        <v>65000000</v>
      </c>
      <c r="L577" s="2210">
        <f>(15000000+50000000)-K577</f>
        <v>0</v>
      </c>
      <c r="M577" s="2210"/>
      <c r="N577" s="429"/>
      <c r="O577" s="429"/>
      <c r="P577" s="429"/>
      <c r="Q577" s="429"/>
      <c r="R577" s="429"/>
    </row>
    <row r="578" spans="1:18" ht="30" customHeight="1" x14ac:dyDescent="0.2">
      <c r="A578" s="2034"/>
      <c r="B578" s="2033"/>
      <c r="C578" s="2158"/>
      <c r="D578" s="1947" t="s">
        <v>2882</v>
      </c>
      <c r="E578" s="1948"/>
      <c r="F578" s="1949"/>
      <c r="G578" s="1218">
        <v>40000000</v>
      </c>
      <c r="H578" s="1218" t="s">
        <v>2945</v>
      </c>
      <c r="I578" s="434">
        <v>23223</v>
      </c>
      <c r="J578" s="518" t="s">
        <v>2950</v>
      </c>
      <c r="K578" s="2042"/>
      <c r="L578" s="2211"/>
      <c r="M578" s="2273"/>
      <c r="N578" s="429"/>
      <c r="O578" s="429"/>
      <c r="P578" s="429"/>
      <c r="Q578" s="429"/>
      <c r="R578" s="429"/>
    </row>
    <row r="579" spans="1:18" ht="30" customHeight="1" x14ac:dyDescent="0.2">
      <c r="A579" s="2032"/>
      <c r="B579" s="2030"/>
      <c r="C579" s="2150"/>
      <c r="D579" s="1218">
        <v>250000000</v>
      </c>
      <c r="E579" s="1231">
        <v>0.05</v>
      </c>
      <c r="F579" s="1218">
        <f>D579*E579</f>
        <v>12500000</v>
      </c>
      <c r="G579" s="2192" t="s">
        <v>2883</v>
      </c>
      <c r="H579" s="2193"/>
      <c r="I579" s="2193"/>
      <c r="J579" s="2193"/>
      <c r="K579" s="2194"/>
      <c r="L579" s="1230"/>
      <c r="M579" s="2211"/>
      <c r="N579" s="429"/>
      <c r="O579" s="429"/>
      <c r="P579" s="429"/>
      <c r="Q579" s="429"/>
      <c r="R579" s="429"/>
    </row>
    <row r="580" spans="1:18" ht="30" customHeight="1" x14ac:dyDescent="0.2">
      <c r="A580" s="1027">
        <v>366</v>
      </c>
      <c r="B580" s="1025" t="s">
        <v>1822</v>
      </c>
      <c r="C580" s="1046" t="s">
        <v>1138</v>
      </c>
      <c r="D580" s="1032">
        <v>70000000</v>
      </c>
      <c r="E580" s="1060">
        <v>6.3E-2</v>
      </c>
      <c r="F580" s="1032">
        <v>4400000</v>
      </c>
      <c r="G580" s="1032">
        <v>4400000</v>
      </c>
      <c r="H580" s="1032" t="s">
        <v>3358</v>
      </c>
      <c r="I580" s="434">
        <v>1.40105270162936E+17</v>
      </c>
      <c r="J580" s="518" t="s">
        <v>1806</v>
      </c>
      <c r="K580" s="1032">
        <f>G580</f>
        <v>4400000</v>
      </c>
      <c r="L580" s="1056">
        <f t="shared" ref="L580:L589" si="48">F580-K580</f>
        <v>0</v>
      </c>
      <c r="M580" s="428"/>
      <c r="N580" s="429"/>
      <c r="O580" s="429"/>
      <c r="P580" s="429"/>
      <c r="Q580" s="429"/>
      <c r="R580" s="429"/>
    </row>
    <row r="581" spans="1:18" ht="30" customHeight="1" x14ac:dyDescent="0.2">
      <c r="A581" s="1027">
        <v>367</v>
      </c>
      <c r="B581" s="1025" t="s">
        <v>1764</v>
      </c>
      <c r="C581" s="1046"/>
      <c r="D581" s="1038"/>
      <c r="E581" s="44"/>
      <c r="F581" s="1038">
        <f>D581*E581</f>
        <v>0</v>
      </c>
      <c r="G581" s="1032">
        <v>1250000</v>
      </c>
      <c r="H581" s="1032" t="s">
        <v>2847</v>
      </c>
      <c r="I581" s="434">
        <v>895142</v>
      </c>
      <c r="J581" s="518" t="s">
        <v>1765</v>
      </c>
      <c r="K581" s="1032">
        <f>G581</f>
        <v>1250000</v>
      </c>
      <c r="L581" s="1055">
        <f t="shared" si="48"/>
        <v>-1250000</v>
      </c>
      <c r="M581" s="428"/>
      <c r="N581" s="429"/>
      <c r="O581" s="429"/>
      <c r="P581" s="429"/>
      <c r="Q581" s="429"/>
      <c r="R581" s="429"/>
    </row>
    <row r="582" spans="1:18" ht="30" customHeight="1" x14ac:dyDescent="0.2">
      <c r="A582" s="2031">
        <v>368</v>
      </c>
      <c r="B582" s="2029" t="s">
        <v>1909</v>
      </c>
      <c r="C582" s="2149"/>
      <c r="D582" s="2040">
        <v>800000000</v>
      </c>
      <c r="E582" s="2037">
        <v>7.0000000000000007E-2</v>
      </c>
      <c r="F582" s="2040">
        <f>D582*E582</f>
        <v>56000000.000000007</v>
      </c>
      <c r="G582" s="1032">
        <v>25000000</v>
      </c>
      <c r="H582" s="1032" t="s">
        <v>2719</v>
      </c>
      <c r="I582" s="434">
        <v>1.4010504016274099E+17</v>
      </c>
      <c r="J582" s="518" t="s">
        <v>2721</v>
      </c>
      <c r="K582" s="2040">
        <f>G582+G583+G584</f>
        <v>56000000</v>
      </c>
      <c r="L582" s="2210">
        <f t="shared" si="48"/>
        <v>0</v>
      </c>
      <c r="M582" s="2210"/>
      <c r="N582" s="429"/>
      <c r="O582" s="429"/>
      <c r="P582" s="429"/>
      <c r="Q582" s="429"/>
      <c r="R582" s="429"/>
    </row>
    <row r="583" spans="1:18" ht="30" customHeight="1" x14ac:dyDescent="0.2">
      <c r="A583" s="2034"/>
      <c r="B583" s="2033"/>
      <c r="C583" s="2158"/>
      <c r="D583" s="2041"/>
      <c r="E583" s="2038"/>
      <c r="F583" s="2041"/>
      <c r="G583" s="1199">
        <v>20000000</v>
      </c>
      <c r="H583" s="1199" t="s">
        <v>2847</v>
      </c>
      <c r="I583" s="434">
        <v>1.4010509015269901E+18</v>
      </c>
      <c r="J583" s="518" t="s">
        <v>2721</v>
      </c>
      <c r="K583" s="2041"/>
      <c r="L583" s="2273"/>
      <c r="M583" s="2273"/>
      <c r="N583" s="429"/>
      <c r="O583" s="429"/>
      <c r="P583" s="429"/>
      <c r="Q583" s="429"/>
      <c r="R583" s="429"/>
    </row>
    <row r="584" spans="1:18" ht="30" customHeight="1" x14ac:dyDescent="0.2">
      <c r="A584" s="2034"/>
      <c r="B584" s="2033"/>
      <c r="C584" s="2158"/>
      <c r="D584" s="2042"/>
      <c r="E584" s="2039"/>
      <c r="F584" s="2042"/>
      <c r="G584" s="1199">
        <v>11000000</v>
      </c>
      <c r="H584" s="1199" t="s">
        <v>2848</v>
      </c>
      <c r="I584" s="434">
        <v>772288</v>
      </c>
      <c r="J584" s="518" t="s">
        <v>2849</v>
      </c>
      <c r="K584" s="2042"/>
      <c r="L584" s="2211"/>
      <c r="M584" s="2211"/>
      <c r="N584" s="429"/>
      <c r="O584" s="429"/>
      <c r="P584" s="429"/>
      <c r="Q584" s="429"/>
      <c r="R584" s="429"/>
    </row>
    <row r="585" spans="1:18" ht="30" customHeight="1" x14ac:dyDescent="0.2">
      <c r="A585" s="2032"/>
      <c r="B585" s="2030"/>
      <c r="C585" s="2150"/>
      <c r="D585" s="1540">
        <v>800000000</v>
      </c>
      <c r="E585" s="1537">
        <v>7.0000000000000007E-2</v>
      </c>
      <c r="F585" s="1540">
        <f>D585*E585</f>
        <v>56000000.000000007</v>
      </c>
      <c r="G585" s="1540">
        <v>16000000</v>
      </c>
      <c r="H585" s="1540" t="s">
        <v>3442</v>
      </c>
      <c r="I585" s="1604">
        <v>464418</v>
      </c>
      <c r="J585" s="518" t="s">
        <v>2721</v>
      </c>
      <c r="K585" s="1540">
        <f>G585</f>
        <v>16000000</v>
      </c>
      <c r="L585" s="1582">
        <f>F585-K585</f>
        <v>40000000.000000007</v>
      </c>
      <c r="M585" s="1578" t="s">
        <v>3313</v>
      </c>
      <c r="N585" s="429"/>
      <c r="O585" s="429"/>
      <c r="P585" s="429"/>
      <c r="Q585" s="429"/>
      <c r="R585" s="429"/>
    </row>
    <row r="586" spans="1:18" ht="30" customHeight="1" x14ac:dyDescent="0.2">
      <c r="A586" s="1027">
        <v>369</v>
      </c>
      <c r="B586" s="1025" t="s">
        <v>1775</v>
      </c>
      <c r="C586" s="1046" t="s">
        <v>1750</v>
      </c>
      <c r="D586" s="1032">
        <v>250000000</v>
      </c>
      <c r="E586" s="1060">
        <v>0.05</v>
      </c>
      <c r="F586" s="1032">
        <f>D586*E586</f>
        <v>12500000</v>
      </c>
      <c r="G586" s="1032">
        <v>12500000</v>
      </c>
      <c r="H586" s="1032" t="s">
        <v>2776</v>
      </c>
      <c r="I586" s="434">
        <v>55550</v>
      </c>
      <c r="J586" s="518" t="s">
        <v>2797</v>
      </c>
      <c r="K586" s="1032">
        <f>G586</f>
        <v>12500000</v>
      </c>
      <c r="L586" s="1056">
        <f t="shared" si="48"/>
        <v>0</v>
      </c>
      <c r="M586" s="428"/>
      <c r="N586" s="429"/>
      <c r="O586" s="429"/>
      <c r="P586" s="429"/>
      <c r="Q586" s="429"/>
      <c r="R586" s="429"/>
    </row>
    <row r="587" spans="1:18" ht="30" customHeight="1" x14ac:dyDescent="0.2">
      <c r="A587" s="2031">
        <v>370</v>
      </c>
      <c r="B587" s="2029" t="s">
        <v>1799</v>
      </c>
      <c r="C587" s="1046"/>
      <c r="D587" s="1038"/>
      <c r="E587" s="44"/>
      <c r="F587" s="1038">
        <f>D587*E587</f>
        <v>0</v>
      </c>
      <c r="G587" s="1032"/>
      <c r="H587" s="1032"/>
      <c r="I587" s="434"/>
      <c r="J587" s="518" t="s">
        <v>1800</v>
      </c>
      <c r="K587" s="1032">
        <f t="shared" ref="K587:K596" si="49">G587</f>
        <v>0</v>
      </c>
      <c r="L587" s="1055">
        <f t="shared" si="48"/>
        <v>0</v>
      </c>
      <c r="M587" s="2210"/>
      <c r="N587" s="429"/>
      <c r="O587" s="429"/>
      <c r="P587" s="429"/>
      <c r="Q587" s="429"/>
      <c r="R587" s="429"/>
    </row>
    <row r="588" spans="1:18" ht="30" customHeight="1" x14ac:dyDescent="0.2">
      <c r="A588" s="2032"/>
      <c r="B588" s="2030"/>
      <c r="C588" s="1046"/>
      <c r="D588" s="1038"/>
      <c r="E588" s="44"/>
      <c r="F588" s="1038"/>
      <c r="G588" s="1032"/>
      <c r="H588" s="1032"/>
      <c r="I588" s="434"/>
      <c r="J588" s="518" t="s">
        <v>2625</v>
      </c>
      <c r="K588" s="1032">
        <f>G588</f>
        <v>0</v>
      </c>
      <c r="L588" s="1055">
        <f t="shared" si="48"/>
        <v>0</v>
      </c>
      <c r="M588" s="2211"/>
      <c r="N588" s="429"/>
      <c r="O588" s="429"/>
      <c r="P588" s="429"/>
      <c r="Q588" s="429"/>
      <c r="R588" s="429"/>
    </row>
    <row r="589" spans="1:18" ht="30" customHeight="1" x14ac:dyDescent="0.2">
      <c r="A589" s="1027">
        <v>371</v>
      </c>
      <c r="B589" s="1025" t="s">
        <v>1801</v>
      </c>
      <c r="C589" s="1046" t="s">
        <v>971</v>
      </c>
      <c r="D589" s="1032">
        <v>50000000</v>
      </c>
      <c r="E589" s="1060">
        <v>0.04</v>
      </c>
      <c r="F589" s="1032">
        <f>D589*E589</f>
        <v>2000000</v>
      </c>
      <c r="G589" s="1032">
        <v>2000000</v>
      </c>
      <c r="H589" s="1032" t="s">
        <v>2798</v>
      </c>
      <c r="I589" s="434">
        <v>659051583680</v>
      </c>
      <c r="J589" s="518" t="s">
        <v>1802</v>
      </c>
      <c r="K589" s="1032">
        <f t="shared" si="49"/>
        <v>2000000</v>
      </c>
      <c r="L589" s="1056">
        <f t="shared" si="48"/>
        <v>0</v>
      </c>
      <c r="M589" s="428"/>
      <c r="N589" s="429"/>
      <c r="O589" s="429"/>
      <c r="P589" s="429"/>
      <c r="Q589" s="429"/>
      <c r="R589" s="429"/>
    </row>
    <row r="590" spans="1:18" ht="30" customHeight="1" x14ac:dyDescent="0.2">
      <c r="A590" s="1027">
        <v>372</v>
      </c>
      <c r="B590" s="1025" t="s">
        <v>1809</v>
      </c>
      <c r="C590" s="1046"/>
      <c r="D590" s="1038"/>
      <c r="E590" s="44"/>
      <c r="F590" s="1038"/>
      <c r="G590" s="1032"/>
      <c r="H590" s="1032"/>
      <c r="I590" s="434"/>
      <c r="J590" s="518" t="s">
        <v>856</v>
      </c>
      <c r="K590" s="1032">
        <f t="shared" si="49"/>
        <v>0</v>
      </c>
      <c r="L590" s="1055"/>
      <c r="M590" s="428"/>
      <c r="N590" s="429"/>
      <c r="O590" s="429"/>
      <c r="P590" s="429"/>
      <c r="Q590" s="429"/>
      <c r="R590" s="429"/>
    </row>
    <row r="591" spans="1:18" ht="30" customHeight="1" x14ac:dyDescent="0.2">
      <c r="A591" s="2031">
        <v>373</v>
      </c>
      <c r="B591" s="2029" t="s">
        <v>1828</v>
      </c>
      <c r="C591" s="2149"/>
      <c r="D591" s="1032">
        <v>10000000</v>
      </c>
      <c r="E591" s="1060">
        <v>0.05</v>
      </c>
      <c r="F591" s="1032">
        <f>D591*E591</f>
        <v>500000</v>
      </c>
      <c r="G591" s="1032">
        <v>500000</v>
      </c>
      <c r="H591" s="1032" t="s">
        <v>2831</v>
      </c>
      <c r="I591" s="434">
        <v>611644</v>
      </c>
      <c r="J591" s="518" t="s">
        <v>1829</v>
      </c>
      <c r="K591" s="1032">
        <f t="shared" si="49"/>
        <v>500000</v>
      </c>
      <c r="L591" s="1056">
        <f t="shared" ref="L591:L598" si="50">F591-K591</f>
        <v>0</v>
      </c>
      <c r="M591" s="428"/>
      <c r="N591" s="429"/>
      <c r="O591" s="429"/>
      <c r="P591" s="429"/>
      <c r="Q591" s="429"/>
      <c r="R591" s="429"/>
    </row>
    <row r="592" spans="1:18" ht="30" customHeight="1" x14ac:dyDescent="0.2">
      <c r="A592" s="2032"/>
      <c r="B592" s="2030"/>
      <c r="C592" s="2150"/>
      <c r="D592" s="1218">
        <v>20000000</v>
      </c>
      <c r="E592" s="1231"/>
      <c r="F592" s="1218"/>
      <c r="G592" s="2192" t="s">
        <v>2913</v>
      </c>
      <c r="H592" s="2193"/>
      <c r="I592" s="2193"/>
      <c r="J592" s="2193"/>
      <c r="K592" s="2194"/>
      <c r="L592" s="1230"/>
      <c r="M592" s="428"/>
      <c r="N592" s="429"/>
      <c r="O592" s="429"/>
      <c r="P592" s="429"/>
      <c r="Q592" s="429"/>
      <c r="R592" s="429"/>
    </row>
    <row r="593" spans="1:18" ht="30" customHeight="1" x14ac:dyDescent="0.2">
      <c r="A593" s="1027">
        <v>374</v>
      </c>
      <c r="B593" s="1025" t="s">
        <v>1830</v>
      </c>
      <c r="C593" s="1046"/>
      <c r="D593" s="1038"/>
      <c r="E593" s="44"/>
      <c r="F593" s="1038"/>
      <c r="G593" s="1032"/>
      <c r="H593" s="1032"/>
      <c r="I593" s="434"/>
      <c r="J593" s="518" t="s">
        <v>1831</v>
      </c>
      <c r="K593" s="1032">
        <f t="shared" si="49"/>
        <v>0</v>
      </c>
      <c r="L593" s="1055">
        <f t="shared" si="50"/>
        <v>0</v>
      </c>
      <c r="M593" s="428"/>
      <c r="N593" s="429"/>
      <c r="O593" s="429"/>
      <c r="P593" s="429"/>
      <c r="Q593" s="429"/>
      <c r="R593" s="429"/>
    </row>
    <row r="594" spans="1:18" ht="30" customHeight="1" x14ac:dyDescent="0.2">
      <c r="A594" s="1027">
        <v>375</v>
      </c>
      <c r="B594" s="1025" t="s">
        <v>1838</v>
      </c>
      <c r="C594" s="1046"/>
      <c r="D594" s="1032">
        <v>100000000</v>
      </c>
      <c r="E594" s="1060">
        <v>0.05</v>
      </c>
      <c r="F594" s="1032">
        <f>D594*E594</f>
        <v>5000000</v>
      </c>
      <c r="G594" s="1032">
        <v>5000000</v>
      </c>
      <c r="H594" s="1032" t="s">
        <v>2776</v>
      </c>
      <c r="I594" s="434">
        <v>897597124</v>
      </c>
      <c r="J594" s="518" t="s">
        <v>1839</v>
      </c>
      <c r="K594" s="1032">
        <f t="shared" si="49"/>
        <v>5000000</v>
      </c>
      <c r="L594" s="1056">
        <f t="shared" si="50"/>
        <v>0</v>
      </c>
      <c r="M594" s="428"/>
      <c r="N594" s="429"/>
      <c r="O594" s="429"/>
      <c r="P594" s="429"/>
      <c r="Q594" s="429"/>
      <c r="R594" s="429"/>
    </row>
    <row r="595" spans="1:18" ht="30" customHeight="1" x14ac:dyDescent="0.2">
      <c r="A595" s="1027">
        <v>376</v>
      </c>
      <c r="B595" s="1025" t="s">
        <v>1844</v>
      </c>
      <c r="C595" s="1046"/>
      <c r="D595" s="1038"/>
      <c r="E595" s="44"/>
      <c r="F595" s="1038"/>
      <c r="G595" s="1032">
        <v>3000000</v>
      </c>
      <c r="H595" s="1032" t="s">
        <v>2945</v>
      </c>
      <c r="I595" s="434">
        <v>343155</v>
      </c>
      <c r="J595" s="518" t="s">
        <v>1846</v>
      </c>
      <c r="K595" s="1032">
        <f t="shared" si="49"/>
        <v>3000000</v>
      </c>
      <c r="L595" s="1055">
        <f t="shared" si="50"/>
        <v>-3000000</v>
      </c>
      <c r="M595" s="428"/>
      <c r="N595" s="429"/>
      <c r="O595" s="429"/>
      <c r="P595" s="429"/>
      <c r="Q595" s="429"/>
      <c r="R595" s="429"/>
    </row>
    <row r="596" spans="1:18" ht="30" customHeight="1" x14ac:dyDescent="0.2">
      <c r="A596" s="1027">
        <v>377</v>
      </c>
      <c r="B596" s="1025" t="s">
        <v>1859</v>
      </c>
      <c r="C596" s="1046" t="s">
        <v>1750</v>
      </c>
      <c r="D596" s="1032">
        <v>153000000</v>
      </c>
      <c r="E596" s="1060">
        <v>7.0000000000000007E-2</v>
      </c>
      <c r="F596" s="1032">
        <f>D596*E596</f>
        <v>10710000.000000002</v>
      </c>
      <c r="G596" s="1032">
        <v>10710000</v>
      </c>
      <c r="H596" s="1032" t="s">
        <v>2831</v>
      </c>
      <c r="I596" s="434">
        <v>464434</v>
      </c>
      <c r="J596" s="518" t="s">
        <v>2076</v>
      </c>
      <c r="K596" s="1032">
        <f t="shared" si="49"/>
        <v>10710000</v>
      </c>
      <c r="L596" s="1056">
        <f t="shared" si="50"/>
        <v>0</v>
      </c>
      <c r="M596" s="428"/>
      <c r="N596" s="429"/>
      <c r="O596" s="429"/>
      <c r="P596" s="429"/>
      <c r="Q596" s="429"/>
      <c r="R596" s="429"/>
    </row>
    <row r="597" spans="1:18" ht="30" customHeight="1" x14ac:dyDescent="0.2">
      <c r="A597" s="1027">
        <v>378</v>
      </c>
      <c r="B597" s="1025" t="s">
        <v>1906</v>
      </c>
      <c r="C597" s="1046" t="s">
        <v>916</v>
      </c>
      <c r="D597" s="1032">
        <v>300000000</v>
      </c>
      <c r="E597" s="1060">
        <v>5.0999999999999997E-2</v>
      </c>
      <c r="F597" s="1032">
        <v>15500000</v>
      </c>
      <c r="G597" s="1032">
        <v>15500000</v>
      </c>
      <c r="H597" s="1032" t="s">
        <v>2855</v>
      </c>
      <c r="I597" s="434">
        <v>464445</v>
      </c>
      <c r="J597" s="518" t="s">
        <v>3206</v>
      </c>
      <c r="K597" s="1032">
        <f>G597</f>
        <v>15500000</v>
      </c>
      <c r="L597" s="1056">
        <f t="shared" si="50"/>
        <v>0</v>
      </c>
      <c r="M597" s="428"/>
      <c r="N597" s="429"/>
      <c r="O597" s="429"/>
      <c r="P597" s="429"/>
      <c r="Q597" s="429"/>
      <c r="R597" s="429"/>
    </row>
    <row r="598" spans="1:18" ht="30" customHeight="1" x14ac:dyDescent="0.2">
      <c r="A598" s="2031">
        <v>379</v>
      </c>
      <c r="B598" s="2029" t="s">
        <v>1865</v>
      </c>
      <c r="C598" s="2149" t="s">
        <v>380</v>
      </c>
      <c r="D598" s="2040">
        <v>50000000</v>
      </c>
      <c r="E598" s="2037">
        <v>0.04</v>
      </c>
      <c r="F598" s="2040">
        <f>D598*E598</f>
        <v>2000000</v>
      </c>
      <c r="G598" s="2040">
        <v>2000000</v>
      </c>
      <c r="H598" s="2040" t="s">
        <v>2945</v>
      </c>
      <c r="I598" s="2297">
        <v>904832</v>
      </c>
      <c r="J598" s="2297" t="s">
        <v>1954</v>
      </c>
      <c r="K598" s="2040">
        <f>G598+G599</f>
        <v>2000000</v>
      </c>
      <c r="L598" s="2210">
        <f t="shared" si="50"/>
        <v>0</v>
      </c>
      <c r="M598" s="2210"/>
      <c r="N598" s="429"/>
      <c r="O598" s="429"/>
      <c r="P598" s="429"/>
      <c r="Q598" s="429"/>
      <c r="R598" s="429"/>
    </row>
    <row r="599" spans="1:18" ht="30" customHeight="1" x14ac:dyDescent="0.2">
      <c r="A599" s="2032"/>
      <c r="B599" s="2030"/>
      <c r="C599" s="2150"/>
      <c r="D599" s="2042"/>
      <c r="E599" s="2039"/>
      <c r="F599" s="2042"/>
      <c r="G599" s="2042"/>
      <c r="H599" s="2042"/>
      <c r="I599" s="2298"/>
      <c r="J599" s="2298"/>
      <c r="K599" s="2042"/>
      <c r="L599" s="2211"/>
      <c r="M599" s="2211"/>
      <c r="N599" s="429"/>
      <c r="O599" s="429"/>
      <c r="P599" s="429"/>
      <c r="Q599" s="429"/>
      <c r="R599" s="429"/>
    </row>
    <row r="600" spans="1:18" ht="30" customHeight="1" x14ac:dyDescent="0.2">
      <c r="A600" s="1027">
        <v>380</v>
      </c>
      <c r="B600" s="1025" t="s">
        <v>1911</v>
      </c>
      <c r="C600" s="1046" t="s">
        <v>1131</v>
      </c>
      <c r="D600" s="1032">
        <v>10000000</v>
      </c>
      <c r="E600" s="1060">
        <v>0.05</v>
      </c>
      <c r="F600" s="1032">
        <f>D600*E600</f>
        <v>500000</v>
      </c>
      <c r="G600" s="1032"/>
      <c r="H600" s="1032"/>
      <c r="I600" s="434"/>
      <c r="J600" s="518" t="s">
        <v>1994</v>
      </c>
      <c r="K600" s="1032">
        <f>G600</f>
        <v>0</v>
      </c>
      <c r="L600" s="1056">
        <f>F600-K600</f>
        <v>500000</v>
      </c>
      <c r="M600" s="428" t="s">
        <v>1995</v>
      </c>
      <c r="N600" s="429"/>
      <c r="O600" s="429"/>
      <c r="P600" s="429"/>
      <c r="Q600" s="429"/>
      <c r="R600" s="429"/>
    </row>
    <row r="601" spans="1:18" ht="30" customHeight="1" x14ac:dyDescent="0.2">
      <c r="A601" s="1027">
        <v>381</v>
      </c>
      <c r="B601" s="1025" t="s">
        <v>1914</v>
      </c>
      <c r="C601" s="1046" t="s">
        <v>916</v>
      </c>
      <c r="D601" s="1032">
        <v>50000000</v>
      </c>
      <c r="E601" s="1060">
        <v>0.05</v>
      </c>
      <c r="F601" s="1032">
        <f>D601*E601</f>
        <v>2500000</v>
      </c>
      <c r="G601" s="1032">
        <v>2500000</v>
      </c>
      <c r="H601" s="1032" t="s">
        <v>2719</v>
      </c>
      <c r="I601" s="434">
        <v>546167</v>
      </c>
      <c r="J601" s="518" t="s">
        <v>2726</v>
      </c>
      <c r="K601" s="1032">
        <f>G601</f>
        <v>2500000</v>
      </c>
      <c r="L601" s="1056">
        <f>F601-K601</f>
        <v>0</v>
      </c>
      <c r="M601" s="428"/>
      <c r="N601" s="429"/>
      <c r="O601" s="429"/>
      <c r="P601" s="429"/>
      <c r="Q601" s="429"/>
      <c r="R601" s="429"/>
    </row>
    <row r="602" spans="1:18" ht="30" customHeight="1" x14ac:dyDescent="0.2">
      <c r="A602" s="1027">
        <v>382</v>
      </c>
      <c r="B602" s="1025" t="s">
        <v>1929</v>
      </c>
      <c r="C602" s="1046" t="s">
        <v>265</v>
      </c>
      <c r="D602" s="1032">
        <v>150000000</v>
      </c>
      <c r="E602" s="1060"/>
      <c r="F602" s="1032"/>
      <c r="G602" s="1032"/>
      <c r="H602" s="1032"/>
      <c r="I602" s="434"/>
      <c r="J602" s="518"/>
      <c r="K602" s="1032"/>
      <c r="L602" s="1056"/>
      <c r="M602" s="428"/>
      <c r="N602" s="429"/>
      <c r="O602" s="429"/>
      <c r="P602" s="429"/>
      <c r="Q602" s="429"/>
      <c r="R602" s="429"/>
    </row>
    <row r="603" spans="1:18" ht="30" customHeight="1" x14ac:dyDescent="0.2">
      <c r="A603" s="1027">
        <v>383</v>
      </c>
      <c r="B603" s="1025" t="s">
        <v>1940</v>
      </c>
      <c r="C603" s="1046" t="s">
        <v>265</v>
      </c>
      <c r="D603" s="1032">
        <v>10000000</v>
      </c>
      <c r="E603" s="1060">
        <v>7.0000000000000007E-2</v>
      </c>
      <c r="F603" s="1032">
        <f>D603*E603</f>
        <v>700000.00000000012</v>
      </c>
      <c r="G603" s="1032">
        <v>700000</v>
      </c>
      <c r="H603" s="1032" t="s">
        <v>3060</v>
      </c>
      <c r="I603" s="434">
        <v>244147</v>
      </c>
      <c r="J603" s="518" t="s">
        <v>3072</v>
      </c>
      <c r="K603" s="1032">
        <f>G603</f>
        <v>700000</v>
      </c>
      <c r="L603" s="1056">
        <f>F603-K603</f>
        <v>0</v>
      </c>
      <c r="M603" s="428"/>
      <c r="N603" s="429"/>
      <c r="O603" s="429"/>
      <c r="P603" s="429"/>
      <c r="Q603" s="429"/>
      <c r="R603" s="429"/>
    </row>
    <row r="604" spans="1:18" ht="30" customHeight="1" x14ac:dyDescent="0.2">
      <c r="A604" s="673">
        <v>384</v>
      </c>
      <c r="B604" s="1025" t="s">
        <v>1985</v>
      </c>
      <c r="C604" s="1046" t="s">
        <v>265</v>
      </c>
      <c r="D604" s="1032">
        <v>150000000</v>
      </c>
      <c r="E604" s="1060">
        <v>7.0000000000000007E-2</v>
      </c>
      <c r="F604" s="1032">
        <f>D604*E604</f>
        <v>10500000.000000002</v>
      </c>
      <c r="G604" s="1032">
        <v>10500000</v>
      </c>
      <c r="H604" s="1032" t="s">
        <v>3041</v>
      </c>
      <c r="I604" s="434">
        <v>37957</v>
      </c>
      <c r="J604" s="518" t="s">
        <v>2084</v>
      </c>
      <c r="K604" s="1032">
        <f>G604</f>
        <v>10500000</v>
      </c>
      <c r="L604" s="1056">
        <f>F604-K604</f>
        <v>0</v>
      </c>
      <c r="M604" s="428"/>
      <c r="N604" s="429"/>
      <c r="O604" s="429"/>
      <c r="P604" s="429"/>
      <c r="Q604" s="429"/>
      <c r="R604" s="429"/>
    </row>
    <row r="605" spans="1:18" ht="30" customHeight="1" x14ac:dyDescent="0.2">
      <c r="A605" s="1027">
        <v>385</v>
      </c>
      <c r="B605" s="1025" t="s">
        <v>2001</v>
      </c>
      <c r="C605" s="1046" t="s">
        <v>379</v>
      </c>
      <c r="D605" s="1032">
        <v>12000000</v>
      </c>
      <c r="E605" s="1060">
        <v>0.05</v>
      </c>
      <c r="F605" s="1032">
        <f>D605*E605</f>
        <v>600000</v>
      </c>
      <c r="G605" s="1032">
        <v>600000</v>
      </c>
      <c r="H605" s="1032" t="s">
        <v>2040</v>
      </c>
      <c r="I605" s="434">
        <v>639443</v>
      </c>
      <c r="J605" s="518" t="s">
        <v>2997</v>
      </c>
      <c r="K605" s="1032">
        <f>G605</f>
        <v>600000</v>
      </c>
      <c r="L605" s="1056">
        <f>F605-K605</f>
        <v>0</v>
      </c>
      <c r="M605" s="428" t="s">
        <v>2002</v>
      </c>
      <c r="N605" s="429"/>
      <c r="O605" s="429"/>
      <c r="P605" s="429"/>
      <c r="Q605" s="429"/>
      <c r="R605" s="429"/>
    </row>
    <row r="606" spans="1:18" ht="30" customHeight="1" x14ac:dyDescent="0.2">
      <c r="A606" s="2031">
        <v>386</v>
      </c>
      <c r="B606" s="2029" t="s">
        <v>3236</v>
      </c>
      <c r="C606" s="2149" t="s">
        <v>1378</v>
      </c>
      <c r="D606" s="2040">
        <v>200000000</v>
      </c>
      <c r="E606" s="2037">
        <v>0.06</v>
      </c>
      <c r="F606" s="2040">
        <f>D606*E606</f>
        <v>12000000</v>
      </c>
      <c r="G606" s="1032">
        <v>5000000</v>
      </c>
      <c r="H606" s="1032" t="s">
        <v>2776</v>
      </c>
      <c r="I606" s="434">
        <v>897740174</v>
      </c>
      <c r="J606" s="518" t="s">
        <v>2795</v>
      </c>
      <c r="K606" s="2040">
        <f>G606+G607</f>
        <v>12000000</v>
      </c>
      <c r="L606" s="2210">
        <f>F606-K606</f>
        <v>0</v>
      </c>
      <c r="M606" s="2210"/>
      <c r="N606" s="429"/>
      <c r="O606" s="429"/>
      <c r="P606" s="429"/>
      <c r="Q606" s="429"/>
      <c r="R606" s="429"/>
    </row>
    <row r="607" spans="1:18" ht="30" customHeight="1" x14ac:dyDescent="0.2">
      <c r="A607" s="2034"/>
      <c r="B607" s="2033"/>
      <c r="C607" s="2158"/>
      <c r="D607" s="2041"/>
      <c r="E607" s="2038"/>
      <c r="F607" s="2041"/>
      <c r="G607" s="1156">
        <v>7000000</v>
      </c>
      <c r="H607" s="1156" t="s">
        <v>2798</v>
      </c>
      <c r="I607" s="434">
        <v>536161</v>
      </c>
      <c r="J607" s="518" t="s">
        <v>2806</v>
      </c>
      <c r="K607" s="2042"/>
      <c r="L607" s="2211"/>
      <c r="M607" s="2211"/>
      <c r="N607" s="429"/>
      <c r="O607" s="429"/>
      <c r="P607" s="429"/>
      <c r="Q607" s="429"/>
      <c r="R607" s="429"/>
    </row>
    <row r="608" spans="1:18" ht="30" customHeight="1" x14ac:dyDescent="0.2">
      <c r="A608" s="2032"/>
      <c r="B608" s="2030"/>
      <c r="C608" s="2150"/>
      <c r="D608" s="2042"/>
      <c r="E608" s="2039"/>
      <c r="F608" s="2042"/>
      <c r="G608" s="1351">
        <v>12000000</v>
      </c>
      <c r="H608" s="1351" t="s">
        <v>3227</v>
      </c>
      <c r="I608" s="1369" t="s">
        <v>3237</v>
      </c>
      <c r="J608" s="848" t="s">
        <v>2067</v>
      </c>
      <c r="K608" s="1351"/>
      <c r="L608" s="1360"/>
      <c r="M608" s="1359"/>
      <c r="N608" s="429"/>
      <c r="O608" s="429"/>
      <c r="P608" s="429"/>
      <c r="Q608" s="429"/>
      <c r="R608" s="429"/>
    </row>
    <row r="609" spans="1:18" ht="30" customHeight="1" x14ac:dyDescent="0.2">
      <c r="A609" s="2031">
        <v>387</v>
      </c>
      <c r="B609" s="2029" t="s">
        <v>2047</v>
      </c>
      <c r="C609" s="2149"/>
      <c r="D609" s="2040">
        <v>60000000</v>
      </c>
      <c r="E609" s="2037">
        <v>0.04</v>
      </c>
      <c r="F609" s="2040">
        <f>D609*E609</f>
        <v>2400000</v>
      </c>
      <c r="G609" s="1383">
        <v>2000000</v>
      </c>
      <c r="H609" s="1383" t="s">
        <v>3288</v>
      </c>
      <c r="I609" s="1401">
        <v>1.40105240182512E+17</v>
      </c>
      <c r="J609" s="518" t="s">
        <v>2048</v>
      </c>
      <c r="K609" s="2040">
        <f>G609+G610</f>
        <v>2400000</v>
      </c>
      <c r="L609" s="2210">
        <f>F609-K609</f>
        <v>0</v>
      </c>
      <c r="M609" s="2210"/>
      <c r="N609" s="429"/>
      <c r="O609" s="429"/>
      <c r="P609" s="429"/>
      <c r="Q609" s="429"/>
      <c r="R609" s="429"/>
    </row>
    <row r="610" spans="1:18" ht="30" customHeight="1" x14ac:dyDescent="0.2">
      <c r="A610" s="2032"/>
      <c r="B610" s="2030"/>
      <c r="C610" s="2150"/>
      <c r="D610" s="2042"/>
      <c r="E610" s="2039"/>
      <c r="F610" s="2042"/>
      <c r="G610" s="1383">
        <v>400000</v>
      </c>
      <c r="H610" s="1383" t="s">
        <v>3371</v>
      </c>
      <c r="I610" s="1401">
        <v>242557</v>
      </c>
      <c r="J610" s="518" t="s">
        <v>3390</v>
      </c>
      <c r="K610" s="2042"/>
      <c r="L610" s="2211"/>
      <c r="M610" s="2211"/>
      <c r="N610" s="429"/>
      <c r="O610" s="429"/>
      <c r="P610" s="429"/>
      <c r="Q610" s="429"/>
      <c r="R610" s="429"/>
    </row>
    <row r="611" spans="1:18" ht="30" customHeight="1" x14ac:dyDescent="0.2">
      <c r="A611" s="2031">
        <v>389</v>
      </c>
      <c r="B611" s="2029" t="s">
        <v>2077</v>
      </c>
      <c r="C611" s="2149" t="s">
        <v>3446</v>
      </c>
      <c r="D611" s="1032">
        <v>30000000</v>
      </c>
      <c r="E611" s="1060">
        <v>0.05</v>
      </c>
      <c r="F611" s="1032">
        <f>D611*E611</f>
        <v>1500000</v>
      </c>
      <c r="G611" s="1032">
        <v>1500000</v>
      </c>
      <c r="H611" s="1032" t="s">
        <v>3060</v>
      </c>
      <c r="I611" s="434">
        <v>854237</v>
      </c>
      <c r="J611" s="518" t="s">
        <v>2078</v>
      </c>
      <c r="K611" s="1032">
        <f>G611</f>
        <v>1500000</v>
      </c>
      <c r="L611" s="1056">
        <f>F611-K611</f>
        <v>0</v>
      </c>
      <c r="M611" s="428" t="s">
        <v>2079</v>
      </c>
      <c r="N611" s="429"/>
      <c r="O611" s="429"/>
      <c r="P611" s="429"/>
      <c r="Q611" s="429"/>
      <c r="R611" s="429"/>
    </row>
    <row r="612" spans="1:18" ht="30" customHeight="1" x14ac:dyDescent="0.2">
      <c r="A612" s="2034"/>
      <c r="B612" s="2033"/>
      <c r="C612" s="2158"/>
      <c r="D612" s="1405">
        <v>110000000</v>
      </c>
      <c r="E612" s="1407"/>
      <c r="F612" s="1405"/>
      <c r="G612" s="2192" t="s">
        <v>3354</v>
      </c>
      <c r="H612" s="2193"/>
      <c r="I612" s="2193"/>
      <c r="J612" s="2193"/>
      <c r="K612" s="2194"/>
      <c r="L612" s="1406"/>
      <c r="M612" s="428"/>
      <c r="N612" s="429"/>
      <c r="O612" s="429"/>
      <c r="P612" s="429"/>
      <c r="Q612" s="429"/>
      <c r="R612" s="429"/>
    </row>
    <row r="613" spans="1:18" ht="30" customHeight="1" x14ac:dyDescent="0.2">
      <c r="A613" s="2032"/>
      <c r="B613" s="2030"/>
      <c r="C613" s="2150"/>
      <c r="D613" s="1465">
        <v>150000000</v>
      </c>
      <c r="E613" s="1470">
        <v>0.05</v>
      </c>
      <c r="F613" s="1465">
        <f>D613*E613</f>
        <v>7500000</v>
      </c>
      <c r="G613" s="2299" t="s">
        <v>3444</v>
      </c>
      <c r="H613" s="2300"/>
      <c r="I613" s="2300"/>
      <c r="J613" s="2300"/>
      <c r="K613" s="2301"/>
      <c r="L613" s="1468"/>
      <c r="M613" s="428" t="s">
        <v>3445</v>
      </c>
      <c r="N613" s="429"/>
      <c r="O613" s="429"/>
      <c r="P613" s="429"/>
      <c r="Q613" s="429"/>
      <c r="R613" s="429"/>
    </row>
    <row r="614" spans="1:18" ht="30" customHeight="1" x14ac:dyDescent="0.2">
      <c r="A614" s="1027">
        <v>390</v>
      </c>
      <c r="B614" s="1025" t="s">
        <v>2126</v>
      </c>
      <c r="C614" s="1046"/>
      <c r="D614" s="1032">
        <v>5000000</v>
      </c>
      <c r="E614" s="1060">
        <v>0.05</v>
      </c>
      <c r="F614" s="1032">
        <f>D614*E614</f>
        <v>250000</v>
      </c>
      <c r="G614" s="1032">
        <v>250000</v>
      </c>
      <c r="H614" s="1032" t="s">
        <v>2674</v>
      </c>
      <c r="I614" s="434">
        <v>534425</v>
      </c>
      <c r="J614" s="518" t="s">
        <v>2675</v>
      </c>
      <c r="K614" s="1032">
        <f>G614</f>
        <v>250000</v>
      </c>
      <c r="L614" s="1056">
        <f>F614-K614</f>
        <v>0</v>
      </c>
      <c r="M614" s="428"/>
      <c r="N614" s="429"/>
      <c r="O614" s="429"/>
      <c r="P614" s="429"/>
      <c r="Q614" s="429"/>
      <c r="R614" s="429"/>
    </row>
    <row r="615" spans="1:18" ht="30" customHeight="1" x14ac:dyDescent="0.2">
      <c r="A615" s="2031">
        <v>391</v>
      </c>
      <c r="B615" s="2029" t="s">
        <v>2133</v>
      </c>
      <c r="C615" s="2149" t="s">
        <v>2134</v>
      </c>
      <c r="D615" s="1032">
        <v>1158000000</v>
      </c>
      <c r="E615" s="1060">
        <v>0.05</v>
      </c>
      <c r="F615" s="1032">
        <v>58000000</v>
      </c>
      <c r="G615" s="2228" t="s">
        <v>2501</v>
      </c>
      <c r="H615" s="2229"/>
      <c r="I615" s="2229"/>
      <c r="J615" s="2229"/>
      <c r="K615" s="2229"/>
      <c r="L615" s="2230"/>
      <c r="M615" s="2205" t="s">
        <v>2502</v>
      </c>
      <c r="N615" s="429"/>
      <c r="O615" s="429"/>
      <c r="P615" s="429"/>
      <c r="Q615" s="429"/>
      <c r="R615" s="429"/>
    </row>
    <row r="616" spans="1:18" ht="30" customHeight="1" x14ac:dyDescent="0.2">
      <c r="A616" s="2034"/>
      <c r="B616" s="2033"/>
      <c r="C616" s="2158"/>
      <c r="D616" s="2097" t="s">
        <v>3347</v>
      </c>
      <c r="E616" s="2195"/>
      <c r="F616" s="2098"/>
      <c r="G616" s="2231"/>
      <c r="H616" s="2232"/>
      <c r="I616" s="2232"/>
      <c r="J616" s="2232"/>
      <c r="K616" s="2232"/>
      <c r="L616" s="2233"/>
      <c r="M616" s="2206"/>
      <c r="N616" s="429"/>
      <c r="O616" s="429"/>
      <c r="P616" s="429"/>
      <c r="Q616" s="429"/>
      <c r="R616" s="429"/>
    </row>
    <row r="617" spans="1:18" ht="30" customHeight="1" x14ac:dyDescent="0.2">
      <c r="A617" s="2034"/>
      <c r="B617" s="2033"/>
      <c r="C617" s="2158"/>
      <c r="D617" s="2269"/>
      <c r="E617" s="1964"/>
      <c r="F617" s="2270"/>
      <c r="G617" s="2381" t="s">
        <v>3343</v>
      </c>
      <c r="H617" s="2382"/>
      <c r="I617" s="2382"/>
      <c r="J617" s="2382"/>
      <c r="K617" s="2382"/>
      <c r="L617" s="2174">
        <f>200000000+K618</f>
        <v>216000000</v>
      </c>
      <c r="M617" s="2205" t="s">
        <v>3063</v>
      </c>
      <c r="N617" s="429"/>
      <c r="O617" s="429"/>
      <c r="P617" s="429"/>
      <c r="Q617" s="429"/>
      <c r="R617" s="429"/>
    </row>
    <row r="618" spans="1:18" ht="30" customHeight="1" x14ac:dyDescent="0.2">
      <c r="A618" s="2034"/>
      <c r="B618" s="2033"/>
      <c r="C618" s="2158"/>
      <c r="D618" s="2099"/>
      <c r="E618" s="2196"/>
      <c r="F618" s="2100"/>
      <c r="G618" s="1391">
        <v>16000000</v>
      </c>
      <c r="H618" s="1391" t="s">
        <v>3333</v>
      </c>
      <c r="I618" s="1401" t="s">
        <v>3345</v>
      </c>
      <c r="J618" s="1391" t="s">
        <v>3344</v>
      </c>
      <c r="K618" s="1380">
        <f>G618</f>
        <v>16000000</v>
      </c>
      <c r="L618" s="2174"/>
      <c r="M618" s="2206"/>
      <c r="N618" s="429"/>
      <c r="O618" s="429"/>
      <c r="P618" s="429"/>
      <c r="Q618" s="429"/>
      <c r="R618" s="429"/>
    </row>
    <row r="619" spans="1:18" ht="30" customHeight="1" x14ac:dyDescent="0.2">
      <c r="A619" s="2032"/>
      <c r="B619" s="2030"/>
      <c r="C619" s="2150"/>
      <c r="D619" s="1391">
        <v>1000000000</v>
      </c>
      <c r="E619" s="44">
        <v>0.05</v>
      </c>
      <c r="F619" s="1389"/>
      <c r="G619" s="2200" t="s">
        <v>3346</v>
      </c>
      <c r="H619" s="2201"/>
      <c r="I619" s="2201"/>
      <c r="J619" s="2201"/>
      <c r="K619" s="2201"/>
      <c r="L619" s="2202"/>
      <c r="M619" s="1400"/>
      <c r="N619" s="429"/>
      <c r="O619" s="429"/>
      <c r="P619" s="429"/>
      <c r="Q619" s="429"/>
      <c r="R619" s="429"/>
    </row>
    <row r="620" spans="1:18" ht="30" customHeight="1" x14ac:dyDescent="0.2">
      <c r="A620" s="1027">
        <v>392</v>
      </c>
      <c r="B620" s="1025" t="s">
        <v>2178</v>
      </c>
      <c r="C620" s="1046" t="s">
        <v>1349</v>
      </c>
      <c r="D620" s="1032">
        <v>50000000</v>
      </c>
      <c r="E620" s="1060">
        <v>0.05</v>
      </c>
      <c r="F620" s="1032">
        <f>D620*E620</f>
        <v>2500000</v>
      </c>
      <c r="G620" s="1032">
        <v>2500000</v>
      </c>
      <c r="H620" s="1032" t="s">
        <v>3148</v>
      </c>
      <c r="I620" s="434">
        <v>519751</v>
      </c>
      <c r="J620" s="518" t="s">
        <v>3191</v>
      </c>
      <c r="K620" s="1032">
        <f>G620</f>
        <v>2500000</v>
      </c>
      <c r="L620" s="1056">
        <f>F620-K620</f>
        <v>0</v>
      </c>
      <c r="M620" s="428" t="s">
        <v>2166</v>
      </c>
      <c r="N620" s="429"/>
      <c r="O620" s="429"/>
      <c r="P620" s="429"/>
      <c r="Q620" s="429"/>
      <c r="R620" s="429"/>
    </row>
    <row r="621" spans="1:18" ht="30" customHeight="1" x14ac:dyDescent="0.2">
      <c r="A621" s="1027">
        <v>393</v>
      </c>
      <c r="B621" s="1025" t="s">
        <v>2170</v>
      </c>
      <c r="C621" s="1046"/>
      <c r="D621" s="1038"/>
      <c r="E621" s="44"/>
      <c r="F621" s="1038"/>
      <c r="G621" s="1032">
        <v>1500000</v>
      </c>
      <c r="H621" s="1032" t="s">
        <v>3146</v>
      </c>
      <c r="I621" s="434">
        <v>155648</v>
      </c>
      <c r="J621" s="518" t="s">
        <v>2171</v>
      </c>
      <c r="K621" s="1032">
        <f>G621</f>
        <v>1500000</v>
      </c>
      <c r="L621" s="1055">
        <f>F621-K621</f>
        <v>-1500000</v>
      </c>
      <c r="M621" s="428"/>
      <c r="N621" s="429"/>
      <c r="O621" s="429"/>
      <c r="P621" s="429"/>
      <c r="Q621" s="429"/>
      <c r="R621" s="429"/>
    </row>
    <row r="622" spans="1:18" ht="30" customHeight="1" x14ac:dyDescent="0.2">
      <c r="A622" s="1027"/>
      <c r="B622" s="725" t="s">
        <v>2182</v>
      </c>
      <c r="C622" s="726" t="s">
        <v>1378</v>
      </c>
      <c r="D622" s="727">
        <v>600000000</v>
      </c>
      <c r="E622" s="728">
        <v>0.06</v>
      </c>
      <c r="F622" s="727">
        <f>D622*E622</f>
        <v>36000000</v>
      </c>
      <c r="G622" s="1032"/>
      <c r="H622" s="1032"/>
      <c r="I622" s="434"/>
      <c r="J622" s="518"/>
      <c r="K622" s="1032"/>
      <c r="L622" s="1056"/>
      <c r="M622" s="428" t="s">
        <v>2166</v>
      </c>
      <c r="N622" s="429"/>
      <c r="O622" s="429"/>
      <c r="P622" s="429"/>
      <c r="Q622" s="429"/>
      <c r="R622" s="429"/>
    </row>
    <row r="623" spans="1:18" ht="30" customHeight="1" x14ac:dyDescent="0.2">
      <c r="A623" s="1027"/>
      <c r="B623" s="725" t="s">
        <v>2179</v>
      </c>
      <c r="C623" s="726" t="s">
        <v>1378</v>
      </c>
      <c r="D623" s="727">
        <v>310000000</v>
      </c>
      <c r="E623" s="728">
        <v>0.06</v>
      </c>
      <c r="F623" s="727">
        <f t="shared" ref="F623:F626" si="51">D623*E623</f>
        <v>18600000</v>
      </c>
      <c r="G623" s="1032"/>
      <c r="H623" s="1032"/>
      <c r="I623" s="434"/>
      <c r="J623" s="518"/>
      <c r="K623" s="1032"/>
      <c r="L623" s="1056"/>
      <c r="M623" s="428" t="s">
        <v>2166</v>
      </c>
      <c r="N623" s="429"/>
      <c r="O623" s="429"/>
      <c r="P623" s="429"/>
      <c r="Q623" s="429"/>
      <c r="R623" s="429"/>
    </row>
    <row r="624" spans="1:18" ht="30" customHeight="1" x14ac:dyDescent="0.2">
      <c r="A624" s="1027"/>
      <c r="B624" s="725" t="s">
        <v>2183</v>
      </c>
      <c r="C624" s="726" t="s">
        <v>1378</v>
      </c>
      <c r="D624" s="727">
        <v>50000000</v>
      </c>
      <c r="E624" s="728">
        <v>0.06</v>
      </c>
      <c r="F624" s="727">
        <f t="shared" si="51"/>
        <v>3000000</v>
      </c>
      <c r="G624" s="1032"/>
      <c r="H624" s="1032"/>
      <c r="I624" s="434"/>
      <c r="J624" s="518"/>
      <c r="K624" s="1032"/>
      <c r="L624" s="1056"/>
      <c r="M624" s="428" t="s">
        <v>2166</v>
      </c>
      <c r="N624" s="429"/>
      <c r="O624" s="429"/>
      <c r="P624" s="429"/>
      <c r="Q624" s="429"/>
      <c r="R624" s="429"/>
    </row>
    <row r="625" spans="1:18" ht="30" customHeight="1" x14ac:dyDescent="0.2">
      <c r="A625" s="1027"/>
      <c r="B625" s="725" t="s">
        <v>2180</v>
      </c>
      <c r="C625" s="726" t="s">
        <v>1378</v>
      </c>
      <c r="D625" s="727">
        <v>110000000</v>
      </c>
      <c r="E625" s="728">
        <v>0.06</v>
      </c>
      <c r="F625" s="727">
        <f t="shared" si="51"/>
        <v>6600000</v>
      </c>
      <c r="G625" s="1032"/>
      <c r="H625" s="1032"/>
      <c r="I625" s="434"/>
      <c r="J625" s="518"/>
      <c r="K625" s="1032"/>
      <c r="L625" s="1056"/>
      <c r="M625" s="428" t="s">
        <v>2166</v>
      </c>
      <c r="N625" s="429"/>
      <c r="O625" s="429"/>
      <c r="P625" s="429"/>
      <c r="Q625" s="429"/>
      <c r="R625" s="429"/>
    </row>
    <row r="626" spans="1:18" ht="30" customHeight="1" x14ac:dyDescent="0.2">
      <c r="A626" s="1027"/>
      <c r="B626" s="725" t="s">
        <v>2181</v>
      </c>
      <c r="C626" s="726" t="s">
        <v>1378</v>
      </c>
      <c r="D626" s="727">
        <v>100000000</v>
      </c>
      <c r="E626" s="728">
        <v>0.06</v>
      </c>
      <c r="F626" s="727">
        <f t="shared" si="51"/>
        <v>6000000</v>
      </c>
      <c r="G626" s="1032"/>
      <c r="H626" s="1032"/>
      <c r="I626" s="434"/>
      <c r="J626" s="518"/>
      <c r="K626" s="1032"/>
      <c r="L626" s="1056"/>
      <c r="M626" s="428" t="s">
        <v>2166</v>
      </c>
      <c r="N626" s="429"/>
      <c r="O626" s="429"/>
      <c r="P626" s="429"/>
      <c r="Q626" s="429"/>
      <c r="R626" s="429"/>
    </row>
    <row r="627" spans="1:18" ht="30" customHeight="1" x14ac:dyDescent="0.2">
      <c r="A627" s="1027"/>
      <c r="B627" s="725"/>
      <c r="C627" s="726"/>
      <c r="D627" s="727">
        <f>SUM(D622:D626)</f>
        <v>1170000000</v>
      </c>
      <c r="E627" s="728"/>
      <c r="F627" s="727">
        <f>SUM(F622:F626)</f>
        <v>70200000</v>
      </c>
      <c r="G627" s="1032"/>
      <c r="H627" s="1032"/>
      <c r="I627" s="434"/>
      <c r="J627" s="518"/>
      <c r="K627" s="1032"/>
      <c r="L627" s="1056"/>
      <c r="M627" s="428"/>
      <c r="N627" s="429"/>
      <c r="O627" s="429"/>
      <c r="P627" s="429"/>
      <c r="Q627" s="429"/>
      <c r="R627" s="429"/>
    </row>
    <row r="628" spans="1:18" ht="30" customHeight="1" x14ac:dyDescent="0.2">
      <c r="A628" s="1596"/>
      <c r="B628" s="1594" t="s">
        <v>2199</v>
      </c>
      <c r="C628" s="1595"/>
      <c r="D628" s="1565">
        <v>200000000</v>
      </c>
      <c r="E628" s="1593">
        <v>7.0000000000000007E-2</v>
      </c>
      <c r="F628" s="1565">
        <f>D628*E628</f>
        <v>14000000.000000002</v>
      </c>
      <c r="G628" s="1032">
        <v>14000000</v>
      </c>
      <c r="H628" s="1032" t="s">
        <v>3442</v>
      </c>
      <c r="I628" s="434">
        <v>464423</v>
      </c>
      <c r="J628" s="518" t="s">
        <v>1106</v>
      </c>
      <c r="K628" s="1565">
        <f>G628</f>
        <v>14000000</v>
      </c>
      <c r="L628" s="1528">
        <f>F628-K628</f>
        <v>0</v>
      </c>
      <c r="M628" s="1581"/>
      <c r="N628" s="429"/>
      <c r="O628" s="429"/>
      <c r="P628" s="429"/>
      <c r="Q628" s="429"/>
      <c r="R628" s="429"/>
    </row>
    <row r="629" spans="1:18" ht="30" customHeight="1" x14ac:dyDescent="0.2">
      <c r="A629" s="1027"/>
      <c r="B629" s="1025" t="s">
        <v>2219</v>
      </c>
      <c r="C629" s="1046"/>
      <c r="D629" s="1300">
        <v>13000000</v>
      </c>
      <c r="E629" s="1305">
        <v>0.05</v>
      </c>
      <c r="F629" s="1300">
        <f>D629*E629</f>
        <v>650000</v>
      </c>
      <c r="G629" s="1300">
        <v>650000</v>
      </c>
      <c r="H629" s="1300" t="s">
        <v>3109</v>
      </c>
      <c r="I629" s="1306">
        <v>254171</v>
      </c>
      <c r="J629" s="518" t="s">
        <v>3128</v>
      </c>
      <c r="K629" s="1300">
        <f>G629</f>
        <v>650000</v>
      </c>
      <c r="L629" s="1304">
        <f>F629-K629</f>
        <v>0</v>
      </c>
      <c r="M629" s="428"/>
      <c r="N629" s="429"/>
      <c r="O629" s="429"/>
      <c r="P629" s="429"/>
      <c r="Q629" s="429"/>
      <c r="R629" s="429"/>
    </row>
    <row r="630" spans="1:18" ht="30" customHeight="1" x14ac:dyDescent="0.2">
      <c r="A630" s="1027"/>
      <c r="B630" s="1025" t="s">
        <v>2258</v>
      </c>
      <c r="C630" s="1046"/>
      <c r="D630" s="1032">
        <v>50000000</v>
      </c>
      <c r="E630" s="1060">
        <v>0.04</v>
      </c>
      <c r="F630" s="1032">
        <f>D630*E630</f>
        <v>2000000</v>
      </c>
      <c r="G630" s="1032">
        <v>2000000</v>
      </c>
      <c r="H630" s="1032" t="s">
        <v>3333</v>
      </c>
      <c r="I630" s="434">
        <v>275226</v>
      </c>
      <c r="J630" s="518" t="s">
        <v>3353</v>
      </c>
      <c r="K630" s="1032">
        <f>G630</f>
        <v>2000000</v>
      </c>
      <c r="L630" s="1056">
        <f>F630-G630</f>
        <v>0</v>
      </c>
      <c r="M630" s="428"/>
      <c r="N630" s="429"/>
      <c r="O630" s="429"/>
      <c r="P630" s="429"/>
      <c r="Q630" s="429"/>
      <c r="R630" s="429"/>
    </row>
    <row r="631" spans="1:18" ht="30" customHeight="1" x14ac:dyDescent="0.2">
      <c r="A631" s="2031"/>
      <c r="B631" s="2029" t="s">
        <v>2259</v>
      </c>
      <c r="C631" s="2149"/>
      <c r="D631" s="2040">
        <v>100000000</v>
      </c>
      <c r="E631" s="2037">
        <v>0.05</v>
      </c>
      <c r="F631" s="2040">
        <f>D631*E631</f>
        <v>5000000</v>
      </c>
      <c r="G631" s="1032">
        <v>4000000</v>
      </c>
      <c r="H631" s="1032" t="s">
        <v>2040</v>
      </c>
      <c r="I631" s="434">
        <v>123307431255</v>
      </c>
      <c r="J631" s="518" t="s">
        <v>2990</v>
      </c>
      <c r="K631" s="2040">
        <f>G631+G632</f>
        <v>5000000</v>
      </c>
      <c r="L631" s="2210">
        <f>F631-K631</f>
        <v>0</v>
      </c>
      <c r="M631" s="2210"/>
      <c r="N631" s="429"/>
      <c r="O631" s="429"/>
      <c r="P631" s="429"/>
      <c r="Q631" s="429"/>
      <c r="R631" s="429"/>
    </row>
    <row r="632" spans="1:18" ht="30" customHeight="1" x14ac:dyDescent="0.2">
      <c r="A632" s="2032"/>
      <c r="B632" s="2030"/>
      <c r="C632" s="2150"/>
      <c r="D632" s="2042"/>
      <c r="E632" s="2039"/>
      <c r="F632" s="2042"/>
      <c r="G632" s="1300">
        <v>1000000</v>
      </c>
      <c r="H632" s="1300" t="s">
        <v>3109</v>
      </c>
      <c r="I632" s="1306">
        <v>903059</v>
      </c>
      <c r="J632" s="518" t="s">
        <v>3116</v>
      </c>
      <c r="K632" s="2042"/>
      <c r="L632" s="2211"/>
      <c r="M632" s="2211"/>
      <c r="N632" s="429"/>
      <c r="O632" s="429"/>
      <c r="P632" s="429"/>
      <c r="Q632" s="429"/>
      <c r="R632" s="429"/>
    </row>
    <row r="633" spans="1:18" ht="30" customHeight="1" x14ac:dyDescent="0.2">
      <c r="A633" s="1027"/>
      <c r="B633" s="1025" t="s">
        <v>2338</v>
      </c>
      <c r="C633" s="1046" t="s">
        <v>1378</v>
      </c>
      <c r="D633" s="1032">
        <v>30000000</v>
      </c>
      <c r="E633" s="1060">
        <v>0.05</v>
      </c>
      <c r="F633" s="1032">
        <f>D633*E633</f>
        <v>1500000</v>
      </c>
      <c r="G633" s="1391">
        <v>1500000</v>
      </c>
      <c r="H633" s="1391" t="s">
        <v>3333</v>
      </c>
      <c r="I633" s="1391" t="s">
        <v>3349</v>
      </c>
      <c r="J633" s="1391" t="s">
        <v>3348</v>
      </c>
      <c r="K633" s="1391">
        <f>G633</f>
        <v>1500000</v>
      </c>
      <c r="L633" s="1391">
        <f>F633-K633</f>
        <v>0</v>
      </c>
      <c r="M633" s="1412" t="s">
        <v>2337</v>
      </c>
      <c r="N633" s="429"/>
      <c r="O633" s="429"/>
      <c r="P633" s="429"/>
      <c r="Q633" s="429"/>
      <c r="R633" s="429"/>
    </row>
    <row r="634" spans="1:18" ht="30" customHeight="1" x14ac:dyDescent="0.2">
      <c r="A634" s="1027"/>
      <c r="B634" s="1025" t="s">
        <v>2409</v>
      </c>
      <c r="C634" s="1046" t="s">
        <v>1354</v>
      </c>
      <c r="D634" s="1032">
        <v>600000000</v>
      </c>
      <c r="E634" s="1060">
        <v>0.05</v>
      </c>
      <c r="F634" s="1032">
        <f>D634*E634</f>
        <v>30000000</v>
      </c>
      <c r="G634" s="1032"/>
      <c r="H634" s="1032"/>
      <c r="I634" s="434"/>
      <c r="J634" s="518"/>
      <c r="K634" s="1032"/>
      <c r="L634" s="1056"/>
      <c r="M634" s="428"/>
      <c r="N634" s="429"/>
      <c r="O634" s="429"/>
      <c r="P634" s="429"/>
      <c r="Q634" s="429"/>
      <c r="R634" s="429"/>
    </row>
    <row r="635" spans="1:18" ht="30" customHeight="1" x14ac:dyDescent="0.2">
      <c r="A635" s="1027"/>
      <c r="B635" s="1025" t="s">
        <v>2427</v>
      </c>
      <c r="C635" s="1046"/>
      <c r="D635" s="1038"/>
      <c r="E635" s="44"/>
      <c r="F635" s="1038"/>
      <c r="G635" s="1032"/>
      <c r="H635" s="1032"/>
      <c r="I635" s="434"/>
      <c r="J635" s="518" t="s">
        <v>2428</v>
      </c>
      <c r="K635" s="1032">
        <f t="shared" ref="K635:K639" si="52">G635</f>
        <v>0</v>
      </c>
      <c r="L635" s="1055"/>
      <c r="M635" s="428" t="s">
        <v>2209</v>
      </c>
      <c r="N635" s="429"/>
      <c r="O635" s="429"/>
      <c r="P635" s="429"/>
      <c r="Q635" s="429"/>
      <c r="R635" s="429"/>
    </row>
    <row r="636" spans="1:18" ht="30" customHeight="1" x14ac:dyDescent="0.2">
      <c r="A636" s="1027"/>
      <c r="B636" s="1040" t="s">
        <v>2438</v>
      </c>
      <c r="C636" s="1054"/>
      <c r="D636" s="1038"/>
      <c r="E636" s="44"/>
      <c r="F636" s="1038"/>
      <c r="G636" s="1038"/>
      <c r="H636" s="1038"/>
      <c r="I636" s="847"/>
      <c r="J636" s="848" t="s">
        <v>2439</v>
      </c>
      <c r="K636" s="1038">
        <f t="shared" si="52"/>
        <v>0</v>
      </c>
      <c r="L636" s="1055">
        <f t="shared" ref="L636:L643" si="53">F636-K636</f>
        <v>0</v>
      </c>
      <c r="M636" s="428" t="s">
        <v>2209</v>
      </c>
      <c r="N636" s="429"/>
      <c r="O636" s="429"/>
      <c r="P636" s="429"/>
      <c r="Q636" s="429"/>
      <c r="R636" s="429"/>
    </row>
    <row r="637" spans="1:18" ht="30" customHeight="1" x14ac:dyDescent="0.2">
      <c r="A637" s="1027"/>
      <c r="B637" s="1025" t="s">
        <v>2479</v>
      </c>
      <c r="C637" s="1046"/>
      <c r="D637" s="1263">
        <v>25000000</v>
      </c>
      <c r="E637" s="1272">
        <v>0.04</v>
      </c>
      <c r="F637" s="1263">
        <f>D637*E637</f>
        <v>1000000</v>
      </c>
      <c r="G637" s="1263"/>
      <c r="H637" s="1263"/>
      <c r="I637" s="1276"/>
      <c r="J637" s="518" t="s">
        <v>2481</v>
      </c>
      <c r="K637" s="1263">
        <f t="shared" si="52"/>
        <v>0</v>
      </c>
      <c r="L637" s="1271">
        <f t="shared" si="53"/>
        <v>1000000</v>
      </c>
      <c r="M637" s="428"/>
      <c r="N637" s="429"/>
      <c r="O637" s="429"/>
      <c r="P637" s="429"/>
      <c r="Q637" s="429"/>
      <c r="R637" s="429"/>
    </row>
    <row r="638" spans="1:18" ht="30" customHeight="1" x14ac:dyDescent="0.2">
      <c r="A638" s="1027"/>
      <c r="B638" s="1025" t="s">
        <v>2520</v>
      </c>
      <c r="C638" s="1046"/>
      <c r="D638" s="1038"/>
      <c r="E638" s="44"/>
      <c r="F638" s="1038"/>
      <c r="G638" s="1032"/>
      <c r="H638" s="1032"/>
      <c r="I638" s="434"/>
      <c r="J638" s="518" t="s">
        <v>2521</v>
      </c>
      <c r="K638" s="1032">
        <f t="shared" si="52"/>
        <v>0</v>
      </c>
      <c r="L638" s="1055">
        <f t="shared" si="53"/>
        <v>0</v>
      </c>
      <c r="M638" s="428"/>
      <c r="N638" s="429"/>
      <c r="O638" s="429"/>
      <c r="P638" s="429"/>
      <c r="Q638" s="429"/>
      <c r="R638" s="429"/>
    </row>
    <row r="639" spans="1:18" ht="30" customHeight="1" x14ac:dyDescent="0.2">
      <c r="A639" s="1027"/>
      <c r="B639" s="1025" t="s">
        <v>2523</v>
      </c>
      <c r="C639" s="1046"/>
      <c r="D639" s="1038">
        <v>880000000</v>
      </c>
      <c r="E639" s="44"/>
      <c r="F639" s="1038"/>
      <c r="G639" s="1032">
        <f>F641/3</f>
        <v>3666666.6666666665</v>
      </c>
      <c r="H639" s="1032"/>
      <c r="I639" s="434"/>
      <c r="J639" s="518" t="s">
        <v>2524</v>
      </c>
      <c r="K639" s="1032">
        <f t="shared" si="52"/>
        <v>3666666.6666666665</v>
      </c>
      <c r="L639" s="1055">
        <f t="shared" si="53"/>
        <v>-3666666.6666666665</v>
      </c>
      <c r="M639" s="428"/>
      <c r="N639" s="429"/>
      <c r="O639" s="429"/>
      <c r="P639" s="429"/>
      <c r="Q639" s="429"/>
      <c r="R639" s="429"/>
    </row>
    <row r="640" spans="1:18" ht="30" customHeight="1" x14ac:dyDescent="0.2">
      <c r="A640" s="2031"/>
      <c r="B640" s="2029" t="s">
        <v>2789</v>
      </c>
      <c r="C640" s="2149" t="s">
        <v>1750</v>
      </c>
      <c r="D640" s="1156">
        <v>100000000</v>
      </c>
      <c r="E640" s="1167">
        <v>0.05</v>
      </c>
      <c r="F640" s="1156">
        <f>D640*E640</f>
        <v>5000000</v>
      </c>
      <c r="G640" s="1162">
        <v>5000000</v>
      </c>
      <c r="H640" s="1162" t="s">
        <v>2776</v>
      </c>
      <c r="I640" s="1162">
        <v>123069434142</v>
      </c>
      <c r="J640" s="1162" t="s">
        <v>2790</v>
      </c>
      <c r="K640" s="1162">
        <f>G640</f>
        <v>5000000</v>
      </c>
      <c r="L640" s="1165">
        <f t="shared" si="53"/>
        <v>0</v>
      </c>
      <c r="M640" s="428"/>
      <c r="N640" s="429"/>
      <c r="O640" s="429"/>
      <c r="P640" s="429"/>
      <c r="Q640" s="429"/>
      <c r="R640" s="429"/>
    </row>
    <row r="641" spans="1:18" ht="30" customHeight="1" x14ac:dyDescent="0.2">
      <c r="A641" s="2034"/>
      <c r="B641" s="2033"/>
      <c r="C641" s="2158"/>
      <c r="D641" s="1416">
        <v>220000000</v>
      </c>
      <c r="E641" s="1428">
        <v>0.05</v>
      </c>
      <c r="F641" s="1416">
        <f>D641*E641</f>
        <v>11000000</v>
      </c>
      <c r="G641" s="2154" t="s">
        <v>3356</v>
      </c>
      <c r="H641" s="2155"/>
      <c r="I641" s="2155"/>
      <c r="J641" s="2156"/>
      <c r="K641" s="1416"/>
      <c r="L641" s="1425"/>
      <c r="M641" s="428" t="s">
        <v>3357</v>
      </c>
      <c r="N641" s="429"/>
      <c r="O641" s="429"/>
      <c r="P641" s="429"/>
      <c r="Q641" s="429"/>
      <c r="R641" s="429"/>
    </row>
    <row r="642" spans="1:18" ht="30" customHeight="1" x14ac:dyDescent="0.2">
      <c r="A642" s="2032"/>
      <c r="B642" s="2030"/>
      <c r="C642" s="2150"/>
      <c r="D642" s="1416"/>
      <c r="E642" s="1428"/>
      <c r="F642" s="1416"/>
      <c r="G642" s="1423">
        <v>3650000</v>
      </c>
      <c r="H642" s="1423" t="s">
        <v>3358</v>
      </c>
      <c r="I642" s="1423">
        <v>439187</v>
      </c>
      <c r="J642" s="1423" t="s">
        <v>3410</v>
      </c>
      <c r="K642" s="1423">
        <f>G642</f>
        <v>3650000</v>
      </c>
      <c r="L642" s="1425"/>
      <c r="M642" s="428" t="s">
        <v>3355</v>
      </c>
      <c r="N642" s="429"/>
      <c r="O642" s="429"/>
      <c r="P642" s="429"/>
      <c r="Q642" s="429"/>
      <c r="R642" s="429"/>
    </row>
    <row r="643" spans="1:18" ht="30" customHeight="1" x14ac:dyDescent="0.2">
      <c r="A643" s="1027"/>
      <c r="B643" s="1025" t="s">
        <v>2542</v>
      </c>
      <c r="C643" s="1046"/>
      <c r="D643" s="1032">
        <v>20000000</v>
      </c>
      <c r="E643" s="1060">
        <v>0.05</v>
      </c>
      <c r="F643" s="1032">
        <f>D643*E643</f>
        <v>1000000</v>
      </c>
      <c r="G643" s="1032">
        <v>1000000</v>
      </c>
      <c r="H643" s="1032" t="s">
        <v>3041</v>
      </c>
      <c r="I643" s="434">
        <v>123445088921</v>
      </c>
      <c r="J643" s="518" t="s">
        <v>3138</v>
      </c>
      <c r="K643" s="1032">
        <f>G643</f>
        <v>1000000</v>
      </c>
      <c r="L643" s="1056">
        <f t="shared" si="53"/>
        <v>0</v>
      </c>
      <c r="M643" s="428"/>
      <c r="N643" s="429"/>
      <c r="O643" s="429"/>
      <c r="P643" s="429"/>
      <c r="Q643" s="429"/>
      <c r="R643" s="429"/>
    </row>
    <row r="644" spans="1:18" ht="30" customHeight="1" x14ac:dyDescent="0.2">
      <c r="A644" s="2031"/>
      <c r="B644" s="2029" t="s">
        <v>2607</v>
      </c>
      <c r="C644" s="2149" t="s">
        <v>916</v>
      </c>
      <c r="D644" s="1032">
        <v>51000000</v>
      </c>
      <c r="E644" s="1060">
        <v>0.06</v>
      </c>
      <c r="F644" s="1032">
        <f>D644*E644</f>
        <v>3060000</v>
      </c>
      <c r="G644" s="2154" t="s">
        <v>2656</v>
      </c>
      <c r="H644" s="2155"/>
      <c r="I644" s="2155"/>
      <c r="J644" s="2155"/>
      <c r="K644" s="2155"/>
      <c r="L644" s="2156"/>
      <c r="M644" s="428"/>
      <c r="N644" s="429"/>
      <c r="O644" s="429"/>
      <c r="P644" s="429"/>
      <c r="Q644" s="429"/>
      <c r="R644" s="429"/>
    </row>
    <row r="645" spans="1:18" ht="30" customHeight="1" x14ac:dyDescent="0.2">
      <c r="A645" s="2034"/>
      <c r="B645" s="2033"/>
      <c r="C645" s="2158"/>
      <c r="D645" s="1032">
        <f>D644+F644+F644</f>
        <v>57120000</v>
      </c>
      <c r="E645" s="1060">
        <v>0.06</v>
      </c>
      <c r="F645" s="1032">
        <v>3425000</v>
      </c>
      <c r="G645" s="2154" t="s">
        <v>2657</v>
      </c>
      <c r="H645" s="2155"/>
      <c r="I645" s="2155"/>
      <c r="J645" s="2155"/>
      <c r="K645" s="2156"/>
      <c r="L645" s="1043"/>
      <c r="M645" s="428"/>
      <c r="N645" s="429"/>
      <c r="O645" s="429"/>
      <c r="P645" s="429"/>
      <c r="Q645" s="429"/>
      <c r="R645" s="429"/>
    </row>
    <row r="646" spans="1:18" ht="30" customHeight="1" x14ac:dyDescent="0.2">
      <c r="A646" s="2032"/>
      <c r="B646" s="2030"/>
      <c r="C646" s="2150"/>
      <c r="D646" s="1513"/>
      <c r="E646" s="1520"/>
      <c r="F646" s="1513"/>
      <c r="G646" s="1518"/>
      <c r="H646" s="1519"/>
      <c r="I646" s="1519"/>
      <c r="J646" s="1519"/>
      <c r="K646" s="1519"/>
      <c r="L646" s="1516"/>
      <c r="M646" s="428"/>
      <c r="N646" s="429"/>
      <c r="O646" s="429"/>
      <c r="P646" s="429"/>
      <c r="Q646" s="429"/>
      <c r="R646" s="429"/>
    </row>
    <row r="647" spans="1:18" ht="30" customHeight="1" x14ac:dyDescent="0.2">
      <c r="A647" s="1027"/>
      <c r="B647" s="1025" t="s">
        <v>2659</v>
      </c>
      <c r="C647" s="1046" t="s">
        <v>1110</v>
      </c>
      <c r="D647" s="1032">
        <v>80000000</v>
      </c>
      <c r="E647" s="1060">
        <v>0.05</v>
      </c>
      <c r="F647" s="1032">
        <f>D647*E647</f>
        <v>4000000</v>
      </c>
      <c r="G647" s="2192" t="s">
        <v>2335</v>
      </c>
      <c r="H647" s="2193"/>
      <c r="I647" s="2193"/>
      <c r="J647" s="2193"/>
      <c r="K647" s="2193"/>
      <c r="L647" s="2194"/>
      <c r="M647" s="428"/>
      <c r="N647" s="429"/>
      <c r="O647" s="429"/>
      <c r="P647" s="429"/>
      <c r="Q647" s="429"/>
      <c r="R647" s="429"/>
    </row>
    <row r="648" spans="1:18" ht="30" customHeight="1" x14ac:dyDescent="0.2">
      <c r="A648" s="2031"/>
      <c r="B648" s="2029" t="s">
        <v>2775</v>
      </c>
      <c r="C648" s="2149"/>
      <c r="D648" s="2080"/>
      <c r="E648" s="2082"/>
      <c r="F648" s="2080"/>
      <c r="G648" s="1104">
        <v>30000000</v>
      </c>
      <c r="H648" s="1104" t="s">
        <v>2674</v>
      </c>
      <c r="I648" s="434">
        <v>105021244515603</v>
      </c>
      <c r="J648" s="1104" t="s">
        <v>2690</v>
      </c>
      <c r="K648" s="2040">
        <f>G648+G649+G650</f>
        <v>77500000</v>
      </c>
      <c r="L648" s="2080">
        <f>F648-K648</f>
        <v>-77500000</v>
      </c>
      <c r="M648" s="2210"/>
      <c r="N648" s="429"/>
      <c r="O648" s="429"/>
      <c r="P648" s="429"/>
      <c r="Q648" s="429"/>
      <c r="R648" s="429"/>
    </row>
    <row r="649" spans="1:18" ht="30" customHeight="1" x14ac:dyDescent="0.2">
      <c r="A649" s="2034"/>
      <c r="B649" s="2033"/>
      <c r="C649" s="2158"/>
      <c r="D649" s="2126"/>
      <c r="E649" s="2127"/>
      <c r="F649" s="2126"/>
      <c r="G649" s="1156">
        <v>30000000</v>
      </c>
      <c r="H649" s="1156" t="s">
        <v>2776</v>
      </c>
      <c r="I649" s="1164" t="s">
        <v>2777</v>
      </c>
      <c r="J649" s="1162" t="s">
        <v>2690</v>
      </c>
      <c r="K649" s="2041"/>
      <c r="L649" s="2126"/>
      <c r="M649" s="2273"/>
      <c r="N649" s="429"/>
      <c r="O649" s="429"/>
      <c r="P649" s="429"/>
      <c r="Q649" s="429"/>
      <c r="R649" s="429"/>
    </row>
    <row r="650" spans="1:18" ht="30" customHeight="1" x14ac:dyDescent="0.2">
      <c r="A650" s="2032"/>
      <c r="B650" s="2030"/>
      <c r="C650" s="2150"/>
      <c r="D650" s="2081"/>
      <c r="E650" s="2083"/>
      <c r="F650" s="2081"/>
      <c r="G650" s="1218">
        <v>17500000</v>
      </c>
      <c r="H650" s="1218" t="s">
        <v>2831</v>
      </c>
      <c r="I650" s="1229" t="s">
        <v>2887</v>
      </c>
      <c r="J650" s="1226" t="s">
        <v>2690</v>
      </c>
      <c r="K650" s="2042"/>
      <c r="L650" s="2081"/>
      <c r="M650" s="2211"/>
      <c r="N650" s="429"/>
      <c r="O650" s="429"/>
      <c r="P650" s="429"/>
      <c r="Q650" s="429"/>
      <c r="R650" s="429"/>
    </row>
    <row r="651" spans="1:18" ht="30" customHeight="1" x14ac:dyDescent="0.2">
      <c r="A651" s="1027"/>
      <c r="B651" s="1025" t="s">
        <v>2693</v>
      </c>
      <c r="C651" s="1046"/>
      <c r="D651" s="1032">
        <v>10000000</v>
      </c>
      <c r="E651" s="1060"/>
      <c r="F651" s="1218"/>
      <c r="G651" s="1032"/>
      <c r="H651" s="1032"/>
      <c r="I651" s="434"/>
      <c r="J651" s="518"/>
      <c r="K651" s="1032"/>
      <c r="L651" s="1056"/>
      <c r="M651" s="428" t="s">
        <v>2694</v>
      </c>
      <c r="N651" s="429"/>
      <c r="O651" s="429"/>
      <c r="P651" s="429"/>
      <c r="Q651" s="429"/>
      <c r="R651" s="429"/>
    </row>
    <row r="652" spans="1:18" ht="30" customHeight="1" x14ac:dyDescent="0.2">
      <c r="A652" s="2031"/>
      <c r="B652" s="2029" t="s">
        <v>2856</v>
      </c>
      <c r="C652" s="2149"/>
      <c r="D652" s="1218">
        <v>23000000</v>
      </c>
      <c r="E652" s="1231">
        <v>5.5E-2</v>
      </c>
      <c r="F652" s="1218">
        <f>D652*E652</f>
        <v>1265000</v>
      </c>
      <c r="G652" s="1347">
        <v>1265000</v>
      </c>
      <c r="H652" s="1347" t="s">
        <v>2847</v>
      </c>
      <c r="I652" s="1365">
        <v>432255</v>
      </c>
      <c r="J652" s="518" t="s">
        <v>2857</v>
      </c>
      <c r="K652" s="1347">
        <f>G652</f>
        <v>1265000</v>
      </c>
      <c r="L652" s="1230">
        <f>F652-K652</f>
        <v>0</v>
      </c>
      <c r="M652" s="428"/>
      <c r="N652" s="429"/>
      <c r="O652" s="429"/>
      <c r="P652" s="429"/>
      <c r="Q652" s="429"/>
      <c r="R652" s="429"/>
    </row>
    <row r="653" spans="1:18" ht="30" customHeight="1" x14ac:dyDescent="0.2">
      <c r="A653" s="2034"/>
      <c r="B653" s="2033"/>
      <c r="C653" s="2158"/>
      <c r="D653" s="1278">
        <v>2000000</v>
      </c>
      <c r="E653" s="1284"/>
      <c r="F653" s="1278"/>
      <c r="G653" s="2182" t="s">
        <v>3055</v>
      </c>
      <c r="H653" s="2183"/>
      <c r="I653" s="2183"/>
      <c r="J653" s="2183"/>
      <c r="K653" s="2184"/>
      <c r="L653" s="1283"/>
      <c r="M653" s="428"/>
      <c r="N653" s="429"/>
      <c r="O653" s="429"/>
      <c r="P653" s="429"/>
      <c r="Q653" s="429"/>
      <c r="R653" s="429"/>
    </row>
    <row r="654" spans="1:18" ht="30" customHeight="1" x14ac:dyDescent="0.2">
      <c r="A654" s="2034"/>
      <c r="B654" s="2033"/>
      <c r="C654" s="2158"/>
      <c r="D654" s="1263">
        <v>5000000</v>
      </c>
      <c r="E654" s="1272"/>
      <c r="F654" s="1263"/>
      <c r="G654" s="2182" t="s">
        <v>3023</v>
      </c>
      <c r="H654" s="2183"/>
      <c r="I654" s="2183"/>
      <c r="J654" s="2183"/>
      <c r="K654" s="2184"/>
      <c r="L654" s="1271"/>
      <c r="M654" s="428"/>
      <c r="N654" s="429"/>
      <c r="O654" s="429"/>
      <c r="P654" s="429"/>
      <c r="Q654" s="429"/>
      <c r="R654" s="429"/>
    </row>
    <row r="655" spans="1:18" ht="30" customHeight="1" x14ac:dyDescent="0.2">
      <c r="A655" s="2034"/>
      <c r="B655" s="2033"/>
      <c r="C655" s="2158"/>
      <c r="D655" s="1263">
        <v>5000000</v>
      </c>
      <c r="E655" s="1272"/>
      <c r="F655" s="1263"/>
      <c r="G655" s="2182" t="s">
        <v>3024</v>
      </c>
      <c r="H655" s="2183"/>
      <c r="I655" s="2183"/>
      <c r="J655" s="2183"/>
      <c r="K655" s="2184"/>
      <c r="L655" s="1271"/>
      <c r="M655" s="428"/>
      <c r="N655" s="429"/>
      <c r="O655" s="429"/>
      <c r="P655" s="429"/>
      <c r="Q655" s="429"/>
      <c r="R655" s="429"/>
    </row>
    <row r="656" spans="1:18" ht="30" customHeight="1" x14ac:dyDescent="0.2">
      <c r="A656" s="2034"/>
      <c r="B656" s="2033"/>
      <c r="C656" s="2158"/>
      <c r="D656" s="1263">
        <v>5000000</v>
      </c>
      <c r="E656" s="1272"/>
      <c r="F656" s="1263"/>
      <c r="G656" s="2182" t="s">
        <v>2896</v>
      </c>
      <c r="H656" s="2183"/>
      <c r="I656" s="2183"/>
      <c r="J656" s="2183"/>
      <c r="K656" s="2184"/>
      <c r="L656" s="1271"/>
      <c r="M656" s="428"/>
      <c r="N656" s="429"/>
      <c r="O656" s="429"/>
      <c r="P656" s="429"/>
      <c r="Q656" s="429"/>
      <c r="R656" s="429"/>
    </row>
    <row r="657" spans="1:18" ht="30" customHeight="1" x14ac:dyDescent="0.2">
      <c r="A657" s="2034"/>
      <c r="B657" s="2033"/>
      <c r="C657" s="2158"/>
      <c r="D657" s="1263">
        <v>95000000</v>
      </c>
      <c r="E657" s="1272"/>
      <c r="F657" s="1263"/>
      <c r="G657" s="2182" t="s">
        <v>2896</v>
      </c>
      <c r="H657" s="2183"/>
      <c r="I657" s="2183"/>
      <c r="J657" s="2183"/>
      <c r="K657" s="2184"/>
      <c r="L657" s="1271"/>
      <c r="M657" s="428"/>
      <c r="N657" s="429"/>
      <c r="O657" s="429"/>
      <c r="P657" s="429"/>
      <c r="Q657" s="429"/>
      <c r="R657" s="429"/>
    </row>
    <row r="658" spans="1:18" ht="30" customHeight="1" x14ac:dyDescent="0.2">
      <c r="A658" s="2034"/>
      <c r="B658" s="2033"/>
      <c r="C658" s="2158"/>
      <c r="D658" s="1218">
        <v>5000000</v>
      </c>
      <c r="E658" s="1231"/>
      <c r="F658" s="1218"/>
      <c r="G658" s="2182" t="s">
        <v>3025</v>
      </c>
      <c r="H658" s="2183"/>
      <c r="I658" s="2183"/>
      <c r="J658" s="2183"/>
      <c r="K658" s="2184"/>
      <c r="L658" s="1230"/>
      <c r="M658" s="428"/>
      <c r="N658" s="429"/>
      <c r="O658" s="429"/>
      <c r="P658" s="429"/>
      <c r="Q658" s="429"/>
      <c r="R658" s="429"/>
    </row>
    <row r="659" spans="1:18" ht="30" customHeight="1" x14ac:dyDescent="0.2">
      <c r="A659" s="2034"/>
      <c r="B659" s="2033"/>
      <c r="C659" s="2158"/>
      <c r="D659" s="1383">
        <v>13800000</v>
      </c>
      <c r="E659" s="1396"/>
      <c r="F659" s="1383"/>
      <c r="G659" s="2182" t="s">
        <v>3286</v>
      </c>
      <c r="H659" s="2183"/>
      <c r="I659" s="2183"/>
      <c r="J659" s="2183"/>
      <c r="K659" s="2184"/>
      <c r="L659" s="1395"/>
      <c r="M659" s="428"/>
      <c r="N659" s="429"/>
      <c r="O659" s="429"/>
      <c r="P659" s="429"/>
      <c r="Q659" s="429"/>
      <c r="R659" s="429"/>
    </row>
    <row r="660" spans="1:18" ht="30" customHeight="1" x14ac:dyDescent="0.2">
      <c r="A660" s="2034"/>
      <c r="B660" s="2033"/>
      <c r="C660" s="2158"/>
      <c r="D660" s="1383">
        <v>5200000</v>
      </c>
      <c r="E660" s="1396"/>
      <c r="F660" s="1383"/>
      <c r="G660" s="2182" t="s">
        <v>3287</v>
      </c>
      <c r="H660" s="2183"/>
      <c r="I660" s="2183"/>
      <c r="J660" s="2183"/>
      <c r="K660" s="2184"/>
      <c r="L660" s="1395"/>
      <c r="M660" s="428"/>
      <c r="N660" s="429"/>
      <c r="O660" s="429"/>
      <c r="P660" s="429"/>
      <c r="Q660" s="429"/>
      <c r="R660" s="429"/>
    </row>
    <row r="661" spans="1:18" ht="30" customHeight="1" x14ac:dyDescent="0.2">
      <c r="A661" s="2034"/>
      <c r="B661" s="2033"/>
      <c r="C661" s="2158"/>
      <c r="D661" s="1437">
        <v>20000000</v>
      </c>
      <c r="E661" s="1447"/>
      <c r="F661" s="1437"/>
      <c r="G661" s="2182" t="s">
        <v>3425</v>
      </c>
      <c r="H661" s="2183"/>
      <c r="I661" s="2183"/>
      <c r="J661" s="2183"/>
      <c r="K661" s="2184"/>
      <c r="L661" s="1445"/>
      <c r="M661" s="428"/>
      <c r="N661" s="429"/>
      <c r="O661" s="429"/>
      <c r="P661" s="429"/>
      <c r="Q661" s="429"/>
      <c r="R661" s="429"/>
    </row>
    <row r="662" spans="1:18" ht="30" customHeight="1" x14ac:dyDescent="0.2">
      <c r="A662" s="2034"/>
      <c r="B662" s="2033"/>
      <c r="C662" s="2158"/>
      <c r="D662" s="1437">
        <v>5000000</v>
      </c>
      <c r="E662" s="1447"/>
      <c r="F662" s="1437"/>
      <c r="G662" s="2182" t="s">
        <v>3425</v>
      </c>
      <c r="H662" s="2183"/>
      <c r="I662" s="2183"/>
      <c r="J662" s="2183"/>
      <c r="K662" s="2184"/>
      <c r="L662" s="1445"/>
      <c r="M662" s="428"/>
      <c r="N662" s="429"/>
      <c r="O662" s="429"/>
      <c r="P662" s="429"/>
      <c r="Q662" s="429"/>
      <c r="R662" s="429"/>
    </row>
    <row r="663" spans="1:18" ht="30" customHeight="1" x14ac:dyDescent="0.2">
      <c r="A663" s="2034"/>
      <c r="B663" s="2033"/>
      <c r="C663" s="2158"/>
      <c r="D663" s="1478">
        <v>2000000</v>
      </c>
      <c r="E663" s="1504"/>
      <c r="F663" s="1478"/>
      <c r="G663" s="2182" t="s">
        <v>3454</v>
      </c>
      <c r="H663" s="2183"/>
      <c r="I663" s="2183"/>
      <c r="J663" s="2183"/>
      <c r="K663" s="2184"/>
      <c r="L663" s="1500"/>
      <c r="M663" s="428"/>
      <c r="N663" s="429"/>
      <c r="O663" s="429"/>
      <c r="P663" s="429"/>
      <c r="Q663" s="429"/>
      <c r="R663" s="429"/>
    </row>
    <row r="664" spans="1:18" ht="30" customHeight="1" x14ac:dyDescent="0.2">
      <c r="A664" s="2034"/>
      <c r="B664" s="2033"/>
      <c r="C664" s="2158"/>
      <c r="D664" s="958">
        <f>SUM(D652:D663)</f>
        <v>186000000</v>
      </c>
      <c r="E664" s="1447"/>
      <c r="F664" s="1437"/>
      <c r="G664" s="1449"/>
      <c r="H664" s="1450"/>
      <c r="I664" s="1450"/>
      <c r="J664" s="1450"/>
      <c r="K664" s="1451"/>
      <c r="L664" s="1445"/>
      <c r="M664" s="428"/>
      <c r="N664" s="429"/>
      <c r="O664" s="429"/>
      <c r="P664" s="429"/>
      <c r="Q664" s="429"/>
      <c r="R664" s="429"/>
    </row>
    <row r="665" spans="1:18" ht="30" customHeight="1" x14ac:dyDescent="0.2">
      <c r="A665" s="2034"/>
      <c r="B665" s="2033"/>
      <c r="C665" s="2158"/>
      <c r="D665" s="1263"/>
      <c r="E665" s="1272"/>
      <c r="F665" s="1263"/>
      <c r="G665" s="1347">
        <v>500000</v>
      </c>
      <c r="H665" s="1347" t="s">
        <v>3148</v>
      </c>
      <c r="I665" s="1365">
        <v>435951</v>
      </c>
      <c r="J665" s="518" t="s">
        <v>2857</v>
      </c>
      <c r="K665" s="1347">
        <f>G665</f>
        <v>500000</v>
      </c>
      <c r="L665" s="1271"/>
      <c r="M665" s="428"/>
      <c r="N665" s="429"/>
      <c r="O665" s="429"/>
      <c r="P665" s="429"/>
      <c r="Q665" s="429"/>
      <c r="R665" s="429"/>
    </row>
    <row r="666" spans="1:18" ht="30" customHeight="1" x14ac:dyDescent="0.2">
      <c r="A666" s="2032"/>
      <c r="B666" s="2030"/>
      <c r="C666" s="2150"/>
      <c r="D666" s="1947" t="s">
        <v>3248</v>
      </c>
      <c r="E666" s="1948"/>
      <c r="F666" s="1949"/>
      <c r="G666" s="1347">
        <v>50000000</v>
      </c>
      <c r="H666" s="1347" t="s">
        <v>3245</v>
      </c>
      <c r="I666" s="1365" t="s">
        <v>3246</v>
      </c>
      <c r="J666" s="518" t="s">
        <v>3247</v>
      </c>
      <c r="K666" s="1347">
        <f>G666</f>
        <v>50000000</v>
      </c>
      <c r="L666" s="1271"/>
      <c r="M666" s="428"/>
      <c r="N666" s="429"/>
      <c r="O666" s="429"/>
      <c r="P666" s="429"/>
      <c r="Q666" s="429"/>
      <c r="R666" s="429"/>
    </row>
    <row r="667" spans="1:18" ht="30" customHeight="1" x14ac:dyDescent="0.2">
      <c r="A667" s="1107"/>
      <c r="B667" s="1108" t="s">
        <v>2715</v>
      </c>
      <c r="C667" s="1109"/>
      <c r="D667" s="1099">
        <v>60000000</v>
      </c>
      <c r="E667" s="1106">
        <v>5.5E-2</v>
      </c>
      <c r="F667" s="1099">
        <f>D667*E667</f>
        <v>3300000</v>
      </c>
      <c r="G667" s="1099">
        <v>3300000</v>
      </c>
      <c r="H667" s="1099" t="s">
        <v>2695</v>
      </c>
      <c r="I667" s="434">
        <v>122948037193</v>
      </c>
      <c r="J667" s="518" t="s">
        <v>2716</v>
      </c>
      <c r="K667" s="1099">
        <f t="shared" ref="K667:K677" si="54">G667</f>
        <v>3300000</v>
      </c>
      <c r="L667" s="1105">
        <f t="shared" ref="L667:L677" si="55">F667-K667</f>
        <v>0</v>
      </c>
      <c r="M667" s="428" t="s">
        <v>2717</v>
      </c>
      <c r="N667" s="429"/>
      <c r="O667" s="429"/>
      <c r="P667" s="429"/>
      <c r="Q667" s="429"/>
      <c r="R667" s="429"/>
    </row>
    <row r="668" spans="1:18" ht="30" customHeight="1" x14ac:dyDescent="0.2">
      <c r="A668" s="1113"/>
      <c r="B668" s="1112" t="s">
        <v>2751</v>
      </c>
      <c r="C668" s="1119"/>
      <c r="D668" s="1132"/>
      <c r="E668" s="44"/>
      <c r="F668" s="1132"/>
      <c r="G668" s="1115">
        <v>1500000</v>
      </c>
      <c r="H668" s="1115" t="s">
        <v>2719</v>
      </c>
      <c r="I668" s="434">
        <v>123014183006</v>
      </c>
      <c r="J668" s="518" t="s">
        <v>2752</v>
      </c>
      <c r="K668" s="1115">
        <f t="shared" si="54"/>
        <v>1500000</v>
      </c>
      <c r="L668" s="1139">
        <f t="shared" si="55"/>
        <v>-1500000</v>
      </c>
      <c r="M668" s="428"/>
      <c r="N668" s="429"/>
      <c r="O668" s="429"/>
      <c r="P668" s="429"/>
      <c r="Q668" s="429"/>
      <c r="R668" s="429"/>
    </row>
    <row r="669" spans="1:18" ht="30" customHeight="1" x14ac:dyDescent="0.2">
      <c r="A669" s="2031"/>
      <c r="B669" s="2029" t="s">
        <v>2753</v>
      </c>
      <c r="C669" s="2149"/>
      <c r="D669" s="1924">
        <v>4215000000</v>
      </c>
      <c r="E669" s="1925">
        <v>0.05</v>
      </c>
      <c r="F669" s="1924">
        <f>D669*E669</f>
        <v>210750000</v>
      </c>
      <c r="G669" s="1129">
        <v>30250000</v>
      </c>
      <c r="H669" s="1129" t="s">
        <v>2341</v>
      </c>
      <c r="I669" s="434">
        <v>897121217</v>
      </c>
      <c r="J669" s="518" t="s">
        <v>2754</v>
      </c>
      <c r="K669" s="1924">
        <f>G669</f>
        <v>30250000</v>
      </c>
      <c r="L669" s="430"/>
      <c r="M669" s="2521" t="s">
        <v>3992</v>
      </c>
      <c r="N669" s="429"/>
      <c r="O669" s="429"/>
      <c r="P669" s="429"/>
      <c r="Q669" s="429"/>
      <c r="R669" s="429"/>
    </row>
    <row r="670" spans="1:18" ht="30" customHeight="1" x14ac:dyDescent="0.2">
      <c r="A670" s="2034"/>
      <c r="B670" s="2033"/>
      <c r="C670" s="2158"/>
      <c r="D670" s="1924">
        <v>2000000000</v>
      </c>
      <c r="E670" s="1925">
        <v>7.0000000000000007E-2</v>
      </c>
      <c r="F670" s="1924">
        <f t="shared" ref="F670:F672" si="56">D670*E670</f>
        <v>140000000</v>
      </c>
      <c r="G670" s="1183">
        <v>100000000</v>
      </c>
      <c r="H670" s="1183" t="s">
        <v>2650</v>
      </c>
      <c r="I670" s="434">
        <v>78507</v>
      </c>
      <c r="J670" s="518" t="s">
        <v>2828</v>
      </c>
      <c r="K670" s="247">
        <f>G670</f>
        <v>100000000</v>
      </c>
      <c r="L670" s="430"/>
      <c r="M670" s="2521"/>
      <c r="N670" s="429"/>
      <c r="O670" s="429"/>
      <c r="P670" s="429"/>
      <c r="Q670" s="429"/>
      <c r="R670" s="429"/>
    </row>
    <row r="671" spans="1:18" ht="30" customHeight="1" x14ac:dyDescent="0.2">
      <c r="A671" s="2034"/>
      <c r="B671" s="2033"/>
      <c r="C671" s="2158"/>
      <c r="D671" s="1924">
        <v>3785000000</v>
      </c>
      <c r="E671" s="1925">
        <v>0.06</v>
      </c>
      <c r="F671" s="1924">
        <f t="shared" si="56"/>
        <v>227100000</v>
      </c>
      <c r="G671" s="1416">
        <v>200000000</v>
      </c>
      <c r="H671" s="1416" t="s">
        <v>3358</v>
      </c>
      <c r="I671" s="2519" t="s">
        <v>3364</v>
      </c>
      <c r="J671" s="2520"/>
      <c r="K671" s="2040">
        <f>G671+G672-47350000</f>
        <v>162650000</v>
      </c>
      <c r="L671" s="2273">
        <f>F673-K671</f>
        <v>550000000</v>
      </c>
      <c r="M671" s="1578" t="s">
        <v>3993</v>
      </c>
      <c r="N671" s="429"/>
      <c r="O671" s="429"/>
      <c r="P671" s="429"/>
      <c r="Q671" s="429"/>
      <c r="R671" s="429"/>
    </row>
    <row r="672" spans="1:18" ht="30" customHeight="1" x14ac:dyDescent="0.2">
      <c r="A672" s="2034"/>
      <c r="B672" s="2033"/>
      <c r="C672" s="2158"/>
      <c r="D672" s="1924">
        <v>1685000000</v>
      </c>
      <c r="E672" s="1925">
        <v>0.08</v>
      </c>
      <c r="F672" s="1924">
        <f t="shared" si="56"/>
        <v>134800000</v>
      </c>
      <c r="G672" s="1540">
        <v>10000000</v>
      </c>
      <c r="H672" s="1540" t="s">
        <v>3442</v>
      </c>
      <c r="I672" s="1604">
        <v>464419</v>
      </c>
      <c r="J672" s="2518" t="s">
        <v>3512</v>
      </c>
      <c r="K672" s="2042"/>
      <c r="L672" s="2211"/>
      <c r="M672" s="1578" t="s">
        <v>3991</v>
      </c>
      <c r="N672" s="429"/>
      <c r="O672" s="429"/>
      <c r="P672" s="429"/>
      <c r="Q672" s="429"/>
      <c r="R672" s="429"/>
    </row>
    <row r="673" spans="1:18" ht="30" customHeight="1" x14ac:dyDescent="0.2">
      <c r="A673" s="2032"/>
      <c r="B673" s="2030"/>
      <c r="C673" s="2150"/>
      <c r="D673" s="2482">
        <f>SUM(D669:D672)</f>
        <v>11685000000</v>
      </c>
      <c r="E673" s="2517"/>
      <c r="F673" s="2482">
        <f>SUM(F669:F672)</f>
        <v>712650000</v>
      </c>
      <c r="G673" s="2154" t="s">
        <v>3990</v>
      </c>
      <c r="H673" s="2155"/>
      <c r="I673" s="2155"/>
      <c r="J673" s="2155"/>
      <c r="K673" s="2156"/>
      <c r="L673" s="1587"/>
      <c r="M673" s="1582"/>
      <c r="N673" s="429"/>
      <c r="O673" s="429"/>
      <c r="P673" s="429"/>
      <c r="Q673" s="429"/>
      <c r="R673" s="429"/>
    </row>
    <row r="674" spans="1:18" ht="30" customHeight="1" x14ac:dyDescent="0.2">
      <c r="A674" s="1142"/>
      <c r="B674" s="1155" t="s">
        <v>2764</v>
      </c>
      <c r="C674" s="1133"/>
      <c r="D674" s="1132"/>
      <c r="E674" s="44"/>
      <c r="F674" s="1132"/>
      <c r="G674" s="1129">
        <v>4500000</v>
      </c>
      <c r="H674" s="1129" t="s">
        <v>2341</v>
      </c>
      <c r="I674" s="434">
        <v>123023258550</v>
      </c>
      <c r="J674" s="518" t="s">
        <v>1831</v>
      </c>
      <c r="K674" s="1129">
        <f t="shared" si="54"/>
        <v>4500000</v>
      </c>
      <c r="L674" s="1139">
        <f t="shared" si="55"/>
        <v>-4500000</v>
      </c>
      <c r="M674" s="428"/>
      <c r="N674" s="429"/>
      <c r="O674" s="429"/>
      <c r="P674" s="429"/>
      <c r="Q674" s="429"/>
      <c r="R674" s="429"/>
    </row>
    <row r="675" spans="1:18" ht="30" customHeight="1" x14ac:dyDescent="0.2">
      <c r="A675" s="1168"/>
      <c r="B675" s="1169" t="s">
        <v>2781</v>
      </c>
      <c r="C675" s="1160"/>
      <c r="D675" s="1159"/>
      <c r="E675" s="44"/>
      <c r="F675" s="1159"/>
      <c r="G675" s="1156">
        <v>2800000</v>
      </c>
      <c r="H675" s="1156" t="s">
        <v>2776</v>
      </c>
      <c r="I675" s="434">
        <v>620521</v>
      </c>
      <c r="J675" s="518" t="s">
        <v>2782</v>
      </c>
      <c r="K675" s="1156">
        <f t="shared" si="54"/>
        <v>2800000</v>
      </c>
      <c r="L675" s="1166">
        <f t="shared" si="55"/>
        <v>-2800000</v>
      </c>
      <c r="M675" s="428"/>
      <c r="N675" s="429"/>
      <c r="O675" s="429"/>
      <c r="P675" s="429"/>
      <c r="Q675" s="429"/>
      <c r="R675" s="429"/>
    </row>
    <row r="676" spans="1:18" ht="30" customHeight="1" x14ac:dyDescent="0.2">
      <c r="A676" s="1168"/>
      <c r="B676" s="1169" t="s">
        <v>2792</v>
      </c>
      <c r="C676" s="1171"/>
      <c r="D676" s="1161"/>
      <c r="E676" s="44"/>
      <c r="F676" s="1161"/>
      <c r="G676" s="1162">
        <v>2000000</v>
      </c>
      <c r="H676" s="1162" t="s">
        <v>2776</v>
      </c>
      <c r="I676" s="1094">
        <v>897726227</v>
      </c>
      <c r="J676" s="1094" t="s">
        <v>2793</v>
      </c>
      <c r="K676" s="1162">
        <f t="shared" si="54"/>
        <v>2000000</v>
      </c>
      <c r="L676" s="1095">
        <f t="shared" si="55"/>
        <v>-2000000</v>
      </c>
      <c r="M676" s="428"/>
      <c r="N676" s="429"/>
      <c r="O676" s="429"/>
      <c r="P676" s="429"/>
      <c r="Q676" s="429"/>
      <c r="R676" s="429"/>
    </row>
    <row r="677" spans="1:18" ht="30" customHeight="1" x14ac:dyDescent="0.2">
      <c r="A677" s="153"/>
      <c r="B677" s="3" t="s">
        <v>2834</v>
      </c>
      <c r="C677" s="1192"/>
      <c r="D677" s="1190"/>
      <c r="E677" s="44"/>
      <c r="F677" s="1190"/>
      <c r="G677" s="1189">
        <v>14000000</v>
      </c>
      <c r="H677" s="1189" t="s">
        <v>2831</v>
      </c>
      <c r="I677" s="434">
        <v>464433</v>
      </c>
      <c r="J677" s="518" t="s">
        <v>2835</v>
      </c>
      <c r="K677" s="1189">
        <f t="shared" si="54"/>
        <v>14000000</v>
      </c>
      <c r="L677" s="1191">
        <f t="shared" si="55"/>
        <v>-14000000</v>
      </c>
      <c r="M677" s="428"/>
      <c r="N677" s="429"/>
      <c r="O677" s="429"/>
      <c r="P677" s="429"/>
      <c r="Q677" s="429"/>
      <c r="R677" s="429"/>
    </row>
    <row r="678" spans="1:18" ht="30" customHeight="1" x14ac:dyDescent="0.2">
      <c r="A678" s="1232"/>
      <c r="B678" s="1233" t="s">
        <v>2844</v>
      </c>
      <c r="C678" s="1197"/>
      <c r="D678" s="1199">
        <v>30000000</v>
      </c>
      <c r="E678" s="1205">
        <v>0.05</v>
      </c>
      <c r="F678" s="1199">
        <f t="shared" ref="F678:F683" si="57">D678*E678</f>
        <v>1500000</v>
      </c>
      <c r="G678" s="2192" t="s">
        <v>2843</v>
      </c>
      <c r="H678" s="2193"/>
      <c r="I678" s="2193"/>
      <c r="J678" s="2193"/>
      <c r="K678" s="2194"/>
      <c r="L678" s="1203"/>
      <c r="M678" s="428"/>
      <c r="N678" s="429"/>
      <c r="O678" s="429"/>
      <c r="P678" s="429"/>
      <c r="Q678" s="429"/>
      <c r="R678" s="429"/>
    </row>
    <row r="679" spans="1:18" ht="30" customHeight="1" x14ac:dyDescent="0.2">
      <c r="A679" s="1232"/>
      <c r="B679" s="1233" t="s">
        <v>2869</v>
      </c>
      <c r="C679" s="1224" t="s">
        <v>401</v>
      </c>
      <c r="D679" s="1218">
        <v>140000000</v>
      </c>
      <c r="E679" s="1231">
        <v>7.0000000000000007E-2</v>
      </c>
      <c r="F679" s="1218">
        <f t="shared" si="57"/>
        <v>9800000.0000000019</v>
      </c>
      <c r="G679" s="2192" t="s">
        <v>2870</v>
      </c>
      <c r="H679" s="2193"/>
      <c r="I679" s="2193"/>
      <c r="J679" s="2193"/>
      <c r="K679" s="2194"/>
      <c r="L679" s="1230"/>
      <c r="M679" s="428" t="s">
        <v>2871</v>
      </c>
      <c r="N679" s="429"/>
      <c r="O679" s="429"/>
      <c r="P679" s="429"/>
      <c r="Q679" s="429"/>
      <c r="R679" s="429"/>
    </row>
    <row r="680" spans="1:18" ht="30" customHeight="1" x14ac:dyDescent="0.2">
      <c r="A680" s="1232"/>
      <c r="B680" s="1233" t="s">
        <v>2877</v>
      </c>
      <c r="C680" s="1224"/>
      <c r="D680" s="1218">
        <v>85000000</v>
      </c>
      <c r="E680" s="1231">
        <v>0.05</v>
      </c>
      <c r="F680" s="1218">
        <f t="shared" si="57"/>
        <v>4250000</v>
      </c>
      <c r="G680" s="1227"/>
      <c r="H680" s="1227"/>
      <c r="I680" s="1094"/>
      <c r="J680" s="1094"/>
      <c r="K680" s="1227"/>
      <c r="L680" s="1230"/>
      <c r="M680" s="428"/>
      <c r="N680" s="429"/>
      <c r="O680" s="429"/>
      <c r="P680" s="429"/>
      <c r="Q680" s="429"/>
      <c r="R680" s="429"/>
    </row>
    <row r="681" spans="1:18" ht="30" customHeight="1" x14ac:dyDescent="0.2">
      <c r="A681" s="1232"/>
      <c r="B681" s="1233" t="s">
        <v>2878</v>
      </c>
      <c r="C681" s="1224" t="s">
        <v>380</v>
      </c>
      <c r="D681" s="1218">
        <v>50000000</v>
      </c>
      <c r="E681" s="1231">
        <v>0.05</v>
      </c>
      <c r="F681" s="1218">
        <f t="shared" si="57"/>
        <v>2500000</v>
      </c>
      <c r="G681" s="2192" t="s">
        <v>2879</v>
      </c>
      <c r="H681" s="2193"/>
      <c r="I681" s="2193"/>
      <c r="J681" s="2193"/>
      <c r="K681" s="2194"/>
      <c r="L681" s="1230"/>
      <c r="M681" s="428"/>
      <c r="N681" s="429"/>
      <c r="O681" s="429"/>
      <c r="P681" s="429"/>
      <c r="Q681" s="429"/>
      <c r="R681" s="429"/>
    </row>
    <row r="682" spans="1:18" ht="30" customHeight="1" x14ac:dyDescent="0.2">
      <c r="A682" s="1232"/>
      <c r="B682" s="1233" t="s">
        <v>2880</v>
      </c>
      <c r="C682" s="1224" t="s">
        <v>380</v>
      </c>
      <c r="D682" s="1218">
        <v>25000000</v>
      </c>
      <c r="E682" s="1231">
        <v>0.05</v>
      </c>
      <c r="F682" s="1218">
        <f t="shared" si="57"/>
        <v>1250000</v>
      </c>
      <c r="G682" s="2192" t="s">
        <v>2879</v>
      </c>
      <c r="H682" s="2193"/>
      <c r="I682" s="2193"/>
      <c r="J682" s="2193"/>
      <c r="K682" s="2194"/>
      <c r="L682" s="1230"/>
      <c r="M682" s="428"/>
      <c r="N682" s="429"/>
      <c r="O682" s="429"/>
      <c r="P682" s="429"/>
      <c r="Q682" s="429"/>
      <c r="R682" s="429"/>
    </row>
    <row r="683" spans="1:18" ht="30" customHeight="1" x14ac:dyDescent="0.2">
      <c r="A683" s="1232"/>
      <c r="B683" s="1233" t="s">
        <v>2909</v>
      </c>
      <c r="C683" s="1224"/>
      <c r="D683" s="1218">
        <v>300000000</v>
      </c>
      <c r="E683" s="1231">
        <v>5.5E-2</v>
      </c>
      <c r="F683" s="1218">
        <f t="shared" si="57"/>
        <v>16500000</v>
      </c>
      <c r="G683" s="2192" t="s">
        <v>2910</v>
      </c>
      <c r="H683" s="2193"/>
      <c r="I683" s="2193"/>
      <c r="J683" s="2193"/>
      <c r="K683" s="2194"/>
      <c r="L683" s="1230"/>
      <c r="M683" s="428"/>
      <c r="N683" s="429"/>
      <c r="O683" s="429"/>
      <c r="P683" s="429"/>
      <c r="Q683" s="429"/>
      <c r="R683" s="429"/>
    </row>
    <row r="684" spans="1:18" ht="30" customHeight="1" x14ac:dyDescent="0.2">
      <c r="A684" s="1232"/>
      <c r="B684" s="1233" t="s">
        <v>2941</v>
      </c>
      <c r="C684" s="1224"/>
      <c r="D684" s="1218">
        <v>85000000</v>
      </c>
      <c r="E684" s="1231"/>
      <c r="F684" s="1218"/>
      <c r="G684" s="2192" t="s">
        <v>2942</v>
      </c>
      <c r="H684" s="2193"/>
      <c r="I684" s="2193"/>
      <c r="J684" s="2193"/>
      <c r="K684" s="2194"/>
      <c r="L684" s="1230"/>
      <c r="M684" s="428"/>
      <c r="N684" s="429"/>
      <c r="O684" s="429"/>
      <c r="P684" s="429"/>
      <c r="Q684" s="429"/>
      <c r="R684" s="429"/>
    </row>
    <row r="685" spans="1:18" ht="30" customHeight="1" x14ac:dyDescent="0.2">
      <c r="A685" s="1232"/>
      <c r="B685" s="1233" t="s">
        <v>2944</v>
      </c>
      <c r="C685" s="1224" t="s">
        <v>367</v>
      </c>
      <c r="D685" s="1218">
        <v>20000000</v>
      </c>
      <c r="E685" s="1231">
        <v>0.05</v>
      </c>
      <c r="F685" s="1218">
        <f>D685*E685</f>
        <v>1000000</v>
      </c>
      <c r="G685" s="2192" t="s">
        <v>2943</v>
      </c>
      <c r="H685" s="2193"/>
      <c r="I685" s="2193"/>
      <c r="J685" s="2193"/>
      <c r="K685" s="2194"/>
      <c r="L685" s="1230"/>
      <c r="M685" s="428"/>
      <c r="N685" s="429"/>
      <c r="O685" s="429"/>
      <c r="P685" s="429"/>
      <c r="Q685" s="429"/>
      <c r="R685" s="429"/>
    </row>
    <row r="686" spans="1:18" ht="30" customHeight="1" x14ac:dyDescent="0.2">
      <c r="A686" s="2031"/>
      <c r="B686" s="2029" t="s">
        <v>3048</v>
      </c>
      <c r="C686" s="2149" t="s">
        <v>1112</v>
      </c>
      <c r="D686" s="2040">
        <v>40000000</v>
      </c>
      <c r="E686" s="2037">
        <v>0.04</v>
      </c>
      <c r="F686" s="2040">
        <f>D686*E686</f>
        <v>1600000</v>
      </c>
      <c r="G686" s="2192" t="s">
        <v>2966</v>
      </c>
      <c r="H686" s="2193"/>
      <c r="I686" s="2193"/>
      <c r="J686" s="2193"/>
      <c r="K686" s="2194"/>
      <c r="L686" s="1254"/>
      <c r="M686" s="428"/>
      <c r="N686" s="429"/>
      <c r="O686" s="429"/>
      <c r="P686" s="429"/>
      <c r="Q686" s="429"/>
      <c r="R686" s="429"/>
    </row>
    <row r="687" spans="1:18" ht="30" customHeight="1" x14ac:dyDescent="0.2">
      <c r="A687" s="2032"/>
      <c r="B687" s="2030"/>
      <c r="C687" s="2150"/>
      <c r="D687" s="2042"/>
      <c r="E687" s="2039"/>
      <c r="F687" s="2042"/>
      <c r="G687" s="1491">
        <v>800000</v>
      </c>
      <c r="H687" s="1491" t="s">
        <v>3449</v>
      </c>
      <c r="I687" s="286">
        <v>123894363298</v>
      </c>
      <c r="J687" s="1491" t="s">
        <v>3486</v>
      </c>
      <c r="K687" s="1491">
        <f>G687</f>
        <v>800000</v>
      </c>
      <c r="L687" s="1500"/>
      <c r="M687" s="428" t="s">
        <v>3135</v>
      </c>
      <c r="N687" s="429"/>
      <c r="O687" s="429"/>
      <c r="P687" s="429"/>
      <c r="Q687" s="429"/>
      <c r="R687" s="429"/>
    </row>
    <row r="688" spans="1:18" ht="30" customHeight="1" x14ac:dyDescent="0.2">
      <c r="A688" s="1256"/>
      <c r="B688" s="1257" t="s">
        <v>2976</v>
      </c>
      <c r="C688" s="1250"/>
      <c r="D688" s="1246">
        <v>20000000</v>
      </c>
      <c r="E688" s="1255">
        <v>0.05</v>
      </c>
      <c r="F688" s="1246">
        <f>D688*E688</f>
        <v>1000000</v>
      </c>
      <c r="G688" s="1259"/>
      <c r="H688" s="1260"/>
      <c r="I688" s="1260"/>
      <c r="J688" s="1260"/>
      <c r="K688" s="1261"/>
      <c r="L688" s="1254"/>
      <c r="M688" s="428" t="s">
        <v>2977</v>
      </c>
      <c r="N688" s="429"/>
      <c r="O688" s="429"/>
      <c r="P688" s="429"/>
      <c r="Q688" s="429"/>
      <c r="R688" s="429"/>
    </row>
    <row r="689" spans="1:18" ht="30" customHeight="1" x14ac:dyDescent="0.2">
      <c r="A689" s="2031"/>
      <c r="B689" s="2369" t="s">
        <v>3009</v>
      </c>
      <c r="C689" s="2371" t="s">
        <v>3042</v>
      </c>
      <c r="D689" s="1286">
        <v>70000000</v>
      </c>
      <c r="E689" s="1287">
        <v>0.05</v>
      </c>
      <c r="F689" s="1286">
        <f>D689*E689</f>
        <v>3500000</v>
      </c>
      <c r="G689" s="1252">
        <v>20000000</v>
      </c>
      <c r="H689" s="1252" t="s">
        <v>2040</v>
      </c>
      <c r="I689" s="286" t="s">
        <v>3011</v>
      </c>
      <c r="J689" s="1252" t="s">
        <v>3010</v>
      </c>
      <c r="K689" s="1252">
        <f>G689</f>
        <v>20000000</v>
      </c>
      <c r="L689" s="1254"/>
      <c r="M689" s="1402" t="s">
        <v>3046</v>
      </c>
      <c r="N689" s="429"/>
      <c r="O689" s="429"/>
      <c r="P689" s="429"/>
      <c r="Q689" s="429"/>
      <c r="R689" s="429"/>
    </row>
    <row r="690" spans="1:18" ht="30" customHeight="1" x14ac:dyDescent="0.2">
      <c r="A690" s="2034"/>
      <c r="B690" s="2373"/>
      <c r="C690" s="2374"/>
      <c r="D690" s="2378" t="s">
        <v>3045</v>
      </c>
      <c r="E690" s="2379"/>
      <c r="F690" s="2380"/>
      <c r="G690" s="1263"/>
      <c r="H690" s="1263"/>
      <c r="I690" s="286"/>
      <c r="J690" s="1265"/>
      <c r="K690" s="1263"/>
      <c r="L690" s="1271"/>
      <c r="M690" s="1403"/>
      <c r="N690" s="429"/>
      <c r="O690" s="429"/>
      <c r="P690" s="429"/>
      <c r="Q690" s="429"/>
      <c r="R690" s="429"/>
    </row>
    <row r="691" spans="1:18" ht="30" customHeight="1" x14ac:dyDescent="0.2">
      <c r="A691" s="2032"/>
      <c r="B691" s="2370"/>
      <c r="C691" s="2372"/>
      <c r="D691" s="2375" t="s">
        <v>3044</v>
      </c>
      <c r="E691" s="2376"/>
      <c r="F691" s="2377"/>
      <c r="G691" s="1263"/>
      <c r="H691" s="1263"/>
      <c r="I691" s="286"/>
      <c r="J691" s="1265"/>
      <c r="K691" s="1263"/>
      <c r="L691" s="1271"/>
      <c r="M691" s="1403"/>
      <c r="N691" s="429"/>
      <c r="O691" s="429"/>
      <c r="P691" s="429"/>
      <c r="Q691" s="429"/>
      <c r="R691" s="429"/>
    </row>
    <row r="692" spans="1:18" ht="30" customHeight="1" x14ac:dyDescent="0.2">
      <c r="A692" s="2031"/>
      <c r="B692" s="2369" t="s">
        <v>3043</v>
      </c>
      <c r="C692" s="2371" t="s">
        <v>411</v>
      </c>
      <c r="D692" s="1286">
        <v>190000000</v>
      </c>
      <c r="E692" s="1287">
        <v>4.4999999999999998E-2</v>
      </c>
      <c r="F692" s="1286">
        <v>8600000</v>
      </c>
      <c r="G692" s="1263"/>
      <c r="H692" s="1263"/>
      <c r="I692" s="286"/>
      <c r="J692" s="1265"/>
      <c r="K692" s="1263"/>
      <c r="L692" s="1271"/>
      <c r="M692" s="1403"/>
      <c r="N692" s="429"/>
      <c r="O692" s="429"/>
      <c r="P692" s="429"/>
      <c r="Q692" s="429"/>
      <c r="R692" s="429"/>
    </row>
    <row r="693" spans="1:18" ht="30" customHeight="1" x14ac:dyDescent="0.2">
      <c r="A693" s="2032"/>
      <c r="B693" s="2370"/>
      <c r="C693" s="2372"/>
      <c r="D693" s="1286">
        <v>90000000</v>
      </c>
      <c r="E693" s="1287">
        <v>0.06</v>
      </c>
      <c r="F693" s="1286">
        <f>D693*E693</f>
        <v>5400000</v>
      </c>
      <c r="G693" s="1263"/>
      <c r="H693" s="1263"/>
      <c r="I693" s="286"/>
      <c r="J693" s="1265"/>
      <c r="K693" s="1263"/>
      <c r="L693" s="1271"/>
      <c r="M693" s="1403"/>
      <c r="N693" s="429"/>
      <c r="O693" s="429"/>
      <c r="P693" s="429"/>
      <c r="Q693" s="429"/>
      <c r="R693" s="429"/>
    </row>
    <row r="694" spans="1:18" ht="30" customHeight="1" x14ac:dyDescent="0.2">
      <c r="A694" s="1274"/>
      <c r="B694" s="1288" t="s">
        <v>2336</v>
      </c>
      <c r="C694" s="1289" t="s">
        <v>1378</v>
      </c>
      <c r="D694" s="1286">
        <v>150000000</v>
      </c>
      <c r="E694" s="1287">
        <v>0.05</v>
      </c>
      <c r="F694" s="1286">
        <f>D694*E694</f>
        <v>7500000</v>
      </c>
      <c r="G694" s="1383">
        <v>7500000</v>
      </c>
      <c r="H694" s="1383" t="s">
        <v>3271</v>
      </c>
      <c r="I694" s="286">
        <v>105231502131037</v>
      </c>
      <c r="J694" s="1390">
        <v>105109715001</v>
      </c>
      <c r="K694" s="1383">
        <f>G694</f>
        <v>7500000</v>
      </c>
      <c r="L694" s="1395">
        <f>F694-K694</f>
        <v>0</v>
      </c>
      <c r="M694" s="1404" t="s">
        <v>2337</v>
      </c>
      <c r="N694" s="429"/>
      <c r="O694" s="429"/>
      <c r="P694" s="429"/>
      <c r="Q694" s="429"/>
      <c r="R694" s="429"/>
    </row>
    <row r="695" spans="1:18" ht="30" customHeight="1" x14ac:dyDescent="0.2">
      <c r="A695" s="1274"/>
      <c r="B695" s="1273"/>
      <c r="C695" s="1267"/>
      <c r="D695" s="1263"/>
      <c r="E695" s="1272"/>
      <c r="F695" s="1263"/>
      <c r="G695" s="1263"/>
      <c r="H695" s="1263"/>
      <c r="I695" s="286"/>
      <c r="J695" s="1265"/>
      <c r="K695" s="1263"/>
      <c r="L695" s="1271"/>
      <c r="M695" s="428"/>
      <c r="N695" s="429"/>
      <c r="O695" s="429"/>
      <c r="P695" s="429"/>
      <c r="Q695" s="429"/>
      <c r="R695" s="429"/>
    </row>
    <row r="696" spans="1:18" ht="30" customHeight="1" x14ac:dyDescent="0.2">
      <c r="A696" s="2268"/>
      <c r="B696" s="2267" t="s">
        <v>183</v>
      </c>
      <c r="C696" s="1250"/>
      <c r="D696" s="1246"/>
      <c r="E696" s="1255"/>
      <c r="F696" s="1246"/>
      <c r="G696" s="1246">
        <v>1600000</v>
      </c>
      <c r="H696" s="1246" t="s">
        <v>2040</v>
      </c>
      <c r="I696" s="286">
        <v>123310224708</v>
      </c>
      <c r="J696" s="1251" t="s">
        <v>3012</v>
      </c>
      <c r="K696" s="1246">
        <f>G696</f>
        <v>1600000</v>
      </c>
      <c r="L696" s="1254"/>
      <c r="M696" s="428"/>
      <c r="N696" s="429"/>
      <c r="O696" s="429"/>
      <c r="P696" s="429"/>
      <c r="Q696" s="429"/>
      <c r="R696" s="429"/>
    </row>
    <row r="697" spans="1:18" ht="30" customHeight="1" x14ac:dyDescent="0.2">
      <c r="A697" s="2268"/>
      <c r="B697" s="2267"/>
      <c r="C697" s="1250" t="s">
        <v>2991</v>
      </c>
      <c r="D697" s="1246">
        <v>100000000</v>
      </c>
      <c r="E697" s="1255"/>
      <c r="F697" s="1246"/>
      <c r="G697" s="2192" t="s">
        <v>3013</v>
      </c>
      <c r="H697" s="2193"/>
      <c r="I697" s="2193"/>
      <c r="J697" s="2193"/>
      <c r="K697" s="2194"/>
      <c r="L697" s="1254"/>
      <c r="M697" s="428"/>
      <c r="N697" s="429"/>
      <c r="O697" s="429"/>
      <c r="P697" s="429"/>
      <c r="Q697" s="429"/>
      <c r="R697" s="429"/>
    </row>
    <row r="698" spans="1:18" ht="30" customHeight="1" x14ac:dyDescent="0.2">
      <c r="A698" s="1274"/>
      <c r="B698" s="1273" t="s">
        <v>3015</v>
      </c>
      <c r="C698" s="1267" t="s">
        <v>1215</v>
      </c>
      <c r="D698" s="1263">
        <v>40000000</v>
      </c>
      <c r="E698" s="1272">
        <v>0.05</v>
      </c>
      <c r="F698" s="1263">
        <f>D698*E698</f>
        <v>2000000</v>
      </c>
      <c r="G698" s="1263">
        <v>1300000</v>
      </c>
      <c r="H698" s="1263" t="s">
        <v>3041</v>
      </c>
      <c r="I698" s="286">
        <v>123446525890</v>
      </c>
      <c r="J698" s="1265" t="s">
        <v>3142</v>
      </c>
      <c r="K698" s="1263">
        <f>G698</f>
        <v>1300000</v>
      </c>
      <c r="L698" s="1271">
        <f>1300000-G698</f>
        <v>0</v>
      </c>
      <c r="M698" s="428" t="s">
        <v>3143</v>
      </c>
      <c r="N698" s="429"/>
      <c r="O698" s="429"/>
      <c r="P698" s="429"/>
      <c r="Q698" s="429"/>
      <c r="R698" s="429"/>
    </row>
    <row r="699" spans="1:18" ht="30" customHeight="1" x14ac:dyDescent="0.2">
      <c r="A699" s="1274"/>
      <c r="B699" s="1273" t="s">
        <v>3021</v>
      </c>
      <c r="C699" s="1267" t="s">
        <v>1750</v>
      </c>
      <c r="D699" s="1263">
        <v>25000000</v>
      </c>
      <c r="E699" s="1272">
        <v>0.04</v>
      </c>
      <c r="F699" s="1263">
        <f>D699*E699</f>
        <v>1000000</v>
      </c>
      <c r="G699" s="1263"/>
      <c r="H699" s="1263"/>
      <c r="I699" s="286"/>
      <c r="J699" s="1265"/>
      <c r="K699" s="1263"/>
      <c r="L699" s="1271"/>
      <c r="M699" s="428"/>
      <c r="N699" s="429"/>
      <c r="O699" s="429"/>
      <c r="P699" s="429"/>
      <c r="Q699" s="429"/>
      <c r="R699" s="429"/>
    </row>
    <row r="700" spans="1:18" ht="30" customHeight="1" x14ac:dyDescent="0.2">
      <c r="A700" s="1274"/>
      <c r="B700" s="1273" t="s">
        <v>3047</v>
      </c>
      <c r="C700" s="1267"/>
      <c r="D700" s="1263">
        <v>10000000</v>
      </c>
      <c r="E700" s="1272"/>
      <c r="F700" s="1263"/>
      <c r="G700" s="1263"/>
      <c r="H700" s="1263"/>
      <c r="I700" s="286"/>
      <c r="J700" s="1265"/>
      <c r="K700" s="1263"/>
      <c r="L700" s="1271"/>
      <c r="M700" s="428"/>
      <c r="N700" s="429"/>
      <c r="O700" s="429"/>
      <c r="P700" s="429"/>
      <c r="Q700" s="429"/>
      <c r="R700" s="429"/>
    </row>
    <row r="701" spans="1:18" ht="30" customHeight="1" x14ac:dyDescent="0.2">
      <c r="A701" s="1274"/>
      <c r="B701" s="1273" t="s">
        <v>3076</v>
      </c>
      <c r="C701" s="1267"/>
      <c r="D701" s="1293"/>
      <c r="E701" s="44"/>
      <c r="F701" s="1293"/>
      <c r="G701" s="1263">
        <v>2500000</v>
      </c>
      <c r="H701" s="1263" t="s">
        <v>3060</v>
      </c>
      <c r="I701" s="286">
        <v>155930</v>
      </c>
      <c r="J701" s="1265" t="s">
        <v>3077</v>
      </c>
      <c r="K701" s="1263">
        <f>G701</f>
        <v>2500000</v>
      </c>
      <c r="L701" s="1297">
        <f>F701-K701</f>
        <v>-2500000</v>
      </c>
      <c r="M701" s="428"/>
      <c r="N701" s="429"/>
      <c r="O701" s="429"/>
      <c r="P701" s="429"/>
      <c r="Q701" s="429"/>
      <c r="R701" s="429"/>
    </row>
    <row r="702" spans="1:18" ht="30" customHeight="1" x14ac:dyDescent="0.2">
      <c r="A702" s="1274"/>
      <c r="B702" s="1273" t="s">
        <v>3082</v>
      </c>
      <c r="C702" s="1267"/>
      <c r="D702" s="1293"/>
      <c r="E702" s="44"/>
      <c r="F702" s="1293"/>
      <c r="G702" s="1263">
        <v>500000</v>
      </c>
      <c r="H702" s="1263" t="s">
        <v>3060</v>
      </c>
      <c r="I702" s="286">
        <v>461979</v>
      </c>
      <c r="J702" s="1265" t="s">
        <v>3083</v>
      </c>
      <c r="K702" s="1263">
        <f>G702</f>
        <v>500000</v>
      </c>
      <c r="L702" s="1297">
        <f>F702-K702</f>
        <v>-500000</v>
      </c>
      <c r="M702" s="428"/>
      <c r="N702" s="429"/>
      <c r="O702" s="429"/>
      <c r="P702" s="429"/>
      <c r="Q702" s="429"/>
      <c r="R702" s="429"/>
    </row>
    <row r="703" spans="1:18" ht="30" customHeight="1" x14ac:dyDescent="0.2">
      <c r="A703" s="1274"/>
      <c r="B703" s="1273" t="s">
        <v>3087</v>
      </c>
      <c r="C703" s="1267"/>
      <c r="D703" s="1293"/>
      <c r="E703" s="44"/>
      <c r="F703" s="1293"/>
      <c r="G703" s="1263">
        <v>500000</v>
      </c>
      <c r="H703" s="1263" t="s">
        <v>3060</v>
      </c>
      <c r="I703" s="286">
        <v>546420</v>
      </c>
      <c r="J703" s="1265" t="s">
        <v>3088</v>
      </c>
      <c r="K703" s="1263">
        <f>G703</f>
        <v>500000</v>
      </c>
      <c r="L703" s="1297">
        <f>F703-K703</f>
        <v>-500000</v>
      </c>
      <c r="M703" s="428"/>
      <c r="N703" s="429"/>
      <c r="O703" s="429"/>
      <c r="P703" s="429"/>
      <c r="Q703" s="429"/>
      <c r="R703" s="429"/>
    </row>
    <row r="704" spans="1:18" ht="30" customHeight="1" x14ac:dyDescent="0.2">
      <c r="A704" s="1320"/>
      <c r="B704" s="1319"/>
      <c r="C704" s="1316"/>
      <c r="D704" s="1311"/>
      <c r="E704" s="1318"/>
      <c r="F704" s="1311"/>
      <c r="G704" s="1311"/>
      <c r="H704" s="1311"/>
      <c r="I704" s="286"/>
      <c r="J704" s="1314"/>
      <c r="K704" s="1311"/>
      <c r="L704" s="1317"/>
      <c r="M704" s="428"/>
      <c r="N704" s="429"/>
      <c r="O704" s="429"/>
      <c r="P704" s="429"/>
      <c r="Q704" s="429"/>
      <c r="R704" s="429"/>
    </row>
    <row r="705" spans="1:18" ht="30" customHeight="1" x14ac:dyDescent="0.2">
      <c r="A705" s="1320"/>
      <c r="B705" s="1319" t="s">
        <v>3181</v>
      </c>
      <c r="C705" s="1316"/>
      <c r="D705" s="1324">
        <v>30000000</v>
      </c>
      <c r="E705" s="1336"/>
      <c r="F705" s="1324"/>
      <c r="G705" s="2200" t="s">
        <v>3182</v>
      </c>
      <c r="H705" s="2201"/>
      <c r="I705" s="2201"/>
      <c r="J705" s="2201"/>
      <c r="K705" s="2202"/>
      <c r="L705" s="1335"/>
      <c r="M705" s="428" t="s">
        <v>3183</v>
      </c>
      <c r="N705" s="429"/>
      <c r="O705" s="429"/>
      <c r="P705" s="429"/>
      <c r="Q705" s="429"/>
      <c r="R705" s="429"/>
    </row>
    <row r="706" spans="1:18" ht="30" customHeight="1" x14ac:dyDescent="0.2">
      <c r="A706" s="1274"/>
      <c r="B706" s="1273" t="s">
        <v>3184</v>
      </c>
      <c r="C706" s="1267"/>
      <c r="D706" s="1263">
        <f>1000000000+19000000</f>
        <v>1019000000</v>
      </c>
      <c r="E706" s="1272">
        <v>0.06</v>
      </c>
      <c r="F706" s="1263"/>
      <c r="G706" s="1263"/>
      <c r="H706" s="1263"/>
      <c r="I706" s="286"/>
      <c r="J706" s="1265"/>
      <c r="K706" s="1263"/>
      <c r="L706" s="1271"/>
      <c r="M706" s="428" t="s">
        <v>3185</v>
      </c>
      <c r="N706" s="429"/>
      <c r="O706" s="429"/>
      <c r="P706" s="429"/>
      <c r="Q706" s="429"/>
      <c r="R706" s="429"/>
    </row>
    <row r="707" spans="1:18" ht="30" customHeight="1" x14ac:dyDescent="0.2">
      <c r="A707" s="1368"/>
      <c r="B707" s="1367" t="s">
        <v>3215</v>
      </c>
      <c r="C707" s="1352" t="s">
        <v>916</v>
      </c>
      <c r="D707" s="1347">
        <v>100000000</v>
      </c>
      <c r="E707" s="1362">
        <v>0.05</v>
      </c>
      <c r="F707" s="1347">
        <f>D707*E707</f>
        <v>5000000</v>
      </c>
      <c r="G707" s="1540">
        <v>1630000</v>
      </c>
      <c r="H707" s="1540" t="s">
        <v>3449</v>
      </c>
      <c r="I707" s="286">
        <v>661124370291</v>
      </c>
      <c r="J707" s="1555" t="s">
        <v>1617</v>
      </c>
      <c r="K707" s="1540">
        <f>G707</f>
        <v>1630000</v>
      </c>
      <c r="L707" s="1359"/>
      <c r="M707" s="2200" t="s">
        <v>3216</v>
      </c>
      <c r="N707" s="2201"/>
      <c r="O707" s="2201"/>
      <c r="P707" s="2201"/>
      <c r="Q707" s="2202"/>
      <c r="R707" s="429"/>
    </row>
    <row r="708" spans="1:18" ht="30" customHeight="1" x14ac:dyDescent="0.2">
      <c r="A708" s="2031"/>
      <c r="B708" s="2029" t="s">
        <v>3263</v>
      </c>
      <c r="C708" s="2149"/>
      <c r="D708" s="2040">
        <v>30000000</v>
      </c>
      <c r="E708" s="2037">
        <v>7.0000000000000007E-2</v>
      </c>
      <c r="F708" s="2040">
        <f>D708*E708</f>
        <v>2100000</v>
      </c>
      <c r="G708" s="2228" t="s">
        <v>3265</v>
      </c>
      <c r="H708" s="2229"/>
      <c r="I708" s="2229"/>
      <c r="J708" s="2229"/>
      <c r="K708" s="2230"/>
      <c r="L708" s="2210"/>
      <c r="M708" s="2210"/>
      <c r="N708" s="429"/>
      <c r="O708" s="429"/>
      <c r="P708" s="429"/>
      <c r="Q708" s="429"/>
      <c r="R708" s="429"/>
    </row>
    <row r="709" spans="1:18" ht="30" customHeight="1" x14ac:dyDescent="0.2">
      <c r="A709" s="2032"/>
      <c r="B709" s="2030"/>
      <c r="C709" s="2150"/>
      <c r="D709" s="2042"/>
      <c r="E709" s="2039"/>
      <c r="F709" s="2042"/>
      <c r="G709" s="2231"/>
      <c r="H709" s="2232"/>
      <c r="I709" s="2232"/>
      <c r="J709" s="2232"/>
      <c r="K709" s="2233"/>
      <c r="L709" s="2211"/>
      <c r="M709" s="2211"/>
      <c r="N709" s="429"/>
      <c r="O709" s="429"/>
      <c r="P709" s="429"/>
      <c r="Q709" s="429"/>
      <c r="R709" s="429"/>
    </row>
    <row r="710" spans="1:18" ht="30" customHeight="1" x14ac:dyDescent="0.2">
      <c r="A710" s="1381"/>
      <c r="B710" s="1411" t="s">
        <v>3302</v>
      </c>
      <c r="C710" s="1387"/>
      <c r="D710" s="1383">
        <v>200000000</v>
      </c>
      <c r="E710" s="1385"/>
      <c r="F710" s="1383"/>
      <c r="G710" s="2200" t="s">
        <v>3304</v>
      </c>
      <c r="H710" s="2201"/>
      <c r="I710" s="2201"/>
      <c r="J710" s="2201"/>
      <c r="K710" s="2202"/>
      <c r="L710" s="1395"/>
      <c r="M710" s="1395"/>
      <c r="N710" s="429"/>
      <c r="O710" s="429"/>
      <c r="P710" s="429"/>
      <c r="Q710" s="429"/>
      <c r="R710" s="429"/>
    </row>
    <row r="711" spans="1:18" ht="30" customHeight="1" x14ac:dyDescent="0.2">
      <c r="A711" s="1381"/>
      <c r="B711" s="1411" t="s">
        <v>3303</v>
      </c>
      <c r="C711" s="1387"/>
      <c r="D711" s="1383">
        <v>50000000</v>
      </c>
      <c r="E711" s="1385"/>
      <c r="F711" s="1383"/>
      <c r="G711" s="2200" t="s">
        <v>3305</v>
      </c>
      <c r="H711" s="2201"/>
      <c r="I711" s="2201"/>
      <c r="J711" s="2201"/>
      <c r="K711" s="2202"/>
      <c r="L711" s="1395"/>
      <c r="M711" s="1395"/>
      <c r="N711" s="429"/>
      <c r="O711" s="429"/>
      <c r="P711" s="429"/>
      <c r="Q711" s="429"/>
      <c r="R711" s="429"/>
    </row>
    <row r="712" spans="1:18" ht="30" customHeight="1" x14ac:dyDescent="0.2">
      <c r="A712" s="1368"/>
      <c r="B712" s="1388" t="s">
        <v>3307</v>
      </c>
      <c r="C712" s="1411"/>
      <c r="D712" s="1383">
        <v>10000000</v>
      </c>
      <c r="E712" s="1383"/>
      <c r="F712" s="1385"/>
      <c r="G712" s="2200" t="s">
        <v>3056</v>
      </c>
      <c r="H712" s="2201"/>
      <c r="I712" s="2201"/>
      <c r="J712" s="2201"/>
      <c r="K712" s="2202"/>
      <c r="L712" s="1366"/>
      <c r="M712" s="428"/>
      <c r="N712" s="429"/>
      <c r="O712" s="429"/>
      <c r="P712" s="429"/>
      <c r="Q712" s="429"/>
      <c r="R712" s="429"/>
    </row>
    <row r="713" spans="1:18" ht="30" customHeight="1" x14ac:dyDescent="0.2">
      <c r="A713" s="153"/>
      <c r="B713" s="1421" t="s">
        <v>3373</v>
      </c>
      <c r="C713" s="1411"/>
      <c r="D713" s="1432"/>
      <c r="E713" s="44"/>
      <c r="F713" s="1419"/>
      <c r="G713" s="1423">
        <v>11000000</v>
      </c>
      <c r="H713" s="1423" t="s">
        <v>3371</v>
      </c>
      <c r="I713" s="1434" t="s">
        <v>3375</v>
      </c>
      <c r="J713" s="1423" t="s">
        <v>3376</v>
      </c>
      <c r="K713" s="1423">
        <f>G713</f>
        <v>11000000</v>
      </c>
      <c r="L713" s="1426">
        <f>F713-K713</f>
        <v>-11000000</v>
      </c>
      <c r="M713" s="428"/>
      <c r="N713" s="429"/>
      <c r="O713" s="429"/>
      <c r="P713" s="429"/>
      <c r="Q713" s="429"/>
      <c r="R713" s="429"/>
    </row>
    <row r="714" spans="1:18" ht="30" customHeight="1" x14ac:dyDescent="0.2">
      <c r="A714" s="153"/>
      <c r="B714" s="1388" t="s">
        <v>3308</v>
      </c>
      <c r="C714" s="1411"/>
      <c r="D714" s="1383">
        <v>500000000</v>
      </c>
      <c r="E714" s="1396">
        <v>0.08</v>
      </c>
      <c r="F714" s="1383">
        <f>D714*E714</f>
        <v>40000000</v>
      </c>
      <c r="G714" s="2200" t="s">
        <v>3310</v>
      </c>
      <c r="H714" s="2201"/>
      <c r="I714" s="2201"/>
      <c r="J714" s="2201"/>
      <c r="K714" s="2202"/>
      <c r="L714" s="1395"/>
      <c r="M714" s="428"/>
      <c r="N714" s="429"/>
      <c r="O714" s="429"/>
      <c r="P714" s="429"/>
      <c r="Q714" s="429"/>
      <c r="R714" s="429"/>
    </row>
    <row r="715" spans="1:18" ht="30" customHeight="1" x14ac:dyDescent="0.2">
      <c r="A715" s="2031"/>
      <c r="B715" s="2074" t="s">
        <v>851</v>
      </c>
      <c r="C715" s="1411"/>
      <c r="D715" s="1387"/>
      <c r="E715" s="1383"/>
      <c r="F715" s="1385"/>
      <c r="G715" s="1391">
        <v>50000000</v>
      </c>
      <c r="H715" s="1391"/>
      <c r="I715" s="1391"/>
      <c r="J715" s="1391"/>
      <c r="K715" s="1391"/>
      <c r="L715" s="1395"/>
      <c r="M715" s="428"/>
      <c r="N715" s="429"/>
      <c r="O715" s="429"/>
      <c r="P715" s="429"/>
      <c r="Q715" s="429"/>
      <c r="R715" s="429"/>
    </row>
    <row r="716" spans="1:18" ht="30" customHeight="1" x14ac:dyDescent="0.2">
      <c r="A716" s="2032"/>
      <c r="B716" s="2075"/>
      <c r="C716" s="1411"/>
      <c r="D716" s="1387"/>
      <c r="E716" s="1383"/>
      <c r="F716" s="1385"/>
      <c r="G716" s="1391">
        <v>30000000</v>
      </c>
      <c r="H716" s="1391" t="s">
        <v>3333</v>
      </c>
      <c r="I716" s="1391" t="s">
        <v>3342</v>
      </c>
      <c r="J716" s="1391" t="s">
        <v>882</v>
      </c>
      <c r="K716" s="1391">
        <f>G715+G716</f>
        <v>80000000</v>
      </c>
      <c r="L716" s="1395"/>
      <c r="M716" s="428"/>
      <c r="N716" s="429"/>
      <c r="O716" s="429"/>
      <c r="P716" s="429"/>
      <c r="Q716" s="429"/>
      <c r="R716" s="429"/>
    </row>
    <row r="717" spans="1:18" ht="30" customHeight="1" x14ac:dyDescent="0.2">
      <c r="A717" s="153"/>
      <c r="B717" s="1421" t="s">
        <v>3359</v>
      </c>
      <c r="C717" s="1420" t="s">
        <v>3360</v>
      </c>
      <c r="D717" s="1416">
        <v>120000000</v>
      </c>
      <c r="E717" s="1428">
        <v>0.04</v>
      </c>
      <c r="F717" s="1416">
        <f>D717*E717</f>
        <v>4800000</v>
      </c>
      <c r="G717" s="2200" t="s">
        <v>3361</v>
      </c>
      <c r="H717" s="2201"/>
      <c r="I717" s="2201"/>
      <c r="J717" s="2201"/>
      <c r="K717" s="2202"/>
      <c r="L717" s="1395"/>
      <c r="M717" s="428"/>
      <c r="N717" s="429"/>
      <c r="O717" s="429"/>
      <c r="P717" s="429"/>
      <c r="Q717" s="429"/>
      <c r="R717" s="429"/>
    </row>
    <row r="718" spans="1:18" ht="30" customHeight="1" x14ac:dyDescent="0.2">
      <c r="A718" s="153"/>
      <c r="B718" s="1421" t="s">
        <v>3362</v>
      </c>
      <c r="C718" s="1420" t="s">
        <v>3363</v>
      </c>
      <c r="D718" s="1416">
        <v>100000000</v>
      </c>
      <c r="E718" s="1428">
        <v>0.05</v>
      </c>
      <c r="F718" s="1416">
        <f>D718*E718</f>
        <v>5000000</v>
      </c>
      <c r="G718" s="2200" t="s">
        <v>3361</v>
      </c>
      <c r="H718" s="2201"/>
      <c r="I718" s="2201"/>
      <c r="J718" s="2201"/>
      <c r="K718" s="2202"/>
      <c r="L718" s="1425"/>
      <c r="M718" s="428"/>
      <c r="N718" s="429"/>
      <c r="O718" s="429"/>
      <c r="P718" s="429"/>
      <c r="Q718" s="429"/>
      <c r="R718" s="429"/>
    </row>
    <row r="719" spans="1:18" ht="30" customHeight="1" x14ac:dyDescent="0.2">
      <c r="A719" s="153"/>
      <c r="B719" s="1421" t="s">
        <v>3365</v>
      </c>
      <c r="C719" s="1420" t="s">
        <v>1913</v>
      </c>
      <c r="D719" s="1416">
        <v>50000000</v>
      </c>
      <c r="E719" s="1428">
        <v>0.05</v>
      </c>
      <c r="F719" s="1416">
        <f>D719*E719</f>
        <v>2500000</v>
      </c>
      <c r="G719" s="2200" t="s">
        <v>3361</v>
      </c>
      <c r="H719" s="2201"/>
      <c r="I719" s="2201"/>
      <c r="J719" s="2201"/>
      <c r="K719" s="2202"/>
      <c r="L719" s="1425"/>
      <c r="M719" s="428"/>
      <c r="N719" s="429"/>
      <c r="O719" s="429"/>
      <c r="P719" s="429"/>
      <c r="Q719" s="429"/>
      <c r="R719" s="429"/>
    </row>
    <row r="720" spans="1:18" ht="30" customHeight="1" x14ac:dyDescent="0.2">
      <c r="A720" s="153"/>
      <c r="B720" s="1421" t="s">
        <v>3368</v>
      </c>
      <c r="C720" s="1420"/>
      <c r="D720" s="1432"/>
      <c r="E720" s="44"/>
      <c r="F720" s="1419"/>
      <c r="G720" s="1423">
        <v>8000000</v>
      </c>
      <c r="H720" s="1423" t="s">
        <v>3333</v>
      </c>
      <c r="I720" s="1434" t="s">
        <v>3369</v>
      </c>
      <c r="J720" s="1423" t="s">
        <v>3370</v>
      </c>
      <c r="K720" s="1423">
        <f>G720</f>
        <v>8000000</v>
      </c>
      <c r="L720" s="1426">
        <f>F720-K720</f>
        <v>-8000000</v>
      </c>
      <c r="M720" s="428" t="s">
        <v>3374</v>
      </c>
      <c r="N720" s="429"/>
      <c r="O720" s="429"/>
      <c r="P720" s="429"/>
      <c r="Q720" s="429"/>
      <c r="R720" s="429"/>
    </row>
    <row r="721" spans="1:18" ht="30" customHeight="1" x14ac:dyDescent="0.2">
      <c r="A721" s="153"/>
      <c r="B721" s="1421" t="s">
        <v>3401</v>
      </c>
      <c r="C721" s="1420"/>
      <c r="D721" s="1416">
        <v>40000000</v>
      </c>
      <c r="E721" s="1428">
        <v>0.05</v>
      </c>
      <c r="F721" s="1416">
        <f>D721*E721</f>
        <v>2000000</v>
      </c>
      <c r="G721" s="2200" t="s">
        <v>3438</v>
      </c>
      <c r="H721" s="2201"/>
      <c r="I721" s="2201"/>
      <c r="J721" s="2201"/>
      <c r="K721" s="2202"/>
      <c r="L721" s="1425"/>
      <c r="M721" s="428"/>
      <c r="N721" s="429"/>
      <c r="O721" s="429"/>
      <c r="P721" s="429"/>
      <c r="Q721" s="429"/>
      <c r="R721" s="429"/>
    </row>
    <row r="722" spans="1:18" ht="30" customHeight="1" x14ac:dyDescent="0.2">
      <c r="A722" s="153"/>
      <c r="B722" s="1421" t="s">
        <v>3437</v>
      </c>
      <c r="C722" s="1421"/>
      <c r="D722" s="1437">
        <v>25000000</v>
      </c>
      <c r="E722" s="1447">
        <v>0.05</v>
      </c>
      <c r="F722" s="1437">
        <f>D722*E722</f>
        <v>1250000</v>
      </c>
      <c r="G722" s="1947"/>
      <c r="H722" s="1948"/>
      <c r="I722" s="1948"/>
      <c r="J722" s="1948"/>
      <c r="K722" s="1949"/>
      <c r="L722" s="1445"/>
      <c r="M722" s="428"/>
      <c r="N722" s="429"/>
      <c r="O722" s="429"/>
      <c r="P722" s="429"/>
      <c r="Q722" s="429"/>
      <c r="R722" s="429"/>
    </row>
    <row r="723" spans="1:18" ht="30" customHeight="1" x14ac:dyDescent="0.2">
      <c r="A723" s="1448"/>
      <c r="B723" s="3" t="s">
        <v>3440</v>
      </c>
      <c r="C723" s="1440"/>
      <c r="D723" s="1444"/>
      <c r="E723" s="44"/>
      <c r="F723" s="1441"/>
      <c r="G723" s="1443">
        <v>2500000</v>
      </c>
      <c r="H723" s="1443" t="s">
        <v>3430</v>
      </c>
      <c r="I723" s="1452">
        <v>123811290702</v>
      </c>
      <c r="J723" s="1443" t="s">
        <v>3441</v>
      </c>
      <c r="K723" s="1443">
        <f>G723</f>
        <v>2500000</v>
      </c>
      <c r="L723" s="1446"/>
      <c r="M723" s="428"/>
      <c r="N723" s="429"/>
      <c r="O723" s="429"/>
      <c r="P723" s="429"/>
      <c r="Q723" s="429"/>
      <c r="R723" s="429"/>
    </row>
    <row r="724" spans="1:18" ht="30" customHeight="1" x14ac:dyDescent="0.2">
      <c r="A724" s="1506"/>
      <c r="B724" s="3" t="s">
        <v>3452</v>
      </c>
      <c r="C724" s="1490" t="s">
        <v>3468</v>
      </c>
      <c r="D724" s="1478">
        <v>20000000</v>
      </c>
      <c r="E724" s="1504">
        <v>0.05</v>
      </c>
      <c r="F724" s="1478">
        <f>D724*E724</f>
        <v>1000000</v>
      </c>
      <c r="G724" s="2200" t="s">
        <v>3453</v>
      </c>
      <c r="H724" s="2201"/>
      <c r="I724" s="2201"/>
      <c r="J724" s="2201"/>
      <c r="K724" s="2202"/>
      <c r="L724" s="1502"/>
      <c r="M724" s="428"/>
      <c r="N724" s="429"/>
      <c r="O724" s="429"/>
      <c r="P724" s="429"/>
      <c r="Q724" s="429"/>
      <c r="R724" s="429"/>
    </row>
    <row r="725" spans="1:18" ht="30" customHeight="1" x14ac:dyDescent="0.2">
      <c r="A725" s="1506"/>
      <c r="B725" s="3" t="s">
        <v>3469</v>
      </c>
      <c r="C725" s="1490" t="s">
        <v>916</v>
      </c>
      <c r="D725" s="1478">
        <v>200000000</v>
      </c>
      <c r="E725" s="1504">
        <v>0.05</v>
      </c>
      <c r="F725" s="1478">
        <f>D725*E725</f>
        <v>10000000</v>
      </c>
      <c r="G725" s="2154" t="s">
        <v>3470</v>
      </c>
      <c r="H725" s="2155"/>
      <c r="I725" s="2155"/>
      <c r="J725" s="2155"/>
      <c r="K725" s="2156"/>
      <c r="L725" s="1502"/>
      <c r="M725" s="428"/>
      <c r="N725" s="429"/>
      <c r="O725" s="429"/>
      <c r="P725" s="429"/>
      <c r="Q725" s="429"/>
      <c r="R725" s="429"/>
    </row>
    <row r="726" spans="1:18" ht="30" customHeight="1" x14ac:dyDescent="0.2">
      <c r="A726" s="1506"/>
      <c r="B726" s="3" t="s">
        <v>3477</v>
      </c>
      <c r="C726" s="1483"/>
      <c r="D726" s="1499"/>
      <c r="E726" s="44"/>
      <c r="F726" s="1484"/>
      <c r="G726" s="1491">
        <v>1500000</v>
      </c>
      <c r="H726" s="1491" t="s">
        <v>3471</v>
      </c>
      <c r="I726" s="1508" t="s">
        <v>3478</v>
      </c>
      <c r="J726" s="1491" t="s">
        <v>3479</v>
      </c>
      <c r="K726" s="1491">
        <f>G726</f>
        <v>1500000</v>
      </c>
      <c r="L726" s="1502"/>
      <c r="M726" s="428"/>
      <c r="N726" s="429"/>
      <c r="O726" s="429"/>
      <c r="P726" s="429"/>
      <c r="Q726" s="429"/>
      <c r="R726" s="429"/>
    </row>
    <row r="727" spans="1:18" ht="30" customHeight="1" x14ac:dyDescent="0.2">
      <c r="A727" s="153"/>
      <c r="B727" s="1523"/>
      <c r="C727" s="1483"/>
      <c r="D727" s="1499"/>
      <c r="E727" s="44"/>
      <c r="F727" s="1484"/>
      <c r="G727" s="1478"/>
      <c r="H727" s="1478"/>
      <c r="I727" s="1493"/>
      <c r="J727" s="1487"/>
      <c r="K727" s="1478"/>
      <c r="L727" s="1502"/>
      <c r="M727" s="428"/>
      <c r="N727" s="429"/>
      <c r="O727" s="429"/>
      <c r="P727" s="429"/>
      <c r="Q727" s="429"/>
      <c r="R727" s="429"/>
    </row>
    <row r="728" spans="1:18" ht="30" customHeight="1" x14ac:dyDescent="0.2">
      <c r="A728" s="2305" t="s">
        <v>2669</v>
      </c>
      <c r="B728" s="2306"/>
      <c r="C728" s="1096"/>
      <c r="D728" s="311">
        <v>74145173000</v>
      </c>
      <c r="E728" s="1060"/>
      <c r="F728" s="1032"/>
      <c r="G728" s="1032"/>
      <c r="H728" s="1032"/>
      <c r="I728" s="1048"/>
      <c r="J728" s="24"/>
      <c r="K728" s="1032"/>
      <c r="L728" s="1032"/>
      <c r="M728" s="1064"/>
    </row>
  </sheetData>
  <mergeCells count="971">
    <mergeCell ref="M59:M60"/>
    <mergeCell ref="M210:M211"/>
    <mergeCell ref="A105:A106"/>
    <mergeCell ref="B105:B106"/>
    <mergeCell ref="C105:C106"/>
    <mergeCell ref="D105:D106"/>
    <mergeCell ref="E105:E106"/>
    <mergeCell ref="F105:F106"/>
    <mergeCell ref="K105:K106"/>
    <mergeCell ref="L105:L106"/>
    <mergeCell ref="M105:M106"/>
    <mergeCell ref="D125:D126"/>
    <mergeCell ref="E125:E126"/>
    <mergeCell ref="F125:F126"/>
    <mergeCell ref="D115:D116"/>
    <mergeCell ref="E115:E116"/>
    <mergeCell ref="F115:F116"/>
    <mergeCell ref="K115:K116"/>
    <mergeCell ref="C125:C126"/>
    <mergeCell ref="E98:E104"/>
    <mergeCell ref="A184:A185"/>
    <mergeCell ref="B208:B209"/>
    <mergeCell ref="C184:C185"/>
    <mergeCell ref="C198:C201"/>
    <mergeCell ref="A213:A214"/>
    <mergeCell ref="A210:A211"/>
    <mergeCell ref="B210:B211"/>
    <mergeCell ref="A198:A201"/>
    <mergeCell ref="B164:B167"/>
    <mergeCell ref="A175:A179"/>
    <mergeCell ref="D209:F209"/>
    <mergeCell ref="F199:F200"/>
    <mergeCell ref="F175:F176"/>
    <mergeCell ref="E175:E176"/>
    <mergeCell ref="D175:D176"/>
    <mergeCell ref="B181:B183"/>
    <mergeCell ref="D199:D200"/>
    <mergeCell ref="E199:E200"/>
    <mergeCell ref="F210:F211"/>
    <mergeCell ref="B184:B185"/>
    <mergeCell ref="C204:C206"/>
    <mergeCell ref="A284:A286"/>
    <mergeCell ref="A415:A416"/>
    <mergeCell ref="C439:C443"/>
    <mergeCell ref="B439:B443"/>
    <mergeCell ref="A439:A443"/>
    <mergeCell ref="A502:A506"/>
    <mergeCell ref="B500:B501"/>
    <mergeCell ref="A421:A425"/>
    <mergeCell ref="C508:C510"/>
    <mergeCell ref="A500:A501"/>
    <mergeCell ref="A444:A446"/>
    <mergeCell ref="B502:B506"/>
    <mergeCell ref="B456:B460"/>
    <mergeCell ref="B449:B450"/>
    <mergeCell ref="A428:A429"/>
    <mergeCell ref="B433:B434"/>
    <mergeCell ref="B415:B416"/>
    <mergeCell ref="B428:B429"/>
    <mergeCell ref="C428:C429"/>
    <mergeCell ref="L449:L450"/>
    <mergeCell ref="K449:K450"/>
    <mergeCell ref="B221:B222"/>
    <mergeCell ref="A223:A225"/>
    <mergeCell ref="A221:A222"/>
    <mergeCell ref="A227:A229"/>
    <mergeCell ref="A237:A240"/>
    <mergeCell ref="B218:B219"/>
    <mergeCell ref="B227:B229"/>
    <mergeCell ref="B362:B363"/>
    <mergeCell ref="C362:C363"/>
    <mergeCell ref="A331:A332"/>
    <mergeCell ref="B331:B332"/>
    <mergeCell ref="A322:A327"/>
    <mergeCell ref="C227:C229"/>
    <mergeCell ref="B318:B319"/>
    <mergeCell ref="B322:B327"/>
    <mergeCell ref="C322:C323"/>
    <mergeCell ref="A233:A234"/>
    <mergeCell ref="A272:A273"/>
    <mergeCell ref="B237:B242"/>
    <mergeCell ref="C237:C242"/>
    <mergeCell ref="A289:A290"/>
    <mergeCell ref="B289:B290"/>
    <mergeCell ref="G617:K617"/>
    <mergeCell ref="L617:L618"/>
    <mergeCell ref="B615:B619"/>
    <mergeCell ref="G548:K548"/>
    <mergeCell ref="G500:G501"/>
    <mergeCell ref="B561:B562"/>
    <mergeCell ref="K609:K610"/>
    <mergeCell ref="K468:K470"/>
    <mergeCell ref="F563:F573"/>
    <mergeCell ref="L468:L470"/>
    <mergeCell ref="K517:K518"/>
    <mergeCell ref="F513:F514"/>
    <mergeCell ref="G508:K508"/>
    <mergeCell ref="L517:L518"/>
    <mergeCell ref="D223:D224"/>
    <mergeCell ref="E223:E224"/>
    <mergeCell ref="F223:F224"/>
    <mergeCell ref="G227:G228"/>
    <mergeCell ref="I227:I228"/>
    <mergeCell ref="J227:J228"/>
    <mergeCell ref="K227:K228"/>
    <mergeCell ref="L227:L228"/>
    <mergeCell ref="F231:F232"/>
    <mergeCell ref="K231:K232"/>
    <mergeCell ref="L231:L232"/>
    <mergeCell ref="A715:A716"/>
    <mergeCell ref="B696:B697"/>
    <mergeCell ref="G697:K697"/>
    <mergeCell ref="G686:K686"/>
    <mergeCell ref="G684:K684"/>
    <mergeCell ref="B652:B666"/>
    <mergeCell ref="C652:C666"/>
    <mergeCell ref="G662:K662"/>
    <mergeCell ref="G653:K653"/>
    <mergeCell ref="G658:K658"/>
    <mergeCell ref="A708:A709"/>
    <mergeCell ref="B708:B709"/>
    <mergeCell ref="C708:C709"/>
    <mergeCell ref="F708:F709"/>
    <mergeCell ref="B715:B716"/>
    <mergeCell ref="G712:K712"/>
    <mergeCell ref="G714:K714"/>
    <mergeCell ref="G710:K710"/>
    <mergeCell ref="G711:K711"/>
    <mergeCell ref="G654:K654"/>
    <mergeCell ref="G705:K705"/>
    <mergeCell ref="B686:B687"/>
    <mergeCell ref="C686:C687"/>
    <mergeCell ref="D708:D709"/>
    <mergeCell ref="E708:E709"/>
    <mergeCell ref="A686:A687"/>
    <mergeCell ref="G663:K663"/>
    <mergeCell ref="D686:D687"/>
    <mergeCell ref="A615:A619"/>
    <mergeCell ref="C615:C619"/>
    <mergeCell ref="G619:L619"/>
    <mergeCell ref="G615:L616"/>
    <mergeCell ref="D616:F618"/>
    <mergeCell ref="B644:B646"/>
    <mergeCell ref="A644:A646"/>
    <mergeCell ref="C644:C646"/>
    <mergeCell ref="G641:J641"/>
    <mergeCell ref="L708:L709"/>
    <mergeCell ref="B692:B693"/>
    <mergeCell ref="C692:C693"/>
    <mergeCell ref="A692:A693"/>
    <mergeCell ref="A689:A691"/>
    <mergeCell ref="B689:B691"/>
    <mergeCell ref="C689:C691"/>
    <mergeCell ref="D691:F691"/>
    <mergeCell ref="D690:F690"/>
    <mergeCell ref="A696:A697"/>
    <mergeCell ref="G656:K656"/>
    <mergeCell ref="E686:E687"/>
    <mergeCell ref="F686:F687"/>
    <mergeCell ref="A669:A673"/>
    <mergeCell ref="B669:B673"/>
    <mergeCell ref="C669:C673"/>
    <mergeCell ref="D666:F666"/>
    <mergeCell ref="G661:K661"/>
    <mergeCell ref="G673:K673"/>
    <mergeCell ref="I671:J671"/>
    <mergeCell ref="K671:K672"/>
    <mergeCell ref="F609:F610"/>
    <mergeCell ref="D598:D599"/>
    <mergeCell ref="E598:E599"/>
    <mergeCell ref="A606:A608"/>
    <mergeCell ref="D578:F578"/>
    <mergeCell ref="B557:B558"/>
    <mergeCell ref="G685:K685"/>
    <mergeCell ref="G679:K679"/>
    <mergeCell ref="A652:A666"/>
    <mergeCell ref="D609:D610"/>
    <mergeCell ref="E609:E610"/>
    <mergeCell ref="G598:G599"/>
    <mergeCell ref="F606:F608"/>
    <mergeCell ref="K631:K632"/>
    <mergeCell ref="B577:B579"/>
    <mergeCell ref="B559:B560"/>
    <mergeCell ref="C577:C579"/>
    <mergeCell ref="K577:K578"/>
    <mergeCell ref="K559:K560"/>
    <mergeCell ref="B609:B610"/>
    <mergeCell ref="C609:C610"/>
    <mergeCell ref="C640:C642"/>
    <mergeCell ref="A631:A632"/>
    <mergeCell ref="G655:K655"/>
    <mergeCell ref="B631:B632"/>
    <mergeCell ref="C631:C632"/>
    <mergeCell ref="D631:D632"/>
    <mergeCell ref="A648:A650"/>
    <mergeCell ref="B648:B650"/>
    <mergeCell ref="C648:C650"/>
    <mergeCell ref="D648:D650"/>
    <mergeCell ref="E648:E650"/>
    <mergeCell ref="A640:A642"/>
    <mergeCell ref="B640:B642"/>
    <mergeCell ref="A115:A116"/>
    <mergeCell ref="L108:L109"/>
    <mergeCell ref="B125:B126"/>
    <mergeCell ref="F648:F650"/>
    <mergeCell ref="E631:E632"/>
    <mergeCell ref="F631:F632"/>
    <mergeCell ref="L2:L3"/>
    <mergeCell ref="M2:M3"/>
    <mergeCell ref="M46:M47"/>
    <mergeCell ref="D463:F463"/>
    <mergeCell ref="H460:H461"/>
    <mergeCell ref="I460:I461"/>
    <mergeCell ref="J460:J461"/>
    <mergeCell ref="K460:K461"/>
    <mergeCell ref="M150:Q150"/>
    <mergeCell ref="M190:M192"/>
    <mergeCell ref="G209:K209"/>
    <mergeCell ref="M198:M201"/>
    <mergeCell ref="G201:K201"/>
    <mergeCell ref="L444:L445"/>
    <mergeCell ref="K433:K434"/>
    <mergeCell ref="M131:M132"/>
    <mergeCell ref="L559:L560"/>
    <mergeCell ref="L456:L459"/>
    <mergeCell ref="L125:L126"/>
    <mergeCell ref="C90:C92"/>
    <mergeCell ref="D90:D91"/>
    <mergeCell ref="E90:E91"/>
    <mergeCell ref="F90:F91"/>
    <mergeCell ref="K90:K91"/>
    <mergeCell ref="L90:L91"/>
    <mergeCell ref="F98:F104"/>
    <mergeCell ref="B90:B92"/>
    <mergeCell ref="A2:A3"/>
    <mergeCell ref="B2:B3"/>
    <mergeCell ref="C2:C3"/>
    <mergeCell ref="D2:D3"/>
    <mergeCell ref="E2:E3"/>
    <mergeCell ref="F2:F3"/>
    <mergeCell ref="K2:K3"/>
    <mergeCell ref="G198:K198"/>
    <mergeCell ref="K204:K205"/>
    <mergeCell ref="H204:H205"/>
    <mergeCell ref="A113:A114"/>
    <mergeCell ref="B113:B114"/>
    <mergeCell ref="C113:C114"/>
    <mergeCell ref="D114:F114"/>
    <mergeCell ref="B131:B132"/>
    <mergeCell ref="G154:J154"/>
    <mergeCell ref="A59:A60"/>
    <mergeCell ref="B59:B60"/>
    <mergeCell ref="C59:C60"/>
    <mergeCell ref="G59:K59"/>
    <mergeCell ref="G60:K60"/>
    <mergeCell ref="F62:F63"/>
    <mergeCell ref="A74:A76"/>
    <mergeCell ref="A108:A110"/>
    <mergeCell ref="M218:M219"/>
    <mergeCell ref="M213:M214"/>
    <mergeCell ref="L218:L219"/>
    <mergeCell ref="K213:K214"/>
    <mergeCell ref="M158:M159"/>
    <mergeCell ref="M164:M167"/>
    <mergeCell ref="M181:M183"/>
    <mergeCell ref="K175:K176"/>
    <mergeCell ref="K218:K219"/>
    <mergeCell ref="K210:K211"/>
    <mergeCell ref="L210:L211"/>
    <mergeCell ref="L199:L200"/>
    <mergeCell ref="L161:L162"/>
    <mergeCell ref="M204:M205"/>
    <mergeCell ref="H167:K167"/>
    <mergeCell ref="L204:L205"/>
    <mergeCell ref="J204:J205"/>
    <mergeCell ref="G185:K185"/>
    <mergeCell ref="K199:K200"/>
    <mergeCell ref="L213:L214"/>
    <mergeCell ref="M140:M142"/>
    <mergeCell ref="G146:J146"/>
    <mergeCell ref="C158:C159"/>
    <mergeCell ref="G158:G159"/>
    <mergeCell ref="H158:H159"/>
    <mergeCell ref="I158:I159"/>
    <mergeCell ref="J158:J159"/>
    <mergeCell ref="K158:K159"/>
    <mergeCell ref="L158:L159"/>
    <mergeCell ref="G147:J147"/>
    <mergeCell ref="K140:K144"/>
    <mergeCell ref="L140:L144"/>
    <mergeCell ref="M152:M153"/>
    <mergeCell ref="A86:A89"/>
    <mergeCell ref="A93:A94"/>
    <mergeCell ref="I93:I94"/>
    <mergeCell ref="B52:B53"/>
    <mergeCell ref="C52:C53"/>
    <mergeCell ref="C82:C83"/>
    <mergeCell ref="D82:D83"/>
    <mergeCell ref="E82:E83"/>
    <mergeCell ref="F82:F83"/>
    <mergeCell ref="D79:D80"/>
    <mergeCell ref="E79:E80"/>
    <mergeCell ref="C93:C94"/>
    <mergeCell ref="G86:K86"/>
    <mergeCell ref="K93:K94"/>
    <mergeCell ref="K51:K52"/>
    <mergeCell ref="G82:L82"/>
    <mergeCell ref="G84:L85"/>
    <mergeCell ref="L55:L56"/>
    <mergeCell ref="L93:L94"/>
    <mergeCell ref="K72:K73"/>
    <mergeCell ref="L72:L73"/>
    <mergeCell ref="C62:C63"/>
    <mergeCell ref="A90:A92"/>
    <mergeCell ref="D39:F40"/>
    <mergeCell ref="A37:A41"/>
    <mergeCell ref="A190:A193"/>
    <mergeCell ref="B190:B193"/>
    <mergeCell ref="C190:C193"/>
    <mergeCell ref="D48:F48"/>
    <mergeCell ref="G55:G56"/>
    <mergeCell ref="H55:H56"/>
    <mergeCell ref="H162:H163"/>
    <mergeCell ref="G49:K49"/>
    <mergeCell ref="D62:D63"/>
    <mergeCell ref="E62:E63"/>
    <mergeCell ref="D74:D77"/>
    <mergeCell ref="E74:E77"/>
    <mergeCell ref="F74:F77"/>
    <mergeCell ref="F79:F80"/>
    <mergeCell ref="H69:H70"/>
    <mergeCell ref="I69:I70"/>
    <mergeCell ref="J69:J70"/>
    <mergeCell ref="K69:K70"/>
    <mergeCell ref="A125:A126"/>
    <mergeCell ref="K125:K126"/>
    <mergeCell ref="A98:A104"/>
    <mergeCell ref="A16:A20"/>
    <mergeCell ref="C37:C41"/>
    <mergeCell ref="D46:F47"/>
    <mergeCell ref="G17:J18"/>
    <mergeCell ref="G44:K44"/>
    <mergeCell ref="J23:J24"/>
    <mergeCell ref="K23:K24"/>
    <mergeCell ref="G41:K41"/>
    <mergeCell ref="K46:K47"/>
    <mergeCell ref="B37:B41"/>
    <mergeCell ref="G30:K30"/>
    <mergeCell ref="A43:A49"/>
    <mergeCell ref="B43:B49"/>
    <mergeCell ref="C43:C49"/>
    <mergeCell ref="B23:B24"/>
    <mergeCell ref="C23:C24"/>
    <mergeCell ref="H23:H24"/>
    <mergeCell ref="I23:I24"/>
    <mergeCell ref="I98:I99"/>
    <mergeCell ref="J98:J99"/>
    <mergeCell ref="K99:K104"/>
    <mergeCell ref="D17:D18"/>
    <mergeCell ref="E17:E18"/>
    <mergeCell ref="F17:F18"/>
    <mergeCell ref="B16:B20"/>
    <mergeCell ref="C16:C20"/>
    <mergeCell ref="G19:J20"/>
    <mergeCell ref="I55:I56"/>
    <mergeCell ref="D53:F53"/>
    <mergeCell ref="J164:J165"/>
    <mergeCell ref="I162:I163"/>
    <mergeCell ref="J162:J163"/>
    <mergeCell ref="L46:L47"/>
    <mergeCell ref="L51:L52"/>
    <mergeCell ref="G61:K61"/>
    <mergeCell ref="J55:J56"/>
    <mergeCell ref="K55:K56"/>
    <mergeCell ref="G145:J145"/>
    <mergeCell ref="G108:G109"/>
    <mergeCell ref="K108:K109"/>
    <mergeCell ref="G110:K110"/>
    <mergeCell ref="I131:I132"/>
    <mergeCell ref="G93:G94"/>
    <mergeCell ref="H93:H94"/>
    <mergeCell ref="L69:L70"/>
    <mergeCell ref="J93:J94"/>
    <mergeCell ref="G87:L87"/>
    <mergeCell ref="G69:G70"/>
    <mergeCell ref="I95:I97"/>
    <mergeCell ref="J95:J97"/>
    <mergeCell ref="K95:K97"/>
    <mergeCell ref="L95:L97"/>
    <mergeCell ref="H98:H99"/>
    <mergeCell ref="F218:F219"/>
    <mergeCell ref="G372:K372"/>
    <mergeCell ref="G415:K415"/>
    <mergeCell ref="H383:H384"/>
    <mergeCell ref="I383:I384"/>
    <mergeCell ref="G225:L225"/>
    <mergeCell ref="J318:J319"/>
    <mergeCell ref="K318:K319"/>
    <mergeCell ref="L318:L319"/>
    <mergeCell ref="G322:J323"/>
    <mergeCell ref="K322:K323"/>
    <mergeCell ref="L322:L323"/>
    <mergeCell ref="F324:F325"/>
    <mergeCell ref="G324:J324"/>
    <mergeCell ref="G325:J325"/>
    <mergeCell ref="M517:M518"/>
    <mergeCell ref="K513:K514"/>
    <mergeCell ref="H517:H518"/>
    <mergeCell ref="I517:I518"/>
    <mergeCell ref="B74:B77"/>
    <mergeCell ref="C74:C77"/>
    <mergeCell ref="B93:B94"/>
    <mergeCell ref="B79:B80"/>
    <mergeCell ref="C79:C80"/>
    <mergeCell ref="B98:B104"/>
    <mergeCell ref="C98:C104"/>
    <mergeCell ref="B86:B89"/>
    <mergeCell ref="C86:C89"/>
    <mergeCell ref="B115:B116"/>
    <mergeCell ref="M125:M126"/>
    <mergeCell ref="G89:K89"/>
    <mergeCell ref="M108:M109"/>
    <mergeCell ref="M99:M104"/>
    <mergeCell ref="H108:H109"/>
    <mergeCell ref="I108:I109"/>
    <mergeCell ref="J108:J109"/>
    <mergeCell ref="G95:G97"/>
    <mergeCell ref="H95:H97"/>
    <mergeCell ref="D424:E424"/>
    <mergeCell ref="M115:M116"/>
    <mergeCell ref="L115:L116"/>
    <mergeCell ref="M123:M124"/>
    <mergeCell ref="J213:J214"/>
    <mergeCell ref="G183:K183"/>
    <mergeCell ref="D181:D182"/>
    <mergeCell ref="E181:E182"/>
    <mergeCell ref="F181:F182"/>
    <mergeCell ref="H164:H165"/>
    <mergeCell ref="D210:D211"/>
    <mergeCell ref="E210:E211"/>
    <mergeCell ref="M175:M176"/>
    <mergeCell ref="K190:K192"/>
    <mergeCell ref="L190:L192"/>
    <mergeCell ref="G131:G132"/>
    <mergeCell ref="H131:H132"/>
    <mergeCell ref="L152:L153"/>
    <mergeCell ref="K152:K153"/>
    <mergeCell ref="J131:J132"/>
    <mergeCell ref="K131:K132"/>
    <mergeCell ref="L131:L132"/>
    <mergeCell ref="L175:L176"/>
    <mergeCell ref="K165:K166"/>
    <mergeCell ref="I164:I165"/>
    <mergeCell ref="M55:M56"/>
    <mergeCell ref="M93:M94"/>
    <mergeCell ref="G124:K124"/>
    <mergeCell ref="A13:A14"/>
    <mergeCell ref="M69:M70"/>
    <mergeCell ref="M72:M73"/>
    <mergeCell ref="L99:L104"/>
    <mergeCell ref="B13:B14"/>
    <mergeCell ref="F84:F85"/>
    <mergeCell ref="A84:A85"/>
    <mergeCell ref="B84:B85"/>
    <mergeCell ref="C84:C85"/>
    <mergeCell ref="D84:D85"/>
    <mergeCell ref="E84:E85"/>
    <mergeCell ref="A55:A56"/>
    <mergeCell ref="B55:B56"/>
    <mergeCell ref="C55:C56"/>
    <mergeCell ref="A72:A73"/>
    <mergeCell ref="B72:B73"/>
    <mergeCell ref="C72:C73"/>
    <mergeCell ref="D72:D73"/>
    <mergeCell ref="E72:E73"/>
    <mergeCell ref="F72:F73"/>
    <mergeCell ref="A27:A30"/>
    <mergeCell ref="M13:M14"/>
    <mergeCell ref="L31:L32"/>
    <mergeCell ref="M31:M32"/>
    <mergeCell ref="J27:J28"/>
    <mergeCell ref="K27:K28"/>
    <mergeCell ref="L27:L28"/>
    <mergeCell ref="M27:M28"/>
    <mergeCell ref="G29:K29"/>
    <mergeCell ref="G31:G32"/>
    <mergeCell ref="H31:H32"/>
    <mergeCell ref="I31:I32"/>
    <mergeCell ref="J31:J32"/>
    <mergeCell ref="K31:K32"/>
    <mergeCell ref="G27:G28"/>
    <mergeCell ref="H27:H28"/>
    <mergeCell ref="I27:I28"/>
    <mergeCell ref="G16:J16"/>
    <mergeCell ref="L23:L24"/>
    <mergeCell ref="L473:L474"/>
    <mergeCell ref="G513:J513"/>
    <mergeCell ref="L500:L501"/>
    <mergeCell ref="L460:L461"/>
    <mergeCell ref="L513:L514"/>
    <mergeCell ref="L480:L481"/>
    <mergeCell ref="K480:K481"/>
    <mergeCell ref="A131:A132"/>
    <mergeCell ref="K13:K14"/>
    <mergeCell ref="L13:L14"/>
    <mergeCell ref="B27:B30"/>
    <mergeCell ref="C27:C30"/>
    <mergeCell ref="A52:A53"/>
    <mergeCell ref="A62:A63"/>
    <mergeCell ref="B62:B63"/>
    <mergeCell ref="A79:A80"/>
    <mergeCell ref="B82:B83"/>
    <mergeCell ref="A82:A83"/>
    <mergeCell ref="A95:A97"/>
    <mergeCell ref="B95:B97"/>
    <mergeCell ref="C95:C97"/>
    <mergeCell ref="C218:C219"/>
    <mergeCell ref="C221:C222"/>
    <mergeCell ref="C383:C384"/>
    <mergeCell ref="G515:J515"/>
    <mergeCell ref="I480:I481"/>
    <mergeCell ref="G465:K465"/>
    <mergeCell ref="K456:K459"/>
    <mergeCell ref="G426:K426"/>
    <mergeCell ref="G429:K429"/>
    <mergeCell ref="K444:K445"/>
    <mergeCell ref="G503:K503"/>
    <mergeCell ref="C456:F459"/>
    <mergeCell ref="H433:H434"/>
    <mergeCell ref="I433:I434"/>
    <mergeCell ref="G502:K502"/>
    <mergeCell ref="K473:K474"/>
    <mergeCell ref="J480:J481"/>
    <mergeCell ref="I500:I501"/>
    <mergeCell ref="J500:J501"/>
    <mergeCell ref="K500:K501"/>
    <mergeCell ref="C449:C450"/>
    <mergeCell ref="M513:M515"/>
    <mergeCell ref="M500:M501"/>
    <mergeCell ref="M456:M459"/>
    <mergeCell ref="G238:J238"/>
    <mergeCell ref="G423:G424"/>
    <mergeCell ref="G421:G422"/>
    <mergeCell ref="L421:L424"/>
    <mergeCell ref="G367:K367"/>
    <mergeCell ref="G290:K290"/>
    <mergeCell ref="G295:K295"/>
    <mergeCell ref="G296:K296"/>
    <mergeCell ref="G297:K297"/>
    <mergeCell ref="M303:M304"/>
    <mergeCell ref="G306:K306"/>
    <mergeCell ref="G307:K307"/>
    <mergeCell ref="G308:K308"/>
    <mergeCell ref="G318:G319"/>
    <mergeCell ref="H318:H319"/>
    <mergeCell ref="I318:I319"/>
    <mergeCell ref="H421:H424"/>
    <mergeCell ref="I421:I424"/>
    <mergeCell ref="J421:J424"/>
    <mergeCell ref="K421:K424"/>
    <mergeCell ref="G436:J436"/>
    <mergeCell ref="B272:B273"/>
    <mergeCell ref="G272:G273"/>
    <mergeCell ref="H272:H273"/>
    <mergeCell ref="M285:Q285"/>
    <mergeCell ref="M286:Q286"/>
    <mergeCell ref="M433:M434"/>
    <mergeCell ref="G383:G384"/>
    <mergeCell ref="M383:M384"/>
    <mergeCell ref="L397:L398"/>
    <mergeCell ref="D362:D363"/>
    <mergeCell ref="E362:E363"/>
    <mergeCell ref="F362:F363"/>
    <mergeCell ref="C324:C327"/>
    <mergeCell ref="D324:D325"/>
    <mergeCell ref="E324:E325"/>
    <mergeCell ref="B421:B425"/>
    <mergeCell ref="C415:C416"/>
    <mergeCell ref="G425:J425"/>
    <mergeCell ref="L433:L434"/>
    <mergeCell ref="C421:C425"/>
    <mergeCell ref="C289:C290"/>
    <mergeCell ref="L475:L478"/>
    <mergeCell ref="K247:K256"/>
    <mergeCell ref="L247:L256"/>
    <mergeCell ref="G284:G286"/>
    <mergeCell ref="M423:M424"/>
    <mergeCell ref="M480:M481"/>
    <mergeCell ref="G416:K416"/>
    <mergeCell ref="G440:J440"/>
    <mergeCell ref="C433:C434"/>
    <mergeCell ref="G433:G434"/>
    <mergeCell ref="M460:M461"/>
    <mergeCell ref="M475:M478"/>
    <mergeCell ref="J433:J434"/>
    <mergeCell ref="E247:E256"/>
    <mergeCell ref="I272:I273"/>
    <mergeCell ref="J272:J273"/>
    <mergeCell ref="K272:K273"/>
    <mergeCell ref="M249:M256"/>
    <mergeCell ref="M444:M445"/>
    <mergeCell ref="G444:G445"/>
    <mergeCell ref="H444:H445"/>
    <mergeCell ref="I444:I445"/>
    <mergeCell ref="J444:J445"/>
    <mergeCell ref="G442:J442"/>
    <mergeCell ref="M524:M525"/>
    <mergeCell ref="D563:D573"/>
    <mergeCell ref="E563:E573"/>
    <mergeCell ref="M545:M548"/>
    <mergeCell ref="M449:M450"/>
    <mergeCell ref="G517:G518"/>
    <mergeCell ref="G480:G481"/>
    <mergeCell ref="H480:H481"/>
    <mergeCell ref="M526:M532"/>
    <mergeCell ref="G521:J521"/>
    <mergeCell ref="G526:L526"/>
    <mergeCell ref="G527:L527"/>
    <mergeCell ref="G528:L528"/>
    <mergeCell ref="M561:M562"/>
    <mergeCell ref="F559:F560"/>
    <mergeCell ref="G531:L531"/>
    <mergeCell ref="G460:G461"/>
    <mergeCell ref="J517:J518"/>
    <mergeCell ref="F473:F474"/>
    <mergeCell ref="F475:F478"/>
    <mergeCell ref="E544:F544"/>
    <mergeCell ref="D513:D514"/>
    <mergeCell ref="E557:E558"/>
    <mergeCell ref="D547:F547"/>
    <mergeCell ref="A728:B728"/>
    <mergeCell ref="G647:L647"/>
    <mergeCell ref="G678:K678"/>
    <mergeCell ref="D582:D584"/>
    <mergeCell ref="E582:E584"/>
    <mergeCell ref="F582:F584"/>
    <mergeCell ref="K582:K584"/>
    <mergeCell ref="A609:A610"/>
    <mergeCell ref="B520:B521"/>
    <mergeCell ref="C520:C521"/>
    <mergeCell ref="A582:A585"/>
    <mergeCell ref="B582:B585"/>
    <mergeCell ref="C582:C585"/>
    <mergeCell ref="C598:C599"/>
    <mergeCell ref="C557:C558"/>
    <mergeCell ref="A550:A552"/>
    <mergeCell ref="B591:B592"/>
    <mergeCell ref="L524:L525"/>
    <mergeCell ref="L545:L546"/>
    <mergeCell ref="F545:F546"/>
    <mergeCell ref="K545:K546"/>
    <mergeCell ref="D532:E532"/>
    <mergeCell ref="G532:L532"/>
    <mergeCell ref="D559:D560"/>
    <mergeCell ref="F598:F599"/>
    <mergeCell ref="B598:B599"/>
    <mergeCell ref="F557:F558"/>
    <mergeCell ref="A517:A518"/>
    <mergeCell ref="E513:E514"/>
    <mergeCell ref="A520:A521"/>
    <mergeCell ref="G504:K504"/>
    <mergeCell ref="G471:K471"/>
    <mergeCell ref="D468:D471"/>
    <mergeCell ref="E468:E471"/>
    <mergeCell ref="F468:F471"/>
    <mergeCell ref="G472:K472"/>
    <mergeCell ref="K475:K478"/>
    <mergeCell ref="H500:H501"/>
    <mergeCell ref="C502:C506"/>
    <mergeCell ref="D502:D506"/>
    <mergeCell ref="E502:E506"/>
    <mergeCell ref="F502:F506"/>
    <mergeCell ref="C500:C501"/>
    <mergeCell ref="C468:C472"/>
    <mergeCell ref="B563:B573"/>
    <mergeCell ref="C563:C573"/>
    <mergeCell ref="B545:B548"/>
    <mergeCell ref="A561:A562"/>
    <mergeCell ref="B606:B608"/>
    <mergeCell ref="C606:C608"/>
    <mergeCell ref="D606:D608"/>
    <mergeCell ref="E606:E608"/>
    <mergeCell ref="D545:D546"/>
    <mergeCell ref="E545:E546"/>
    <mergeCell ref="C545:C548"/>
    <mergeCell ref="A598:A599"/>
    <mergeCell ref="A433:A434"/>
    <mergeCell ref="A559:A560"/>
    <mergeCell ref="E559:E560"/>
    <mergeCell ref="A563:A569"/>
    <mergeCell ref="A468:A472"/>
    <mergeCell ref="B468:B472"/>
    <mergeCell ref="A449:A450"/>
    <mergeCell ref="A473:A478"/>
    <mergeCell ref="A524:A532"/>
    <mergeCell ref="B524:B532"/>
    <mergeCell ref="D475:D478"/>
    <mergeCell ref="D530:E530"/>
    <mergeCell ref="B513:B515"/>
    <mergeCell ref="A587:A588"/>
    <mergeCell ref="B587:B588"/>
    <mergeCell ref="A591:A592"/>
    <mergeCell ref="C591:C592"/>
    <mergeCell ref="B496:B497"/>
    <mergeCell ref="C496:C497"/>
    <mergeCell ref="D473:D474"/>
    <mergeCell ref="E473:E474"/>
    <mergeCell ref="A489:A491"/>
    <mergeCell ref="B489:B491"/>
    <mergeCell ref="A456:A460"/>
    <mergeCell ref="B473:B478"/>
    <mergeCell ref="C473:C478"/>
    <mergeCell ref="E475:E478"/>
    <mergeCell ref="A577:A579"/>
    <mergeCell ref="C559:C560"/>
    <mergeCell ref="C561:C562"/>
    <mergeCell ref="D557:D558"/>
    <mergeCell ref="B550:B552"/>
    <mergeCell ref="C513:C515"/>
    <mergeCell ref="A557:A558"/>
    <mergeCell ref="B517:B518"/>
    <mergeCell ref="B508:B510"/>
    <mergeCell ref="M708:M709"/>
    <mergeCell ref="G725:K725"/>
    <mergeCell ref="G724:K724"/>
    <mergeCell ref="G657:K657"/>
    <mergeCell ref="G645:K645"/>
    <mergeCell ref="K561:K562"/>
    <mergeCell ref="G659:K659"/>
    <mergeCell ref="G660:K660"/>
    <mergeCell ref="G708:K709"/>
    <mergeCell ref="G719:K719"/>
    <mergeCell ref="G718:K718"/>
    <mergeCell ref="G644:L644"/>
    <mergeCell ref="G717:K717"/>
    <mergeCell ref="G683:K683"/>
    <mergeCell ref="G681:K681"/>
    <mergeCell ref="G682:K682"/>
    <mergeCell ref="L598:L599"/>
    <mergeCell ref="G592:K592"/>
    <mergeCell ref="G579:K579"/>
    <mergeCell ref="L563:L573"/>
    <mergeCell ref="L582:L584"/>
    <mergeCell ref="L631:L632"/>
    <mergeCell ref="K648:K650"/>
    <mergeCell ref="M707:Q707"/>
    <mergeCell ref="M559:M560"/>
    <mergeCell ref="L648:L650"/>
    <mergeCell ref="M648:M650"/>
    <mergeCell ref="L606:L607"/>
    <mergeCell ref="M582:M584"/>
    <mergeCell ref="M615:M616"/>
    <mergeCell ref="M598:M599"/>
    <mergeCell ref="M606:M607"/>
    <mergeCell ref="M587:M588"/>
    <mergeCell ref="L561:L562"/>
    <mergeCell ref="M631:M632"/>
    <mergeCell ref="L609:L610"/>
    <mergeCell ref="M669:M670"/>
    <mergeCell ref="L577:L578"/>
    <mergeCell ref="M617:M618"/>
    <mergeCell ref="M609:M610"/>
    <mergeCell ref="M577:M579"/>
    <mergeCell ref="L671:L672"/>
    <mergeCell ref="A152:A157"/>
    <mergeCell ref="C175:C179"/>
    <mergeCell ref="G722:K722"/>
    <mergeCell ref="G721:K721"/>
    <mergeCell ref="G612:K612"/>
    <mergeCell ref="G551:K551"/>
    <mergeCell ref="H598:H599"/>
    <mergeCell ref="K563:K573"/>
    <mergeCell ref="J598:J599"/>
    <mergeCell ref="G552:K552"/>
    <mergeCell ref="K606:K607"/>
    <mergeCell ref="K598:K599"/>
    <mergeCell ref="I598:I599"/>
    <mergeCell ref="A545:A548"/>
    <mergeCell ref="A513:A515"/>
    <mergeCell ref="A611:A613"/>
    <mergeCell ref="G613:K613"/>
    <mergeCell ref="C611:C613"/>
    <mergeCell ref="B611:B613"/>
    <mergeCell ref="B444:B446"/>
    <mergeCell ref="C444:C446"/>
    <mergeCell ref="G446:J446"/>
    <mergeCell ref="C524:C532"/>
    <mergeCell ref="A496:A497"/>
    <mergeCell ref="M231:M232"/>
    <mergeCell ref="L272:L273"/>
    <mergeCell ref="M272:Q272"/>
    <mergeCell ref="A247:A256"/>
    <mergeCell ref="B140:B147"/>
    <mergeCell ref="D98:D104"/>
    <mergeCell ref="C115:C116"/>
    <mergeCell ref="C131:C132"/>
    <mergeCell ref="A181:A183"/>
    <mergeCell ref="A218:A219"/>
    <mergeCell ref="A204:A206"/>
    <mergeCell ref="C208:C209"/>
    <mergeCell ref="B108:B110"/>
    <mergeCell ref="C108:C110"/>
    <mergeCell ref="A164:A167"/>
    <mergeCell ref="A208:A209"/>
    <mergeCell ref="B198:B201"/>
    <mergeCell ref="B204:B206"/>
    <mergeCell ref="B152:B157"/>
    <mergeCell ref="C152:C157"/>
    <mergeCell ref="C140:C147"/>
    <mergeCell ref="B175:B179"/>
    <mergeCell ref="A140:A144"/>
    <mergeCell ref="A161:A163"/>
    <mergeCell ref="M233:M234"/>
    <mergeCell ref="A158:A159"/>
    <mergeCell ref="B223:B225"/>
    <mergeCell ref="L165:L166"/>
    <mergeCell ref="E218:E219"/>
    <mergeCell ref="B233:B234"/>
    <mergeCell ref="K233:K234"/>
    <mergeCell ref="L233:L234"/>
    <mergeCell ref="C223:C225"/>
    <mergeCell ref="G213:G214"/>
    <mergeCell ref="H213:H214"/>
    <mergeCell ref="A231:A232"/>
    <mergeCell ref="F227:F228"/>
    <mergeCell ref="B231:B232"/>
    <mergeCell ref="C231:C232"/>
    <mergeCell ref="D231:D232"/>
    <mergeCell ref="E231:E232"/>
    <mergeCell ref="D227:D228"/>
    <mergeCell ref="E227:E228"/>
    <mergeCell ref="B158:B159"/>
    <mergeCell ref="D218:D219"/>
    <mergeCell ref="C181:C183"/>
    <mergeCell ref="H227:H228"/>
    <mergeCell ref="I213:I214"/>
    <mergeCell ref="B148:B149"/>
    <mergeCell ref="C148:C149"/>
    <mergeCell ref="G149:K149"/>
    <mergeCell ref="G155:J155"/>
    <mergeCell ref="G156:J157"/>
    <mergeCell ref="H177:K177"/>
    <mergeCell ref="H178:K178"/>
    <mergeCell ref="H249:J249"/>
    <mergeCell ref="C210:C211"/>
    <mergeCell ref="D165:F166"/>
    <mergeCell ref="C164:C167"/>
    <mergeCell ref="I204:I205"/>
    <mergeCell ref="H193:K193"/>
    <mergeCell ref="K161:K162"/>
    <mergeCell ref="B213:B214"/>
    <mergeCell ref="B247:B256"/>
    <mergeCell ref="C247:C256"/>
    <mergeCell ref="B161:B163"/>
    <mergeCell ref="G239:J239"/>
    <mergeCell ref="G240:J240"/>
    <mergeCell ref="G241:J241"/>
    <mergeCell ref="F247:F256"/>
    <mergeCell ref="G247:J247"/>
    <mergeCell ref="D247:D256"/>
    <mergeCell ref="B284:B286"/>
    <mergeCell ref="C284:C286"/>
    <mergeCell ref="H284:H286"/>
    <mergeCell ref="I284:I286"/>
    <mergeCell ref="J284:J286"/>
    <mergeCell ref="K284:K286"/>
    <mergeCell ref="L284:L286"/>
    <mergeCell ref="L292:L294"/>
    <mergeCell ref="G294:K294"/>
    <mergeCell ref="A303:A304"/>
    <mergeCell ref="B303:B304"/>
    <mergeCell ref="C303:C304"/>
    <mergeCell ref="D303:D304"/>
    <mergeCell ref="E303:E304"/>
    <mergeCell ref="F303:F304"/>
    <mergeCell ref="K303:K304"/>
    <mergeCell ref="L303:L304"/>
    <mergeCell ref="A292:A297"/>
    <mergeCell ref="K292:K293"/>
    <mergeCell ref="B292:B297"/>
    <mergeCell ref="C292:C297"/>
    <mergeCell ref="D292:D294"/>
    <mergeCell ref="E292:E294"/>
    <mergeCell ref="F292:F294"/>
    <mergeCell ref="A314:A315"/>
    <mergeCell ref="B314:B315"/>
    <mergeCell ref="C314:C315"/>
    <mergeCell ref="D314:D315"/>
    <mergeCell ref="E314:E315"/>
    <mergeCell ref="F314:F315"/>
    <mergeCell ref="A306:A309"/>
    <mergeCell ref="B306:B309"/>
    <mergeCell ref="C306:C309"/>
    <mergeCell ref="M318:M319"/>
    <mergeCell ref="A320:A321"/>
    <mergeCell ref="B320:B321"/>
    <mergeCell ref="C320:C321"/>
    <mergeCell ref="D320:D321"/>
    <mergeCell ref="E320:E321"/>
    <mergeCell ref="F320:F321"/>
    <mergeCell ref="K320:K321"/>
    <mergeCell ref="L320:L321"/>
    <mergeCell ref="A318:A319"/>
    <mergeCell ref="F322:F323"/>
    <mergeCell ref="E322:E323"/>
    <mergeCell ref="D322:D323"/>
    <mergeCell ref="M332:Q332"/>
    <mergeCell ref="A338:A339"/>
    <mergeCell ref="B338:B339"/>
    <mergeCell ref="C338:C339"/>
    <mergeCell ref="D338:D339"/>
    <mergeCell ref="E338:E339"/>
    <mergeCell ref="F338:F339"/>
    <mergeCell ref="M344:M345"/>
    <mergeCell ref="G346:G347"/>
    <mergeCell ref="H346:H347"/>
    <mergeCell ref="I346:I347"/>
    <mergeCell ref="J346:J347"/>
    <mergeCell ref="K346:K347"/>
    <mergeCell ref="L346:L347"/>
    <mergeCell ref="M346:M347"/>
    <mergeCell ref="A383:A384"/>
    <mergeCell ref="B383:B384"/>
    <mergeCell ref="K383:K384"/>
    <mergeCell ref="L383:L384"/>
    <mergeCell ref="A344:A347"/>
    <mergeCell ref="B344:B347"/>
    <mergeCell ref="C344:C347"/>
    <mergeCell ref="G344:G345"/>
    <mergeCell ref="H344:H345"/>
    <mergeCell ref="I344:I345"/>
    <mergeCell ref="J344:J345"/>
    <mergeCell ref="K344:K345"/>
    <mergeCell ref="L344:L345"/>
    <mergeCell ref="B371:B372"/>
    <mergeCell ref="M399:P399"/>
    <mergeCell ref="G403:G404"/>
    <mergeCell ref="H403:H404"/>
    <mergeCell ref="I403:I404"/>
    <mergeCell ref="J403:J404"/>
    <mergeCell ref="K403:K404"/>
    <mergeCell ref="L403:L404"/>
    <mergeCell ref="M403:M404"/>
    <mergeCell ref="A394:A395"/>
    <mergeCell ref="B394:B395"/>
    <mergeCell ref="C394:C395"/>
    <mergeCell ref="G395:K395"/>
    <mergeCell ref="A397:A398"/>
    <mergeCell ref="B397:B398"/>
    <mergeCell ref="C397:C398"/>
    <mergeCell ref="G397:G398"/>
    <mergeCell ref="H397:H398"/>
    <mergeCell ref="I397:I398"/>
    <mergeCell ref="J397:J398"/>
    <mergeCell ref="K397:K398"/>
    <mergeCell ref="A409:A413"/>
    <mergeCell ref="B409:B413"/>
    <mergeCell ref="C409:C413"/>
    <mergeCell ref="G409:K409"/>
    <mergeCell ref="M410:M411"/>
    <mergeCell ref="G412:L412"/>
    <mergeCell ref="D413:F413"/>
    <mergeCell ref="A406:A407"/>
    <mergeCell ref="B406:B407"/>
    <mergeCell ref="C406:C407"/>
    <mergeCell ref="D406:D407"/>
    <mergeCell ref="E406:E407"/>
    <mergeCell ref="F406:F407"/>
    <mergeCell ref="K406:K407"/>
    <mergeCell ref="L406:L407"/>
    <mergeCell ref="M406:M407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21"/>
  <sheetViews>
    <sheetView rightToLeft="1" tabSelected="1" zoomScale="60" zoomScaleNormal="60" workbookViewId="0">
      <pane ySplit="1" topLeftCell="A623" activePane="bottomLeft" state="frozen"/>
      <selection pane="bottomLeft" activeCell="F634" sqref="F634"/>
    </sheetView>
  </sheetViews>
  <sheetFormatPr defaultRowHeight="20.25" x14ac:dyDescent="0.2"/>
  <cols>
    <col min="1" max="1" width="5.75" style="5" customWidth="1"/>
    <col min="2" max="2" width="36.625" style="406" customWidth="1"/>
    <col min="3" max="3" width="15.625" style="353" customWidth="1"/>
    <col min="4" max="4" width="20.75" style="5" customWidth="1"/>
    <col min="5" max="5" width="11.75" style="5" customWidth="1"/>
    <col min="6" max="6" width="20.75" style="5" customWidth="1"/>
    <col min="7" max="7" width="13.625" customWidth="1"/>
    <col min="8" max="8" width="20.75" customWidth="1"/>
    <col min="9" max="9" width="24.875" customWidth="1"/>
    <col min="10" max="11" width="20.75" style="5" customWidth="1"/>
    <col min="12" max="12" width="134.875" style="406" customWidth="1"/>
  </cols>
  <sheetData>
    <row r="1" spans="1:12" ht="50.1" customHeight="1" x14ac:dyDescent="0.2">
      <c r="A1" s="1" t="s">
        <v>0</v>
      </c>
      <c r="B1" s="8" t="s">
        <v>1</v>
      </c>
      <c r="C1" s="351" t="s">
        <v>365</v>
      </c>
      <c r="D1" s="1" t="s">
        <v>274</v>
      </c>
      <c r="E1" s="1" t="s">
        <v>5</v>
      </c>
      <c r="F1" s="1" t="s">
        <v>282</v>
      </c>
      <c r="G1" s="1" t="s">
        <v>269</v>
      </c>
      <c r="H1" s="1" t="s">
        <v>4</v>
      </c>
      <c r="I1" s="1" t="s">
        <v>264</v>
      </c>
      <c r="J1" s="1" t="s">
        <v>283</v>
      </c>
      <c r="K1" s="10" t="s">
        <v>296</v>
      </c>
      <c r="L1" s="155" t="s">
        <v>271</v>
      </c>
    </row>
    <row r="2" spans="1:12" ht="30" customHeight="1" x14ac:dyDescent="0.2">
      <c r="A2" s="1862">
        <v>1</v>
      </c>
      <c r="B2" s="22" t="s">
        <v>1589</v>
      </c>
      <c r="C2" s="1870" t="s">
        <v>380</v>
      </c>
      <c r="D2" s="1867">
        <v>600000000</v>
      </c>
      <c r="E2" s="1868">
        <v>0.06</v>
      </c>
      <c r="F2" s="1867">
        <f>D2*E2</f>
        <v>36000000</v>
      </c>
      <c r="G2" s="1867">
        <v>36000000</v>
      </c>
      <c r="H2" s="1867" t="s">
        <v>3811</v>
      </c>
      <c r="I2" s="1873" t="s">
        <v>1927</v>
      </c>
      <c r="J2" s="1867">
        <f>G2</f>
        <v>36000000</v>
      </c>
      <c r="K2" s="1867">
        <f>F2-J2</f>
        <v>0</v>
      </c>
      <c r="L2" s="1866"/>
    </row>
    <row r="3" spans="1:12" ht="30" customHeight="1" x14ac:dyDescent="0.2">
      <c r="A3" s="1596">
        <v>2</v>
      </c>
      <c r="B3" s="1872" t="s">
        <v>287</v>
      </c>
      <c r="C3" s="1564"/>
      <c r="D3" s="1540">
        <v>300000000</v>
      </c>
      <c r="E3" s="1863">
        <v>0.05</v>
      </c>
      <c r="F3" s="1540">
        <f>D3*E3</f>
        <v>15000000</v>
      </c>
      <c r="G3" s="1540">
        <v>15000000</v>
      </c>
      <c r="H3" s="1540" t="s">
        <v>3708</v>
      </c>
      <c r="I3" s="24" t="s">
        <v>1891</v>
      </c>
      <c r="J3" s="1540">
        <f>G3</f>
        <v>15000000</v>
      </c>
      <c r="K3" s="1540">
        <f>F3-J3</f>
        <v>0</v>
      </c>
      <c r="L3" s="1592"/>
    </row>
    <row r="4" spans="1:12" ht="30" customHeight="1" x14ac:dyDescent="0.2">
      <c r="A4" s="1596">
        <v>3</v>
      </c>
      <c r="B4" s="22" t="s">
        <v>290</v>
      </c>
      <c r="C4" s="1564" t="s">
        <v>367</v>
      </c>
      <c r="D4" s="1540">
        <v>36000000</v>
      </c>
      <c r="E4" s="1593">
        <v>7.0000000000000007E-2</v>
      </c>
      <c r="F4" s="1540">
        <v>2500000</v>
      </c>
      <c r="G4" s="1540">
        <v>2500000</v>
      </c>
      <c r="H4" s="1540" t="s">
        <v>3708</v>
      </c>
      <c r="I4" s="28" t="s">
        <v>3720</v>
      </c>
      <c r="J4" s="1540">
        <f>G4</f>
        <v>2500000</v>
      </c>
      <c r="K4" s="1540">
        <f>F4-J4</f>
        <v>0</v>
      </c>
      <c r="L4" s="1592"/>
    </row>
    <row r="5" spans="1:12" ht="30" customHeight="1" x14ac:dyDescent="0.2">
      <c r="A5" s="2031">
        <v>4</v>
      </c>
      <c r="B5" s="2029" t="s">
        <v>315</v>
      </c>
      <c r="C5" s="2149"/>
      <c r="D5" s="1540">
        <v>535000000</v>
      </c>
      <c r="E5" s="1593">
        <v>5.7000000000000002E-2</v>
      </c>
      <c r="F5" s="1540">
        <v>30000000</v>
      </c>
      <c r="G5" s="1540">
        <v>30000000</v>
      </c>
      <c r="H5" s="1540" t="s">
        <v>3646</v>
      </c>
      <c r="I5" s="28" t="s">
        <v>1639</v>
      </c>
      <c r="J5" s="1540">
        <f>G5</f>
        <v>30000000</v>
      </c>
      <c r="K5" s="1540">
        <f>F5-J5</f>
        <v>0</v>
      </c>
      <c r="L5" s="1592"/>
    </row>
    <row r="6" spans="1:12" ht="30" customHeight="1" x14ac:dyDescent="0.2">
      <c r="A6" s="2034"/>
      <c r="B6" s="2033"/>
      <c r="C6" s="2158"/>
      <c r="D6" s="1637"/>
      <c r="E6" s="1649"/>
      <c r="F6" s="1637"/>
      <c r="G6" s="2154" t="s">
        <v>3562</v>
      </c>
      <c r="H6" s="2155"/>
      <c r="I6" s="2155"/>
      <c r="J6" s="2156"/>
      <c r="K6" s="1637"/>
      <c r="L6" s="1651"/>
    </row>
    <row r="7" spans="1:12" ht="30" customHeight="1" x14ac:dyDescent="0.2">
      <c r="A7" s="2032"/>
      <c r="B7" s="2030"/>
      <c r="C7" s="2150"/>
      <c r="D7" s="1637"/>
      <c r="E7" s="1649"/>
      <c r="F7" s="1637"/>
      <c r="G7" s="2154" t="s">
        <v>3563</v>
      </c>
      <c r="H7" s="2155"/>
      <c r="I7" s="2155"/>
      <c r="J7" s="2156"/>
      <c r="K7" s="1637"/>
      <c r="L7" s="1651"/>
    </row>
    <row r="8" spans="1:12" ht="30" customHeight="1" x14ac:dyDescent="0.2">
      <c r="A8" s="1659"/>
      <c r="B8" s="1656"/>
      <c r="C8" s="1672"/>
      <c r="D8" s="1663">
        <v>700000000</v>
      </c>
      <c r="E8" s="1682"/>
      <c r="F8" s="1663"/>
      <c r="G8" s="2154" t="s">
        <v>3623</v>
      </c>
      <c r="H8" s="2155"/>
      <c r="I8" s="2155"/>
      <c r="J8" s="2156"/>
      <c r="K8" s="1663"/>
      <c r="L8" s="1681"/>
    </row>
    <row r="9" spans="1:12" ht="30" customHeight="1" x14ac:dyDescent="0.2">
      <c r="A9" s="1596">
        <v>5</v>
      </c>
      <c r="B9" s="22" t="s">
        <v>323</v>
      </c>
      <c r="C9" s="1564" t="s">
        <v>380</v>
      </c>
      <c r="D9" s="1540">
        <v>20000000</v>
      </c>
      <c r="E9" s="1593">
        <v>7.0000000000000007E-2</v>
      </c>
      <c r="F9" s="1540">
        <v>1400000</v>
      </c>
      <c r="G9" s="1540">
        <v>1400000</v>
      </c>
      <c r="H9" s="1540" t="s">
        <v>3708</v>
      </c>
      <c r="I9" s="28" t="s">
        <v>1956</v>
      </c>
      <c r="J9" s="1540">
        <f t="shared" ref="J9:J14" si="0">G9</f>
        <v>1400000</v>
      </c>
      <c r="K9" s="1540">
        <f t="shared" ref="K9:K14" si="1">F9-J9</f>
        <v>0</v>
      </c>
      <c r="L9" s="33" t="s">
        <v>326</v>
      </c>
    </row>
    <row r="10" spans="1:12" ht="30" customHeight="1" x14ac:dyDescent="0.2">
      <c r="A10" s="1533">
        <v>6</v>
      </c>
      <c r="B10" s="1591" t="s">
        <v>416</v>
      </c>
      <c r="C10" s="1563"/>
      <c r="D10" s="1540">
        <v>15000000</v>
      </c>
      <c r="E10" s="1593">
        <v>0.05</v>
      </c>
      <c r="F10" s="1540">
        <f t="shared" ref="F10:F16" si="2">D10*E10</f>
        <v>750000</v>
      </c>
      <c r="G10" s="1540"/>
      <c r="H10" s="1540"/>
      <c r="I10" s="28"/>
      <c r="J10" s="1540">
        <f t="shared" si="0"/>
        <v>0</v>
      </c>
      <c r="K10" s="1540">
        <f t="shared" si="1"/>
        <v>750000</v>
      </c>
      <c r="L10" s="686"/>
    </row>
    <row r="11" spans="1:12" ht="30" customHeight="1" x14ac:dyDescent="0.2">
      <c r="A11" s="1533">
        <v>7</v>
      </c>
      <c r="B11" s="1591" t="s">
        <v>104</v>
      </c>
      <c r="C11" s="1563" t="s">
        <v>916</v>
      </c>
      <c r="D11" s="1540">
        <v>45000000</v>
      </c>
      <c r="E11" s="1593">
        <v>0.05</v>
      </c>
      <c r="F11" s="1540">
        <f t="shared" si="2"/>
        <v>2250000</v>
      </c>
      <c r="G11" s="1540">
        <v>2250000</v>
      </c>
      <c r="H11" s="1540" t="s">
        <v>3564</v>
      </c>
      <c r="I11" s="30" t="s">
        <v>3567</v>
      </c>
      <c r="J11" s="1540">
        <f t="shared" si="0"/>
        <v>2250000</v>
      </c>
      <c r="K11" s="1540">
        <f t="shared" si="1"/>
        <v>0</v>
      </c>
      <c r="L11" s="794"/>
    </row>
    <row r="12" spans="1:12" ht="30" customHeight="1" x14ac:dyDescent="0.2">
      <c r="A12" s="1533">
        <v>8</v>
      </c>
      <c r="B12" s="22" t="s">
        <v>356</v>
      </c>
      <c r="C12" s="1595" t="s">
        <v>1346</v>
      </c>
      <c r="D12" s="1565">
        <v>400000000</v>
      </c>
      <c r="E12" s="1593">
        <v>4.4999999999999998E-2</v>
      </c>
      <c r="F12" s="1565">
        <f t="shared" si="2"/>
        <v>18000000</v>
      </c>
      <c r="G12" s="1565">
        <v>18000000</v>
      </c>
      <c r="H12" s="1540" t="s">
        <v>3827</v>
      </c>
      <c r="I12" s="28" t="s">
        <v>2165</v>
      </c>
      <c r="J12" s="1540">
        <f t="shared" si="0"/>
        <v>18000000</v>
      </c>
      <c r="K12" s="1565">
        <f t="shared" si="1"/>
        <v>0</v>
      </c>
      <c r="L12" s="1541"/>
    </row>
    <row r="13" spans="1:12" ht="30" customHeight="1" x14ac:dyDescent="0.2">
      <c r="A13" s="1596">
        <v>9</v>
      </c>
      <c r="B13" s="1592" t="s">
        <v>387</v>
      </c>
      <c r="C13" s="1564" t="s">
        <v>379</v>
      </c>
      <c r="D13" s="1540">
        <v>10000000</v>
      </c>
      <c r="E13" s="1537">
        <v>0.05</v>
      </c>
      <c r="F13" s="1540">
        <f t="shared" si="2"/>
        <v>500000</v>
      </c>
      <c r="G13" s="1540">
        <v>500000</v>
      </c>
      <c r="H13" s="1540" t="s">
        <v>3708</v>
      </c>
      <c r="I13" s="28" t="s">
        <v>1031</v>
      </c>
      <c r="J13" s="1540">
        <f t="shared" si="0"/>
        <v>500000</v>
      </c>
      <c r="K13" s="1540">
        <f t="shared" si="1"/>
        <v>0</v>
      </c>
      <c r="L13" s="33"/>
    </row>
    <row r="14" spans="1:12" ht="30" customHeight="1" x14ac:dyDescent="0.2">
      <c r="A14" s="1596">
        <v>10</v>
      </c>
      <c r="B14" s="1591" t="s">
        <v>1029</v>
      </c>
      <c r="C14" s="1595" t="s">
        <v>1913</v>
      </c>
      <c r="D14" s="1540">
        <v>180000000</v>
      </c>
      <c r="E14" s="1593">
        <v>7.0000000000000007E-2</v>
      </c>
      <c r="F14" s="1540">
        <f t="shared" si="2"/>
        <v>12600000.000000002</v>
      </c>
      <c r="G14" s="1540">
        <v>12600000</v>
      </c>
      <c r="H14" s="1540" t="s">
        <v>3923</v>
      </c>
      <c r="I14" s="28" t="s">
        <v>2507</v>
      </c>
      <c r="J14" s="1540">
        <f t="shared" si="0"/>
        <v>12600000</v>
      </c>
      <c r="K14" s="1540">
        <f t="shared" si="1"/>
        <v>0</v>
      </c>
      <c r="L14" s="192" t="s">
        <v>3341</v>
      </c>
    </row>
    <row r="15" spans="1:12" ht="30" customHeight="1" x14ac:dyDescent="0.2">
      <c r="A15" s="2031">
        <v>11</v>
      </c>
      <c r="B15" s="2267" t="s">
        <v>402</v>
      </c>
      <c r="C15" s="1564" t="s">
        <v>367</v>
      </c>
      <c r="D15" s="1565">
        <v>15000000</v>
      </c>
      <c r="E15" s="1593">
        <v>7.0000000000000007E-2</v>
      </c>
      <c r="F15" s="1565">
        <f t="shared" si="2"/>
        <v>1050000</v>
      </c>
      <c r="G15" s="1540">
        <v>1050000</v>
      </c>
      <c r="H15" s="1540" t="s">
        <v>3827</v>
      </c>
      <c r="I15" s="30" t="s">
        <v>3828</v>
      </c>
      <c r="J15" s="2040">
        <f>G15+G16</f>
        <v>1050000</v>
      </c>
      <c r="K15" s="2040">
        <f>(F15+F16)-J15</f>
        <v>250000</v>
      </c>
      <c r="L15" s="2043"/>
    </row>
    <row r="16" spans="1:12" ht="30" customHeight="1" x14ac:dyDescent="0.2">
      <c r="A16" s="2034"/>
      <c r="B16" s="2267"/>
      <c r="C16" s="1564" t="s">
        <v>1110</v>
      </c>
      <c r="D16" s="1565">
        <v>5000000</v>
      </c>
      <c r="E16" s="1593">
        <v>0.05</v>
      </c>
      <c r="F16" s="1565">
        <f t="shared" si="2"/>
        <v>250000</v>
      </c>
      <c r="G16" s="1540"/>
      <c r="H16" s="1540"/>
      <c r="I16" s="57"/>
      <c r="J16" s="2042"/>
      <c r="K16" s="2042"/>
      <c r="L16" s="2045"/>
    </row>
    <row r="17" spans="1:12" ht="30" customHeight="1" x14ac:dyDescent="0.2">
      <c r="A17" s="2268">
        <v>12</v>
      </c>
      <c r="B17" s="2029" t="s">
        <v>408</v>
      </c>
      <c r="C17" s="1564" t="s">
        <v>1215</v>
      </c>
      <c r="D17" s="1540">
        <v>75000000</v>
      </c>
      <c r="E17" s="1537"/>
      <c r="F17" s="1540">
        <v>3750000</v>
      </c>
      <c r="G17" s="1540">
        <v>3750000</v>
      </c>
      <c r="H17" s="1540" t="s">
        <v>3568</v>
      </c>
      <c r="I17" s="57" t="s">
        <v>410</v>
      </c>
      <c r="J17" s="1540">
        <f>G17</f>
        <v>3750000</v>
      </c>
      <c r="K17" s="1540">
        <f>F17-J17</f>
        <v>0</v>
      </c>
      <c r="L17" s="1854" t="s">
        <v>3866</v>
      </c>
    </row>
    <row r="18" spans="1:12" ht="30" customHeight="1" x14ac:dyDescent="0.2">
      <c r="A18" s="2268"/>
      <c r="B18" s="2030"/>
      <c r="C18" s="1870"/>
      <c r="D18" s="2240"/>
      <c r="E18" s="2241"/>
      <c r="F18" s="2242"/>
      <c r="G18" s="1864">
        <v>22000000</v>
      </c>
      <c r="H18" s="1864" t="s">
        <v>2741</v>
      </c>
      <c r="I18" s="1886" t="s">
        <v>3880</v>
      </c>
      <c r="J18" s="1864">
        <f>G18</f>
        <v>22000000</v>
      </c>
      <c r="K18" s="1864"/>
      <c r="L18" s="1875"/>
    </row>
    <row r="19" spans="1:12" ht="30" customHeight="1" x14ac:dyDescent="0.2">
      <c r="A19" s="2034"/>
      <c r="B19" s="2029" t="s">
        <v>429</v>
      </c>
      <c r="C19" s="2158" t="s">
        <v>367</v>
      </c>
      <c r="D19" s="1540">
        <v>80000000</v>
      </c>
      <c r="E19" s="1537">
        <v>0.06</v>
      </c>
      <c r="F19" s="1540">
        <f t="shared" ref="F19:F25" si="3">D19*E19</f>
        <v>4800000</v>
      </c>
      <c r="G19" s="2344">
        <v>11800000</v>
      </c>
      <c r="H19" s="2344" t="s">
        <v>3733</v>
      </c>
      <c r="I19" s="2344" t="s">
        <v>2070</v>
      </c>
      <c r="J19" s="2040">
        <f>G19</f>
        <v>11800000</v>
      </c>
      <c r="K19" s="2040">
        <f>(F19+F20)-J19</f>
        <v>0</v>
      </c>
      <c r="L19" s="2051" t="s">
        <v>2873</v>
      </c>
    </row>
    <row r="20" spans="1:12" ht="30" customHeight="1" x14ac:dyDescent="0.2">
      <c r="A20" s="2032"/>
      <c r="B20" s="2030"/>
      <c r="C20" s="2150"/>
      <c r="D20" s="1540">
        <v>100000000</v>
      </c>
      <c r="E20" s="1537">
        <v>7.0000000000000007E-2</v>
      </c>
      <c r="F20" s="1540">
        <f t="shared" si="3"/>
        <v>7000000.0000000009</v>
      </c>
      <c r="G20" s="2345"/>
      <c r="H20" s="2345"/>
      <c r="I20" s="2345"/>
      <c r="J20" s="2042"/>
      <c r="K20" s="2042"/>
      <c r="L20" s="2052"/>
    </row>
    <row r="21" spans="1:12" ht="30" customHeight="1" x14ac:dyDescent="0.2">
      <c r="A21" s="1535">
        <v>14</v>
      </c>
      <c r="B21" s="1532" t="s">
        <v>437</v>
      </c>
      <c r="C21" s="1564" t="s">
        <v>1355</v>
      </c>
      <c r="D21" s="1540">
        <v>150000000</v>
      </c>
      <c r="E21" s="1537">
        <v>0.04</v>
      </c>
      <c r="F21" s="1540">
        <f t="shared" si="3"/>
        <v>6000000</v>
      </c>
      <c r="G21" s="1540">
        <v>6000000</v>
      </c>
      <c r="H21" s="1540" t="s">
        <v>3733</v>
      </c>
      <c r="I21" s="69" t="s">
        <v>439</v>
      </c>
      <c r="J21" s="1540">
        <f t="shared" ref="J21:J26" si="4">G21</f>
        <v>6000000</v>
      </c>
      <c r="K21" s="1540">
        <f t="shared" ref="K21:K26" si="5">F21-J21</f>
        <v>0</v>
      </c>
      <c r="L21" s="1542"/>
    </row>
    <row r="22" spans="1:12" ht="30" customHeight="1" x14ac:dyDescent="0.2">
      <c r="A22" s="1535">
        <v>15</v>
      </c>
      <c r="B22" s="1532" t="s">
        <v>445</v>
      </c>
      <c r="C22" s="1564"/>
      <c r="D22" s="1540">
        <v>13000000</v>
      </c>
      <c r="E22" s="1537">
        <v>0.05</v>
      </c>
      <c r="F22" s="1540">
        <f t="shared" si="3"/>
        <v>650000</v>
      </c>
      <c r="G22" s="1540">
        <v>650000</v>
      </c>
      <c r="H22" s="1540" t="s">
        <v>3757</v>
      </c>
      <c r="I22" s="69" t="s">
        <v>3758</v>
      </c>
      <c r="J22" s="1540">
        <f t="shared" si="4"/>
        <v>650000</v>
      </c>
      <c r="K22" s="1540">
        <f t="shared" si="5"/>
        <v>0</v>
      </c>
      <c r="L22" s="1542"/>
    </row>
    <row r="23" spans="1:12" ht="30" customHeight="1" x14ac:dyDescent="0.2">
      <c r="A23" s="1596">
        <v>16</v>
      </c>
      <c r="B23" s="22" t="s">
        <v>498</v>
      </c>
      <c r="C23" s="1595"/>
      <c r="D23" s="1565">
        <v>80000000</v>
      </c>
      <c r="E23" s="1593">
        <v>0.04</v>
      </c>
      <c r="F23" s="1565">
        <f t="shared" si="3"/>
        <v>3200000</v>
      </c>
      <c r="G23" s="1644">
        <v>3200000</v>
      </c>
      <c r="H23" s="1644" t="s">
        <v>3581</v>
      </c>
      <c r="I23" s="1693" t="s">
        <v>2702</v>
      </c>
      <c r="J23" s="1644">
        <f t="shared" si="4"/>
        <v>3200000</v>
      </c>
      <c r="K23" s="1565">
        <f t="shared" si="5"/>
        <v>0</v>
      </c>
      <c r="L23" s="53"/>
    </row>
    <row r="24" spans="1:12" ht="30" customHeight="1" x14ac:dyDescent="0.2">
      <c r="A24" s="1535">
        <v>17</v>
      </c>
      <c r="B24" s="1532" t="s">
        <v>768</v>
      </c>
      <c r="C24" s="1564" t="s">
        <v>1344</v>
      </c>
      <c r="D24" s="1540">
        <v>100000000</v>
      </c>
      <c r="E24" s="1537">
        <v>0.06</v>
      </c>
      <c r="F24" s="1540">
        <f t="shared" si="3"/>
        <v>6000000</v>
      </c>
      <c r="G24" s="1540">
        <v>6000000</v>
      </c>
      <c r="H24" s="1540" t="s">
        <v>3844</v>
      </c>
      <c r="I24" s="69" t="s">
        <v>3352</v>
      </c>
      <c r="J24" s="1540">
        <f t="shared" si="4"/>
        <v>6000000</v>
      </c>
      <c r="K24" s="1540">
        <f t="shared" si="5"/>
        <v>0</v>
      </c>
      <c r="L24" s="1542"/>
    </row>
    <row r="25" spans="1:12" ht="30" customHeight="1" x14ac:dyDescent="0.2">
      <c r="A25" s="1535">
        <v>18</v>
      </c>
      <c r="B25" s="1532" t="s">
        <v>567</v>
      </c>
      <c r="C25" s="1564" t="s">
        <v>1355</v>
      </c>
      <c r="D25" s="1540">
        <v>50000000</v>
      </c>
      <c r="E25" s="1537">
        <v>0.05</v>
      </c>
      <c r="F25" s="1540">
        <f t="shared" si="3"/>
        <v>2500000</v>
      </c>
      <c r="G25" s="1540">
        <v>2500000</v>
      </c>
      <c r="H25" s="1540" t="s">
        <v>3745</v>
      </c>
      <c r="I25" s="69" t="s">
        <v>3118</v>
      </c>
      <c r="J25" s="1540">
        <f t="shared" si="4"/>
        <v>2500000</v>
      </c>
      <c r="K25" s="1540">
        <f t="shared" si="5"/>
        <v>0</v>
      </c>
      <c r="L25" s="1542"/>
    </row>
    <row r="26" spans="1:12" ht="30" customHeight="1" x14ac:dyDescent="0.2">
      <c r="A26" s="2031">
        <v>19</v>
      </c>
      <c r="B26" s="2267" t="s">
        <v>574</v>
      </c>
      <c r="C26" s="2266"/>
      <c r="D26" s="1812">
        <v>50000000</v>
      </c>
      <c r="E26" s="2049">
        <f>F26/(D26+D27)</f>
        <v>0.05</v>
      </c>
      <c r="F26" s="2055">
        <v>3250000</v>
      </c>
      <c r="G26" s="2040">
        <v>3250000</v>
      </c>
      <c r="H26" s="2040" t="s">
        <v>3811</v>
      </c>
      <c r="I26" s="2164" t="s">
        <v>3820</v>
      </c>
      <c r="J26" s="2040">
        <f t="shared" si="4"/>
        <v>3250000</v>
      </c>
      <c r="K26" s="2040">
        <f t="shared" si="5"/>
        <v>0</v>
      </c>
      <c r="L26" s="1826" t="s">
        <v>2125</v>
      </c>
    </row>
    <row r="27" spans="1:12" ht="30" customHeight="1" x14ac:dyDescent="0.2">
      <c r="A27" s="2034"/>
      <c r="B27" s="2267"/>
      <c r="C27" s="2266"/>
      <c r="D27" s="1812">
        <v>15000000</v>
      </c>
      <c r="E27" s="2050"/>
      <c r="F27" s="2056"/>
      <c r="G27" s="2042"/>
      <c r="H27" s="2042"/>
      <c r="I27" s="2165"/>
      <c r="J27" s="2042"/>
      <c r="K27" s="2042"/>
      <c r="L27" s="1826" t="s">
        <v>3056</v>
      </c>
    </row>
    <row r="28" spans="1:12" ht="30" customHeight="1" x14ac:dyDescent="0.2">
      <c r="A28" s="1535">
        <v>20</v>
      </c>
      <c r="B28" s="1532" t="s">
        <v>621</v>
      </c>
      <c r="C28" s="1564"/>
      <c r="D28" s="1540">
        <v>32000000</v>
      </c>
      <c r="E28" s="1537">
        <v>0.05</v>
      </c>
      <c r="F28" s="1540">
        <v>1600000</v>
      </c>
      <c r="G28" s="2040"/>
      <c r="H28" s="2040"/>
      <c r="I28" s="2164"/>
      <c r="J28" s="2040">
        <f>G28</f>
        <v>0</v>
      </c>
      <c r="K28" s="2040">
        <f>(F28+F29)-J28</f>
        <v>2050000</v>
      </c>
      <c r="L28" s="2188"/>
    </row>
    <row r="29" spans="1:12" ht="30" customHeight="1" x14ac:dyDescent="0.2">
      <c r="A29" s="1535">
        <v>21</v>
      </c>
      <c r="B29" s="1532" t="s">
        <v>1642</v>
      </c>
      <c r="C29" s="1564"/>
      <c r="D29" s="1540">
        <v>10000000</v>
      </c>
      <c r="E29" s="1537">
        <v>4.4999999999999998E-2</v>
      </c>
      <c r="F29" s="1540">
        <f>D29*E29</f>
        <v>450000</v>
      </c>
      <c r="G29" s="2042"/>
      <c r="H29" s="2042"/>
      <c r="I29" s="2165"/>
      <c r="J29" s="2042"/>
      <c r="K29" s="2042"/>
      <c r="L29" s="2190"/>
    </row>
    <row r="30" spans="1:12" ht="30" customHeight="1" x14ac:dyDescent="0.2">
      <c r="A30" s="1535">
        <v>22</v>
      </c>
      <c r="B30" s="22" t="s">
        <v>674</v>
      </c>
      <c r="C30" s="1595" t="s">
        <v>1342</v>
      </c>
      <c r="D30" s="1540">
        <v>300000000</v>
      </c>
      <c r="E30" s="1537">
        <v>0.05</v>
      </c>
      <c r="F30" s="1540">
        <f>D30*E30</f>
        <v>15000000</v>
      </c>
      <c r="G30" s="1540">
        <v>15000000</v>
      </c>
      <c r="H30" s="1540" t="s">
        <v>3844</v>
      </c>
      <c r="I30" s="69" t="s">
        <v>2298</v>
      </c>
      <c r="J30" s="1565">
        <f>G30</f>
        <v>15000000</v>
      </c>
      <c r="K30" s="1565">
        <f>F30-J30</f>
        <v>0</v>
      </c>
      <c r="L30" s="53"/>
    </row>
    <row r="31" spans="1:12" ht="30" customHeight="1" x14ac:dyDescent="0.2">
      <c r="A31" s="1093">
        <v>23</v>
      </c>
      <c r="B31" s="22" t="s">
        <v>2251</v>
      </c>
      <c r="C31" s="1792" t="s">
        <v>2134</v>
      </c>
      <c r="D31" s="1540">
        <v>150000000</v>
      </c>
      <c r="E31" s="1537">
        <v>7.0000000000000007E-2</v>
      </c>
      <c r="F31" s="1540">
        <f>D31*E31</f>
        <v>10500000.000000002</v>
      </c>
      <c r="G31" s="1845">
        <v>10500000</v>
      </c>
      <c r="H31" s="1848" t="s">
        <v>3844</v>
      </c>
      <c r="I31" s="69" t="s">
        <v>3856</v>
      </c>
      <c r="J31" s="1849">
        <f>G31</f>
        <v>10500000</v>
      </c>
      <c r="K31" s="1565">
        <f>F31-G31</f>
        <v>0</v>
      </c>
      <c r="L31" s="686"/>
    </row>
    <row r="32" spans="1:12" ht="30" customHeight="1" x14ac:dyDescent="0.2">
      <c r="A32" s="1093"/>
      <c r="B32" s="22" t="s">
        <v>3769</v>
      </c>
      <c r="C32" s="1792" t="s">
        <v>2134</v>
      </c>
      <c r="D32" s="1770">
        <v>70000000</v>
      </c>
      <c r="E32" s="1771">
        <v>0.06</v>
      </c>
      <c r="F32" s="1770">
        <f>D32*E32</f>
        <v>4200000</v>
      </c>
      <c r="G32" s="1845">
        <v>950000</v>
      </c>
      <c r="H32" s="1848" t="s">
        <v>3844</v>
      </c>
      <c r="I32" s="69" t="s">
        <v>3857</v>
      </c>
      <c r="J32" s="1849">
        <f>G32</f>
        <v>950000</v>
      </c>
      <c r="K32" s="1770">
        <v>0</v>
      </c>
      <c r="L32" s="33" t="s">
        <v>3858</v>
      </c>
    </row>
    <row r="33" spans="1:14" ht="30" customHeight="1" x14ac:dyDescent="0.2">
      <c r="A33" s="1535">
        <v>24</v>
      </c>
      <c r="B33" s="1532" t="s">
        <v>722</v>
      </c>
      <c r="C33" s="1564"/>
      <c r="D33" s="1540">
        <v>40000000</v>
      </c>
      <c r="E33" s="1537">
        <v>0.05</v>
      </c>
      <c r="F33" s="1540">
        <f>D33*E33</f>
        <v>2000000</v>
      </c>
      <c r="G33" s="1540"/>
      <c r="H33" s="1555"/>
      <c r="I33" s="69"/>
      <c r="J33" s="1540"/>
      <c r="K33" s="1540">
        <f>F33-J33</f>
        <v>2000000</v>
      </c>
      <c r="L33" s="1546" t="s">
        <v>2597</v>
      </c>
    </row>
    <row r="34" spans="1:14" ht="30" customHeight="1" x14ac:dyDescent="0.2">
      <c r="A34" s="1535">
        <v>25</v>
      </c>
      <c r="B34" s="1532" t="s">
        <v>738</v>
      </c>
      <c r="C34" s="1564" t="s">
        <v>1351</v>
      </c>
      <c r="D34" s="1540">
        <v>35000000</v>
      </c>
      <c r="E34" s="1537">
        <v>5.8000000000000003E-2</v>
      </c>
      <c r="F34" s="1540">
        <v>2000000</v>
      </c>
      <c r="G34" s="1540">
        <v>2000000</v>
      </c>
      <c r="H34" s="1555" t="s">
        <v>1232</v>
      </c>
      <c r="I34" s="69" t="s">
        <v>2318</v>
      </c>
      <c r="J34" s="1540">
        <f>G34</f>
        <v>2000000</v>
      </c>
      <c r="K34" s="1540">
        <f>F34-G34</f>
        <v>0</v>
      </c>
      <c r="L34" s="1546"/>
    </row>
    <row r="35" spans="1:14" ht="30" customHeight="1" x14ac:dyDescent="0.2">
      <c r="A35" s="2268">
        <v>26</v>
      </c>
      <c r="B35" s="2459" t="s">
        <v>828</v>
      </c>
      <c r="C35" s="2266" t="s">
        <v>1821</v>
      </c>
      <c r="D35" s="1809">
        <v>500000000</v>
      </c>
      <c r="E35" s="480">
        <v>4.4999999999999998E-2</v>
      </c>
      <c r="F35" s="1809">
        <f t="shared" ref="F35:F45" si="6">D35*E35</f>
        <v>22500000</v>
      </c>
      <c r="G35" s="247">
        <v>22500000</v>
      </c>
      <c r="H35" s="1565" t="s">
        <v>3632</v>
      </c>
      <c r="I35" s="688" t="s">
        <v>3300</v>
      </c>
      <c r="J35" s="1571">
        <f>G35</f>
        <v>22500000</v>
      </c>
      <c r="K35" s="1565">
        <f t="shared" ref="K35:K45" si="7">F35-J35</f>
        <v>0</v>
      </c>
      <c r="L35" s="686"/>
    </row>
    <row r="36" spans="1:14" ht="30" customHeight="1" x14ac:dyDescent="0.2">
      <c r="A36" s="2268"/>
      <c r="B36" s="2459"/>
      <c r="C36" s="2266"/>
      <c r="D36" s="1816">
        <v>386000000</v>
      </c>
      <c r="E36" s="1819">
        <v>0.05</v>
      </c>
      <c r="F36" s="1816">
        <f t="shared" si="6"/>
        <v>19300000</v>
      </c>
      <c r="G36" s="247">
        <v>36000000</v>
      </c>
      <c r="H36" s="1673" t="s">
        <v>3610</v>
      </c>
      <c r="I36" s="688" t="s">
        <v>3617</v>
      </c>
      <c r="J36" s="1675">
        <f t="shared" ref="J36" si="8">G36</f>
        <v>36000000</v>
      </c>
      <c r="K36" s="1565">
        <f t="shared" si="7"/>
        <v>-16700000</v>
      </c>
      <c r="L36" s="192" t="s">
        <v>3618</v>
      </c>
    </row>
    <row r="37" spans="1:14" ht="30" customHeight="1" x14ac:dyDescent="0.2">
      <c r="A37" s="2268"/>
      <c r="B37" s="2459"/>
      <c r="C37" s="2266"/>
      <c r="D37" s="1809">
        <v>350000000</v>
      </c>
      <c r="E37" s="480">
        <v>0.05</v>
      </c>
      <c r="F37" s="1809">
        <f t="shared" si="6"/>
        <v>17500000</v>
      </c>
      <c r="G37" s="247"/>
      <c r="H37" s="1673"/>
      <c r="I37" s="688"/>
      <c r="J37" s="1675"/>
      <c r="K37" s="1661"/>
      <c r="L37" s="192"/>
    </row>
    <row r="38" spans="1:14" ht="30" customHeight="1" x14ac:dyDescent="0.2">
      <c r="A38" s="2031"/>
      <c r="B38" s="2395" t="s">
        <v>828</v>
      </c>
      <c r="C38" s="2149" t="s">
        <v>1821</v>
      </c>
      <c r="D38" s="2097" t="s">
        <v>3879</v>
      </c>
      <c r="E38" s="2195"/>
      <c r="F38" s="2098"/>
      <c r="G38" s="247">
        <v>37500000</v>
      </c>
      <c r="H38" s="1867" t="s">
        <v>2741</v>
      </c>
      <c r="I38" s="688" t="s">
        <v>3300</v>
      </c>
      <c r="J38" s="2244">
        <f>G38+G39</f>
        <v>57500000</v>
      </c>
      <c r="K38" s="2040">
        <f>57500000-J38</f>
        <v>0</v>
      </c>
      <c r="L38" s="192"/>
    </row>
    <row r="39" spans="1:14" ht="30" customHeight="1" x14ac:dyDescent="0.2">
      <c r="A39" s="2032"/>
      <c r="B39" s="2396"/>
      <c r="C39" s="2150"/>
      <c r="D39" s="2099"/>
      <c r="E39" s="2196"/>
      <c r="F39" s="2100"/>
      <c r="G39" s="247">
        <v>20000000</v>
      </c>
      <c r="H39" s="1867" t="s">
        <v>2609</v>
      </c>
      <c r="I39" s="688" t="s">
        <v>3617</v>
      </c>
      <c r="J39" s="2246"/>
      <c r="K39" s="2042"/>
      <c r="L39" s="192"/>
    </row>
    <row r="40" spans="1:14" ht="30" customHeight="1" x14ac:dyDescent="0.2">
      <c r="A40" s="1811"/>
      <c r="B40" s="1884" t="s">
        <v>828</v>
      </c>
      <c r="C40" s="1817" t="s">
        <v>367</v>
      </c>
      <c r="D40" s="1877">
        <v>700000000</v>
      </c>
      <c r="E40" s="1885">
        <v>0.05</v>
      </c>
      <c r="F40" s="1877">
        <f t="shared" si="6"/>
        <v>35000000</v>
      </c>
      <c r="G40" s="2444" t="s">
        <v>3838</v>
      </c>
      <c r="H40" s="2445"/>
      <c r="I40" s="2445"/>
      <c r="J40" s="2446"/>
      <c r="K40" s="1864"/>
      <c r="L40" s="192"/>
    </row>
    <row r="41" spans="1:14" ht="30" customHeight="1" x14ac:dyDescent="0.2">
      <c r="A41" s="1533">
        <v>27</v>
      </c>
      <c r="B41" s="1591" t="s">
        <v>832</v>
      </c>
      <c r="C41" s="1563" t="s">
        <v>1354</v>
      </c>
      <c r="D41" s="1538">
        <v>500000000</v>
      </c>
      <c r="E41" s="1536">
        <v>7.0000000000000007E-2</v>
      </c>
      <c r="F41" s="1538">
        <f t="shared" si="6"/>
        <v>35000000</v>
      </c>
      <c r="G41" s="1539">
        <v>35000000</v>
      </c>
      <c r="H41" s="1597" t="s">
        <v>3864</v>
      </c>
      <c r="I41" s="1616" t="s">
        <v>2425</v>
      </c>
      <c r="J41" s="1538">
        <f t="shared" ref="J41:J46" si="9">G41</f>
        <v>35000000</v>
      </c>
      <c r="K41" s="1538">
        <f t="shared" si="7"/>
        <v>0</v>
      </c>
      <c r="L41" s="1541"/>
    </row>
    <row r="42" spans="1:14" ht="30" customHeight="1" x14ac:dyDescent="0.2">
      <c r="A42" s="1596"/>
      <c r="B42" s="22" t="s">
        <v>3515</v>
      </c>
      <c r="C42" s="1595" t="s">
        <v>1354</v>
      </c>
      <c r="D42" s="1565">
        <v>700000000</v>
      </c>
      <c r="E42" s="1593">
        <v>0.06</v>
      </c>
      <c r="F42" s="1565">
        <f t="shared" si="6"/>
        <v>42000000</v>
      </c>
      <c r="G42" s="1565">
        <v>40000000</v>
      </c>
      <c r="H42" s="1565" t="s">
        <v>3864</v>
      </c>
      <c r="I42" s="1565" t="s">
        <v>846</v>
      </c>
      <c r="J42" s="1565">
        <f t="shared" si="9"/>
        <v>40000000</v>
      </c>
      <c r="K42" s="1565">
        <f t="shared" si="7"/>
        <v>2000000</v>
      </c>
      <c r="L42" s="1546" t="s">
        <v>3455</v>
      </c>
    </row>
    <row r="43" spans="1:14" ht="30" customHeight="1" x14ac:dyDescent="0.2">
      <c r="A43" s="1535">
        <v>29</v>
      </c>
      <c r="B43" s="1594" t="s">
        <v>865</v>
      </c>
      <c r="C43" s="1595" t="s">
        <v>1378</v>
      </c>
      <c r="D43" s="1540">
        <v>42000000</v>
      </c>
      <c r="E43" s="1537">
        <v>7.0000000000000007E-2</v>
      </c>
      <c r="F43" s="1540">
        <f t="shared" si="6"/>
        <v>2940000.0000000005</v>
      </c>
      <c r="G43" s="1540">
        <v>2940000</v>
      </c>
      <c r="H43" s="1555" t="s">
        <v>1232</v>
      </c>
      <c r="I43" s="69" t="s">
        <v>3334</v>
      </c>
      <c r="J43" s="1540">
        <f t="shared" si="9"/>
        <v>2940000</v>
      </c>
      <c r="K43" s="1540">
        <f t="shared" si="7"/>
        <v>0</v>
      </c>
      <c r="L43" s="1546"/>
    </row>
    <row r="44" spans="1:14" ht="30" customHeight="1" x14ac:dyDescent="0.2">
      <c r="A44" s="1535">
        <v>30</v>
      </c>
      <c r="B44" s="1532" t="s">
        <v>870</v>
      </c>
      <c r="C44" s="1564" t="s">
        <v>1138</v>
      </c>
      <c r="D44" s="1540">
        <v>20000000</v>
      </c>
      <c r="E44" s="1537">
        <v>0.04</v>
      </c>
      <c r="F44" s="1540">
        <f t="shared" si="6"/>
        <v>800000</v>
      </c>
      <c r="G44" s="1540">
        <v>800000</v>
      </c>
      <c r="H44" s="1555" t="s">
        <v>3883</v>
      </c>
      <c r="I44" s="69" t="s">
        <v>3249</v>
      </c>
      <c r="J44" s="1540">
        <f t="shared" si="9"/>
        <v>800000</v>
      </c>
      <c r="K44" s="1540">
        <f t="shared" si="7"/>
        <v>0</v>
      </c>
      <c r="L44" s="686"/>
    </row>
    <row r="45" spans="1:14" ht="30" customHeight="1" x14ac:dyDescent="0.2">
      <c r="A45" s="1533">
        <v>31</v>
      </c>
      <c r="B45" s="1591" t="s">
        <v>944</v>
      </c>
      <c r="C45" s="1563"/>
      <c r="D45" s="1565">
        <v>100000000</v>
      </c>
      <c r="E45" s="1593">
        <v>7.0000000000000007E-2</v>
      </c>
      <c r="F45" s="1565">
        <f t="shared" si="6"/>
        <v>7000000.0000000009</v>
      </c>
      <c r="G45" s="1540">
        <v>7000000</v>
      </c>
      <c r="H45" s="1555" t="s">
        <v>1232</v>
      </c>
      <c r="I45" s="69" t="s">
        <v>3339</v>
      </c>
      <c r="J45" s="1538">
        <f t="shared" si="9"/>
        <v>7000000</v>
      </c>
      <c r="K45" s="1538">
        <f t="shared" si="7"/>
        <v>0</v>
      </c>
      <c r="L45" s="1541"/>
    </row>
    <row r="46" spans="1:14" ht="30" customHeight="1" x14ac:dyDescent="0.2">
      <c r="A46" s="2268">
        <v>32</v>
      </c>
      <c r="B46" s="2029" t="s">
        <v>1011</v>
      </c>
      <c r="C46" s="2149" t="s">
        <v>1378</v>
      </c>
      <c r="D46" s="1540">
        <v>100000000</v>
      </c>
      <c r="E46" s="1537">
        <v>0.05</v>
      </c>
      <c r="F46" s="1540">
        <f t="shared" ref="F46:F48" si="10">D46*E46</f>
        <v>5000000</v>
      </c>
      <c r="G46" s="2040">
        <v>7450000</v>
      </c>
      <c r="H46" s="2097" t="s">
        <v>1232</v>
      </c>
      <c r="I46" s="2460" t="s">
        <v>2512</v>
      </c>
      <c r="J46" s="2040">
        <f t="shared" si="9"/>
        <v>7450000</v>
      </c>
      <c r="K46" s="2040">
        <f>(F46+F47)-J46</f>
        <v>0</v>
      </c>
      <c r="L46" s="2051"/>
    </row>
    <row r="47" spans="1:14" ht="30" customHeight="1" x14ac:dyDescent="0.2">
      <c r="A47" s="2268"/>
      <c r="B47" s="2033"/>
      <c r="C47" s="2158"/>
      <c r="D47" s="1540">
        <v>35000000</v>
      </c>
      <c r="E47" s="1537">
        <v>7.0000000000000007E-2</v>
      </c>
      <c r="F47" s="1540">
        <f t="shared" si="10"/>
        <v>2450000.0000000005</v>
      </c>
      <c r="G47" s="2042"/>
      <c r="H47" s="2269"/>
      <c r="I47" s="2460"/>
      <c r="J47" s="2041"/>
      <c r="K47" s="2041"/>
      <c r="L47" s="2052"/>
    </row>
    <row r="48" spans="1:14" ht="30" customHeight="1" x14ac:dyDescent="0.2">
      <c r="A48" s="1855"/>
      <c r="B48" s="2033"/>
      <c r="C48" s="2158"/>
      <c r="D48" s="2040">
        <v>20000000</v>
      </c>
      <c r="E48" s="2037">
        <v>7.0000000000000007E-2</v>
      </c>
      <c r="F48" s="2040">
        <f t="shared" si="10"/>
        <v>1400000.0000000002</v>
      </c>
      <c r="G48" s="2040">
        <v>800000</v>
      </c>
      <c r="H48" s="2099"/>
      <c r="I48" s="2460"/>
      <c r="J48" s="2042"/>
      <c r="K48" s="2042"/>
      <c r="L48" s="2154" t="s">
        <v>3872</v>
      </c>
      <c r="M48" s="2155"/>
      <c r="N48" s="2156"/>
    </row>
    <row r="49" spans="1:14" ht="30" customHeight="1" x14ac:dyDescent="0.2">
      <c r="A49" s="1855"/>
      <c r="B49" s="2033"/>
      <c r="C49" s="2158"/>
      <c r="D49" s="2041"/>
      <c r="E49" s="2038"/>
      <c r="F49" s="2041"/>
      <c r="G49" s="2041"/>
      <c r="H49" s="2097" t="s">
        <v>3905</v>
      </c>
      <c r="I49" s="2195"/>
      <c r="J49" s="2098"/>
      <c r="K49" s="2040">
        <v>0</v>
      </c>
      <c r="L49" s="2154" t="s">
        <v>3873</v>
      </c>
      <c r="M49" s="2155"/>
      <c r="N49" s="2156"/>
    </row>
    <row r="50" spans="1:14" ht="30" customHeight="1" x14ac:dyDescent="0.2">
      <c r="A50" s="1855"/>
      <c r="B50" s="2030"/>
      <c r="C50" s="2150"/>
      <c r="D50" s="2042"/>
      <c r="E50" s="2039"/>
      <c r="F50" s="2042"/>
      <c r="G50" s="2042"/>
      <c r="H50" s="2099"/>
      <c r="I50" s="2196"/>
      <c r="J50" s="2100"/>
      <c r="K50" s="2042"/>
      <c r="L50" s="2154" t="s">
        <v>3873</v>
      </c>
      <c r="M50" s="2155"/>
      <c r="N50" s="2156"/>
    </row>
    <row r="51" spans="1:14" ht="30" customHeight="1" x14ac:dyDescent="0.2">
      <c r="A51" s="1535">
        <v>33</v>
      </c>
      <c r="B51" s="1594" t="s">
        <v>1022</v>
      </c>
      <c r="C51" s="1564" t="s">
        <v>1342</v>
      </c>
      <c r="D51" s="1540">
        <v>63580000</v>
      </c>
      <c r="E51" s="1537">
        <v>7.0000000000000007E-2</v>
      </c>
      <c r="F51" s="1540">
        <v>4450000</v>
      </c>
      <c r="G51" s="1540">
        <v>4450000</v>
      </c>
      <c r="H51" s="1540" t="s">
        <v>3811</v>
      </c>
      <c r="I51" s="69" t="s">
        <v>3903</v>
      </c>
      <c r="J51" s="1540">
        <f>G51</f>
        <v>4450000</v>
      </c>
      <c r="K51" s="1540">
        <f>F51-J51</f>
        <v>0</v>
      </c>
      <c r="L51" s="1546" t="s">
        <v>3904</v>
      </c>
    </row>
    <row r="52" spans="1:14" ht="30" customHeight="1" x14ac:dyDescent="0.2">
      <c r="A52" s="1535">
        <v>34</v>
      </c>
      <c r="B52" s="1531" t="s">
        <v>1141</v>
      </c>
      <c r="C52" s="1564"/>
      <c r="D52" s="1540">
        <v>20000000</v>
      </c>
      <c r="E52" s="1537">
        <v>0.04</v>
      </c>
      <c r="F52" s="1540">
        <f>D52*E52</f>
        <v>800000</v>
      </c>
      <c r="G52" s="1540">
        <v>800000</v>
      </c>
      <c r="H52" s="1540" t="s">
        <v>1232</v>
      </c>
      <c r="I52" s="69" t="s">
        <v>1143</v>
      </c>
      <c r="J52" s="1540">
        <f>G52</f>
        <v>800000</v>
      </c>
      <c r="K52" s="1540">
        <f>F52-J52</f>
        <v>0</v>
      </c>
      <c r="L52" s="1546"/>
    </row>
    <row r="53" spans="1:14" ht="30" customHeight="1" x14ac:dyDescent="0.2">
      <c r="A53" s="1596">
        <v>35</v>
      </c>
      <c r="B53" s="22" t="s">
        <v>1188</v>
      </c>
      <c r="C53" s="1595" t="s">
        <v>1175</v>
      </c>
      <c r="D53" s="1565">
        <v>175000000</v>
      </c>
      <c r="E53" s="1593">
        <v>0.06</v>
      </c>
      <c r="F53" s="1565">
        <f>D53*E53</f>
        <v>10500000</v>
      </c>
      <c r="G53" s="247"/>
      <c r="H53" s="247"/>
      <c r="I53" s="247"/>
      <c r="J53" s="247"/>
      <c r="K53" s="1540">
        <f>F53-J53</f>
        <v>10500000</v>
      </c>
      <c r="L53" s="103"/>
    </row>
    <row r="54" spans="1:14" ht="30" customHeight="1" x14ac:dyDescent="0.2">
      <c r="A54" s="1535"/>
      <c r="B54" s="1531" t="s">
        <v>3408</v>
      </c>
      <c r="C54" s="1564" t="s">
        <v>1175</v>
      </c>
      <c r="D54" s="1540">
        <v>100000000</v>
      </c>
      <c r="E54" s="1537">
        <v>0.04</v>
      </c>
      <c r="F54" s="1540">
        <f>D54*E54</f>
        <v>4000000</v>
      </c>
      <c r="G54" s="1565"/>
      <c r="H54" s="1565"/>
      <c r="I54" s="1565"/>
      <c r="J54" s="1565"/>
      <c r="K54" s="1540">
        <f>F54-J54</f>
        <v>4000000</v>
      </c>
      <c r="L54" s="1546" t="s">
        <v>3409</v>
      </c>
    </row>
    <row r="55" spans="1:14" ht="30" customHeight="1" x14ac:dyDescent="0.2">
      <c r="A55" s="1093">
        <v>36</v>
      </c>
      <c r="B55" s="22" t="s">
        <v>3516</v>
      </c>
      <c r="C55" s="1595" t="s">
        <v>1112</v>
      </c>
      <c r="D55" s="1565">
        <v>50000000</v>
      </c>
      <c r="E55" s="1593">
        <v>7.0000000000000007E-2</v>
      </c>
      <c r="F55" s="1565">
        <f>D55*E55</f>
        <v>3500000.0000000005</v>
      </c>
      <c r="G55" s="1565"/>
      <c r="H55" s="1565"/>
      <c r="I55" s="1617"/>
      <c r="J55" s="1565">
        <f>G55</f>
        <v>0</v>
      </c>
      <c r="K55" s="1565">
        <f>F55-J55</f>
        <v>3500000.0000000005</v>
      </c>
      <c r="L55" s="1546"/>
    </row>
    <row r="56" spans="1:14" ht="30" customHeight="1" x14ac:dyDescent="0.2">
      <c r="A56" s="1535">
        <v>37</v>
      </c>
      <c r="B56" s="1531" t="s">
        <v>1269</v>
      </c>
      <c r="C56" s="1564"/>
      <c r="D56" s="1540">
        <v>140000000</v>
      </c>
      <c r="E56" s="1537">
        <v>0.05</v>
      </c>
      <c r="F56" s="1540">
        <f>D56*E56</f>
        <v>7000000</v>
      </c>
      <c r="G56" s="1540"/>
      <c r="H56" s="1540"/>
      <c r="I56" s="69"/>
      <c r="J56" s="1540"/>
      <c r="K56" s="1540"/>
      <c r="L56" s="1546" t="s">
        <v>2411</v>
      </c>
    </row>
    <row r="57" spans="1:14" ht="30" customHeight="1" x14ac:dyDescent="0.2">
      <c r="A57" s="1535">
        <v>38</v>
      </c>
      <c r="B57" s="1530" t="s">
        <v>1302</v>
      </c>
      <c r="C57" s="1564"/>
      <c r="D57" s="315"/>
      <c r="E57" s="316"/>
      <c r="F57" s="315"/>
      <c r="G57" s="1540"/>
      <c r="H57" s="1540"/>
      <c r="I57" s="69"/>
      <c r="J57" s="1540"/>
      <c r="K57" s="1550">
        <f>F57-J57</f>
        <v>0</v>
      </c>
      <c r="L57" s="1546"/>
    </row>
    <row r="58" spans="1:14" ht="30" customHeight="1" x14ac:dyDescent="0.2">
      <c r="A58" s="1535">
        <v>39</v>
      </c>
      <c r="B58" s="1530" t="s">
        <v>1261</v>
      </c>
      <c r="C58" s="1564"/>
      <c r="D58" s="315"/>
      <c r="E58" s="316"/>
      <c r="F58" s="315"/>
      <c r="G58" s="1540"/>
      <c r="H58" s="1540"/>
      <c r="I58" s="69"/>
      <c r="J58" s="1540"/>
      <c r="K58" s="1550">
        <f>F58-J58</f>
        <v>0</v>
      </c>
      <c r="L58" s="1546"/>
    </row>
    <row r="59" spans="1:14" ht="30" customHeight="1" x14ac:dyDescent="0.2">
      <c r="A59" s="1535">
        <v>40</v>
      </c>
      <c r="B59" s="1530" t="s">
        <v>1314</v>
      </c>
      <c r="C59" s="1564" t="s">
        <v>1344</v>
      </c>
      <c r="D59" s="1609">
        <v>16000000</v>
      </c>
      <c r="E59" s="317">
        <v>0.05</v>
      </c>
      <c r="F59" s="1609">
        <f>D59*E59</f>
        <v>800000</v>
      </c>
      <c r="G59" s="1540">
        <v>800000</v>
      </c>
      <c r="H59" s="1540" t="s">
        <v>3864</v>
      </c>
      <c r="I59" s="69" t="s">
        <v>1317</v>
      </c>
      <c r="J59" s="1540">
        <f>G59</f>
        <v>800000</v>
      </c>
      <c r="K59" s="1540">
        <f>F59-J59</f>
        <v>0</v>
      </c>
      <c r="L59" s="1546"/>
    </row>
    <row r="60" spans="1:14" ht="30" customHeight="1" x14ac:dyDescent="0.2">
      <c r="A60" s="1535">
        <v>41</v>
      </c>
      <c r="B60" s="1530" t="s">
        <v>1337</v>
      </c>
      <c r="C60" s="1564"/>
      <c r="D60" s="315"/>
      <c r="E60" s="316"/>
      <c r="F60" s="315"/>
      <c r="G60" s="1540"/>
      <c r="H60" s="1540"/>
      <c r="I60" s="69"/>
      <c r="J60" s="1540"/>
      <c r="K60" s="1550">
        <f>F60-J60</f>
        <v>0</v>
      </c>
      <c r="L60" s="1546"/>
    </row>
    <row r="61" spans="1:14" ht="30" customHeight="1" x14ac:dyDescent="0.2">
      <c r="A61" s="1535">
        <v>42</v>
      </c>
      <c r="B61" s="1591" t="s">
        <v>186</v>
      </c>
      <c r="C61" s="1564"/>
      <c r="D61" s="1540">
        <v>60000000</v>
      </c>
      <c r="E61" s="1593">
        <v>0.05</v>
      </c>
      <c r="F61" s="1540">
        <f t="shared" ref="F61:F159" si="11">D61*E61</f>
        <v>3000000</v>
      </c>
      <c r="G61" s="2040">
        <v>3500000</v>
      </c>
      <c r="H61" s="2040" t="s">
        <v>3564</v>
      </c>
      <c r="I61" s="2171" t="s">
        <v>263</v>
      </c>
      <c r="J61" s="2040">
        <f>G61</f>
        <v>3500000</v>
      </c>
      <c r="K61" s="2040">
        <f>(F61+F62)-J61</f>
        <v>0</v>
      </c>
      <c r="L61" s="2101"/>
    </row>
    <row r="62" spans="1:14" ht="30" customHeight="1" x14ac:dyDescent="0.2">
      <c r="A62" s="1535">
        <v>43</v>
      </c>
      <c r="B62" s="1594" t="s">
        <v>1109</v>
      </c>
      <c r="C62" s="1564"/>
      <c r="D62" s="1540">
        <v>10000000</v>
      </c>
      <c r="E62" s="1593">
        <v>0.05</v>
      </c>
      <c r="F62" s="1540">
        <f>D62*E62</f>
        <v>500000</v>
      </c>
      <c r="G62" s="2042"/>
      <c r="H62" s="2042"/>
      <c r="I62" s="2173"/>
      <c r="J62" s="2042"/>
      <c r="K62" s="2042"/>
      <c r="L62" s="2102"/>
    </row>
    <row r="63" spans="1:14" ht="30" customHeight="1" x14ac:dyDescent="0.2">
      <c r="A63" s="1535">
        <v>44</v>
      </c>
      <c r="B63" s="1594" t="s">
        <v>187</v>
      </c>
      <c r="C63" s="1564" t="s">
        <v>916</v>
      </c>
      <c r="D63" s="1540">
        <v>150000000</v>
      </c>
      <c r="E63" s="1593">
        <v>0.05</v>
      </c>
      <c r="F63" s="1540">
        <f t="shared" si="11"/>
        <v>7500000</v>
      </c>
      <c r="G63" s="1540">
        <v>7500000</v>
      </c>
      <c r="H63" s="1540" t="s">
        <v>3508</v>
      </c>
      <c r="I63" s="1565" t="s">
        <v>1411</v>
      </c>
      <c r="J63" s="1540">
        <f>G63</f>
        <v>7500000</v>
      </c>
      <c r="K63" s="1540">
        <f>F63-J63</f>
        <v>0</v>
      </c>
      <c r="L63" s="1594"/>
    </row>
    <row r="64" spans="1:14" ht="30" customHeight="1" x14ac:dyDescent="0.2">
      <c r="A64" s="2031">
        <v>45</v>
      </c>
      <c r="B64" s="2029" t="s">
        <v>188</v>
      </c>
      <c r="C64" s="2149" t="s">
        <v>1350</v>
      </c>
      <c r="D64" s="2040">
        <v>1190000000</v>
      </c>
      <c r="E64" s="2037">
        <v>7.0000000000000007E-2</v>
      </c>
      <c r="F64" s="2040">
        <f t="shared" si="11"/>
        <v>83300000.000000015</v>
      </c>
      <c r="G64" s="1540">
        <v>50000000</v>
      </c>
      <c r="H64" s="1540" t="s">
        <v>3574</v>
      </c>
      <c r="I64" s="24" t="s">
        <v>2838</v>
      </c>
      <c r="J64" s="2040">
        <f>G64+G65</f>
        <v>83300000</v>
      </c>
      <c r="K64" s="2040">
        <f>F64-J64</f>
        <v>0</v>
      </c>
      <c r="L64" s="2101"/>
    </row>
    <row r="65" spans="1:12" ht="30" customHeight="1" x14ac:dyDescent="0.2">
      <c r="A65" s="2032"/>
      <c r="B65" s="2030"/>
      <c r="C65" s="2150"/>
      <c r="D65" s="2042"/>
      <c r="E65" s="2039"/>
      <c r="F65" s="2042"/>
      <c r="G65" s="1637">
        <v>33300000</v>
      </c>
      <c r="H65" s="1637" t="s">
        <v>3610</v>
      </c>
      <c r="I65" s="24" t="s">
        <v>2838</v>
      </c>
      <c r="J65" s="2042"/>
      <c r="K65" s="2042"/>
      <c r="L65" s="2102"/>
    </row>
    <row r="66" spans="1:12" ht="30" customHeight="1" x14ac:dyDescent="0.2">
      <c r="A66" s="2031">
        <v>46</v>
      </c>
      <c r="B66" s="2029" t="s">
        <v>189</v>
      </c>
      <c r="C66" s="2149" t="s">
        <v>1112</v>
      </c>
      <c r="D66" s="2040">
        <v>1200000000</v>
      </c>
      <c r="E66" s="2037">
        <v>0.08</v>
      </c>
      <c r="F66" s="2040">
        <f>D66*E66</f>
        <v>96000000</v>
      </c>
      <c r="G66" s="1540">
        <v>50000000</v>
      </c>
      <c r="H66" s="1540" t="s">
        <v>2609</v>
      </c>
      <c r="I66" s="24" t="s">
        <v>3926</v>
      </c>
      <c r="J66" s="1644">
        <f>G66</f>
        <v>50000000</v>
      </c>
      <c r="K66" s="1644">
        <f>F66-J66</f>
        <v>46000000</v>
      </c>
      <c r="L66" s="431"/>
    </row>
    <row r="67" spans="1:12" ht="30" customHeight="1" x14ac:dyDescent="0.2">
      <c r="A67" s="2034"/>
      <c r="B67" s="2033"/>
      <c r="C67" s="2158"/>
      <c r="D67" s="2041"/>
      <c r="E67" s="2038"/>
      <c r="F67" s="2041"/>
      <c r="G67" s="1540"/>
      <c r="H67" s="1540"/>
      <c r="I67" s="24"/>
      <c r="J67" s="1540"/>
      <c r="K67" s="1540"/>
      <c r="L67" s="1573"/>
    </row>
    <row r="68" spans="1:12" ht="30" customHeight="1" x14ac:dyDescent="0.2">
      <c r="A68" s="2034"/>
      <c r="B68" s="2033"/>
      <c r="C68" s="2158"/>
      <c r="D68" s="2041"/>
      <c r="E68" s="2038"/>
      <c r="F68" s="2041"/>
      <c r="G68" s="1540"/>
      <c r="H68" s="1540"/>
      <c r="I68" s="24"/>
      <c r="J68" s="1540"/>
      <c r="K68" s="1540"/>
      <c r="L68" s="1573"/>
    </row>
    <row r="69" spans="1:12" ht="30" customHeight="1" x14ac:dyDescent="0.2">
      <c r="A69" s="2032"/>
      <c r="B69" s="2030"/>
      <c r="C69" s="2150"/>
      <c r="D69" s="2042"/>
      <c r="E69" s="2039"/>
      <c r="F69" s="2042"/>
      <c r="G69" s="1540"/>
      <c r="H69" s="1540"/>
      <c r="I69" s="24"/>
      <c r="J69" s="1540"/>
      <c r="K69" s="1540"/>
      <c r="L69" s="1573"/>
    </row>
    <row r="70" spans="1:12" ht="30" customHeight="1" x14ac:dyDescent="0.2">
      <c r="A70" s="1533">
        <v>47</v>
      </c>
      <c r="B70" s="1591" t="s">
        <v>190</v>
      </c>
      <c r="C70" s="1595" t="s">
        <v>1110</v>
      </c>
      <c r="D70" s="1540">
        <v>20000000</v>
      </c>
      <c r="E70" s="1537">
        <v>0.05</v>
      </c>
      <c r="F70" s="1540">
        <f t="shared" si="11"/>
        <v>1000000</v>
      </c>
      <c r="G70" s="1540">
        <v>1000000</v>
      </c>
      <c r="H70" s="1540" t="s">
        <v>3508</v>
      </c>
      <c r="I70" s="1566" t="s">
        <v>1078</v>
      </c>
      <c r="J70" s="1540">
        <f>G70</f>
        <v>1000000</v>
      </c>
      <c r="K70" s="1540">
        <f>F70-J70</f>
        <v>0</v>
      </c>
      <c r="L70" s="1557"/>
    </row>
    <row r="71" spans="1:12" ht="30" customHeight="1" x14ac:dyDescent="0.2">
      <c r="A71" s="1596">
        <v>48</v>
      </c>
      <c r="B71" s="1594" t="s">
        <v>1712</v>
      </c>
      <c r="C71" s="1595" t="s">
        <v>1112</v>
      </c>
      <c r="D71" s="1565">
        <v>100000000</v>
      </c>
      <c r="E71" s="1593">
        <v>0.05</v>
      </c>
      <c r="F71" s="1565">
        <f t="shared" si="11"/>
        <v>5000000</v>
      </c>
      <c r="G71" s="1540"/>
      <c r="H71" s="1540"/>
      <c r="I71" s="24"/>
      <c r="J71" s="1540"/>
      <c r="K71" s="1540"/>
      <c r="L71" s="103"/>
    </row>
    <row r="72" spans="1:12" ht="30" customHeight="1" x14ac:dyDescent="0.2">
      <c r="A72" s="1535">
        <v>49</v>
      </c>
      <c r="B72" s="1532" t="s">
        <v>192</v>
      </c>
      <c r="C72" s="1564" t="s">
        <v>1350</v>
      </c>
      <c r="D72" s="1540">
        <v>230000000</v>
      </c>
      <c r="E72" s="1537">
        <v>0.05</v>
      </c>
      <c r="F72" s="1540">
        <f t="shared" si="11"/>
        <v>11500000</v>
      </c>
      <c r="G72" s="1540">
        <v>11500000</v>
      </c>
      <c r="H72" s="1540" t="s">
        <v>3564</v>
      </c>
      <c r="I72" s="24" t="s">
        <v>1082</v>
      </c>
      <c r="J72" s="1540">
        <f>G72</f>
        <v>11500000</v>
      </c>
      <c r="K72" s="1540">
        <f>F72-J72</f>
        <v>0</v>
      </c>
      <c r="L72" s="1594"/>
    </row>
    <row r="73" spans="1:12" ht="30" customHeight="1" x14ac:dyDescent="0.2">
      <c r="A73" s="2031">
        <v>50</v>
      </c>
      <c r="B73" s="2029" t="s">
        <v>193</v>
      </c>
      <c r="C73" s="2149" t="s">
        <v>916</v>
      </c>
      <c r="D73" s="2040">
        <v>350000000</v>
      </c>
      <c r="E73" s="2037">
        <v>0.05</v>
      </c>
      <c r="F73" s="2040">
        <f t="shared" si="11"/>
        <v>17500000</v>
      </c>
      <c r="G73" s="2450" t="s">
        <v>3517</v>
      </c>
      <c r="H73" s="2451"/>
      <c r="I73" s="2451"/>
      <c r="J73" s="2451"/>
      <c r="K73" s="1692"/>
      <c r="L73" s="103"/>
    </row>
    <row r="74" spans="1:12" ht="30" customHeight="1" x14ac:dyDescent="0.2">
      <c r="A74" s="2034"/>
      <c r="B74" s="2033"/>
      <c r="C74" s="2158"/>
      <c r="D74" s="2041"/>
      <c r="E74" s="2038"/>
      <c r="F74" s="2041"/>
      <c r="G74" s="1765">
        <v>20000000</v>
      </c>
      <c r="H74" s="1765" t="s">
        <v>3733</v>
      </c>
      <c r="I74" s="24" t="s">
        <v>3211</v>
      </c>
      <c r="J74" s="2040">
        <f>G74+G75</f>
        <v>25000000</v>
      </c>
      <c r="K74" s="1765"/>
      <c r="L74" s="1767"/>
    </row>
    <row r="75" spans="1:12" ht="30" customHeight="1" x14ac:dyDescent="0.2">
      <c r="A75" s="2032"/>
      <c r="B75" s="2030"/>
      <c r="C75" s="2150"/>
      <c r="D75" s="2042"/>
      <c r="E75" s="2039"/>
      <c r="F75" s="2042"/>
      <c r="G75" s="1765">
        <v>5000000</v>
      </c>
      <c r="H75" s="1765" t="s">
        <v>3745</v>
      </c>
      <c r="I75" s="24" t="s">
        <v>3746</v>
      </c>
      <c r="J75" s="2042"/>
      <c r="K75" s="1765"/>
      <c r="L75" s="1767"/>
    </row>
    <row r="76" spans="1:12" ht="30" customHeight="1" x14ac:dyDescent="0.2">
      <c r="A76" s="426">
        <v>51</v>
      </c>
      <c r="B76" s="1591" t="s">
        <v>194</v>
      </c>
      <c r="C76" s="1563" t="s">
        <v>916</v>
      </c>
      <c r="D76" s="1565">
        <v>260000000</v>
      </c>
      <c r="E76" s="1593">
        <f>F76/D76</f>
        <v>5.5769230769230772E-2</v>
      </c>
      <c r="F76" s="1565">
        <v>14500000</v>
      </c>
      <c r="G76" s="1673">
        <v>14500000</v>
      </c>
      <c r="H76" s="1673" t="s">
        <v>3574</v>
      </c>
      <c r="I76" s="1673" t="s">
        <v>3647</v>
      </c>
      <c r="J76" s="1673">
        <f>G76</f>
        <v>14500000</v>
      </c>
      <c r="K76" s="1673">
        <f>F76-J76</f>
        <v>0</v>
      </c>
      <c r="L76" s="1530"/>
    </row>
    <row r="77" spans="1:12" ht="30" customHeight="1" x14ac:dyDescent="0.2">
      <c r="A77" s="2268">
        <v>52</v>
      </c>
      <c r="B77" s="2029" t="s">
        <v>195</v>
      </c>
      <c r="C77" s="2149" t="s">
        <v>1352</v>
      </c>
      <c r="D77" s="1540">
        <v>80000000</v>
      </c>
      <c r="E77" s="1593">
        <v>7.0000000000000007E-2</v>
      </c>
      <c r="F77" s="1540">
        <f>D77*E77</f>
        <v>5600000.0000000009</v>
      </c>
      <c r="G77" s="2040">
        <v>5950000</v>
      </c>
      <c r="H77" s="2040" t="s">
        <v>3680</v>
      </c>
      <c r="I77" s="2128" t="s">
        <v>2682</v>
      </c>
      <c r="J77" s="2040">
        <f>G77</f>
        <v>5950000</v>
      </c>
      <c r="K77" s="2040">
        <f>F77-J77</f>
        <v>-349999.99999999907</v>
      </c>
      <c r="L77" s="823" t="s">
        <v>2853</v>
      </c>
    </row>
    <row r="78" spans="1:12" ht="30" customHeight="1" x14ac:dyDescent="0.2">
      <c r="A78" s="2268"/>
      <c r="B78" s="2030"/>
      <c r="C78" s="2150"/>
      <c r="D78" s="1540">
        <v>10000000</v>
      </c>
      <c r="E78" s="1593">
        <v>7.0000000000000007E-2</v>
      </c>
      <c r="F78" s="1540">
        <f>D78*E78</f>
        <v>700000.00000000012</v>
      </c>
      <c r="G78" s="2042"/>
      <c r="H78" s="2042"/>
      <c r="I78" s="2129"/>
      <c r="J78" s="2042"/>
      <c r="K78" s="2042"/>
      <c r="L78" s="823" t="s">
        <v>3518</v>
      </c>
    </row>
    <row r="79" spans="1:12" ht="30" customHeight="1" x14ac:dyDescent="0.2">
      <c r="A79" s="2031">
        <v>53</v>
      </c>
      <c r="B79" s="2101" t="s">
        <v>196</v>
      </c>
      <c r="C79" s="2149" t="s">
        <v>1349</v>
      </c>
      <c r="D79" s="2040">
        <v>350000000</v>
      </c>
      <c r="E79" s="2037">
        <v>7.0000000000000007E-2</v>
      </c>
      <c r="F79" s="2040">
        <f t="shared" si="11"/>
        <v>24500000.000000004</v>
      </c>
      <c r="G79" s="1565">
        <v>22500000</v>
      </c>
      <c r="H79" s="1538" t="s">
        <v>3844</v>
      </c>
      <c r="I79" s="1561" t="s">
        <v>1927</v>
      </c>
      <c r="J79" s="2040">
        <f>G79+G80</f>
        <v>26500000</v>
      </c>
      <c r="K79" s="2040">
        <f>F79-J79</f>
        <v>-1999999.9999999963</v>
      </c>
      <c r="L79" s="2068" t="s">
        <v>3877</v>
      </c>
    </row>
    <row r="80" spans="1:12" ht="30" customHeight="1" x14ac:dyDescent="0.2">
      <c r="A80" s="2034"/>
      <c r="B80" s="2222"/>
      <c r="C80" s="2158"/>
      <c r="D80" s="2042"/>
      <c r="E80" s="2039"/>
      <c r="F80" s="2042"/>
      <c r="G80" s="1565">
        <v>4000000</v>
      </c>
      <c r="H80" s="1538" t="s">
        <v>3883</v>
      </c>
      <c r="I80" s="1561" t="s">
        <v>1927</v>
      </c>
      <c r="J80" s="2042"/>
      <c r="K80" s="2042"/>
      <c r="L80" s="2391"/>
    </row>
    <row r="81" spans="1:12" ht="30" customHeight="1" x14ac:dyDescent="0.2">
      <c r="A81" s="2032"/>
      <c r="B81" s="2102"/>
      <c r="C81" s="2150"/>
      <c r="D81" s="1865">
        <v>500000000</v>
      </c>
      <c r="E81" s="1863">
        <v>7.0000000000000007E-2</v>
      </c>
      <c r="F81" s="1865">
        <f>D81*E81</f>
        <v>35000000</v>
      </c>
      <c r="G81" s="2154" t="s">
        <v>3882</v>
      </c>
      <c r="H81" s="2155"/>
      <c r="I81" s="2155"/>
      <c r="J81" s="2156"/>
      <c r="K81" s="1864"/>
      <c r="L81" s="2069"/>
    </row>
    <row r="82" spans="1:12" ht="30" customHeight="1" x14ac:dyDescent="0.2">
      <c r="A82" s="2031">
        <v>54</v>
      </c>
      <c r="B82" s="2029" t="s">
        <v>1090</v>
      </c>
      <c r="C82" s="2149"/>
      <c r="D82" s="1540">
        <v>35000000</v>
      </c>
      <c r="E82" s="1537">
        <v>7.1999999999999995E-2</v>
      </c>
      <c r="F82" s="1540">
        <v>2500000</v>
      </c>
      <c r="G82" s="2344">
        <v>3500000</v>
      </c>
      <c r="H82" s="2344" t="s">
        <v>3508</v>
      </c>
      <c r="I82" s="2346" t="s">
        <v>3559</v>
      </c>
      <c r="J82" s="2344">
        <f>G82</f>
        <v>3500000</v>
      </c>
      <c r="K82" s="2344">
        <f>(F82+F83)-J82</f>
        <v>0</v>
      </c>
      <c r="L82" s="2101"/>
    </row>
    <row r="83" spans="1:12" ht="30" customHeight="1" x14ac:dyDescent="0.2">
      <c r="A83" s="2034"/>
      <c r="B83" s="2030"/>
      <c r="C83" s="2150"/>
      <c r="D83" s="1540">
        <v>13000000</v>
      </c>
      <c r="E83" s="1593">
        <v>7.6999999999999999E-2</v>
      </c>
      <c r="F83" s="1540">
        <v>1000000</v>
      </c>
      <c r="G83" s="2345"/>
      <c r="H83" s="2345"/>
      <c r="I83" s="2347"/>
      <c r="J83" s="2345"/>
      <c r="K83" s="2345"/>
      <c r="L83" s="2102"/>
    </row>
    <row r="84" spans="1:12" ht="30" customHeight="1" x14ac:dyDescent="0.2">
      <c r="A84" s="2031">
        <v>55</v>
      </c>
      <c r="B84" s="2029" t="s">
        <v>1295</v>
      </c>
      <c r="C84" s="2149" t="s">
        <v>1350</v>
      </c>
      <c r="D84" s="1565">
        <v>175000000</v>
      </c>
      <c r="E84" s="1593">
        <v>0.52</v>
      </c>
      <c r="F84" s="1565">
        <v>9000000</v>
      </c>
      <c r="G84" s="2157">
        <v>18250000</v>
      </c>
      <c r="H84" s="2157" t="s">
        <v>3574</v>
      </c>
      <c r="I84" s="2128" t="s">
        <v>1093</v>
      </c>
      <c r="J84" s="2157">
        <f>G84</f>
        <v>18250000</v>
      </c>
      <c r="K84" s="2157">
        <f>(F84+F85+F86)-J84</f>
        <v>0</v>
      </c>
      <c r="L84" s="192" t="s">
        <v>2055</v>
      </c>
    </row>
    <row r="85" spans="1:12" ht="30" customHeight="1" x14ac:dyDescent="0.2">
      <c r="A85" s="2034"/>
      <c r="B85" s="2033"/>
      <c r="C85" s="2158"/>
      <c r="D85" s="1538">
        <f>85000000+20000000</f>
        <v>105000000</v>
      </c>
      <c r="E85" s="1536">
        <v>7.0000000000000007E-2</v>
      </c>
      <c r="F85" s="1538">
        <v>7500000</v>
      </c>
      <c r="G85" s="2157"/>
      <c r="H85" s="2157"/>
      <c r="I85" s="2237"/>
      <c r="J85" s="2157"/>
      <c r="K85" s="2157"/>
      <c r="L85" s="192" t="s">
        <v>2056</v>
      </c>
    </row>
    <row r="86" spans="1:12" ht="30" customHeight="1" x14ac:dyDescent="0.2">
      <c r="A86" s="2032"/>
      <c r="B86" s="2030"/>
      <c r="C86" s="2150"/>
      <c r="D86" s="1565">
        <v>35000000</v>
      </c>
      <c r="E86" s="1593">
        <v>0.05</v>
      </c>
      <c r="F86" s="1565">
        <f>D86*E86</f>
        <v>1750000</v>
      </c>
      <c r="G86" s="2157"/>
      <c r="H86" s="2157"/>
      <c r="I86" s="2129"/>
      <c r="J86" s="2157"/>
      <c r="K86" s="2157"/>
      <c r="L86" s="1546" t="s">
        <v>2661</v>
      </c>
    </row>
    <row r="87" spans="1:12" ht="30" customHeight="1" x14ac:dyDescent="0.2">
      <c r="A87" s="2031">
        <v>56</v>
      </c>
      <c r="B87" s="2029" t="s">
        <v>36</v>
      </c>
      <c r="C87" s="2149" t="s">
        <v>1350</v>
      </c>
      <c r="D87" s="2040">
        <v>3284000000</v>
      </c>
      <c r="E87" s="2037">
        <v>7.0000000000000007E-2</v>
      </c>
      <c r="F87" s="2040">
        <v>229880000</v>
      </c>
      <c r="G87" s="1565">
        <v>50000000</v>
      </c>
      <c r="H87" s="1565" t="s">
        <v>3646</v>
      </c>
      <c r="I87" s="1680" t="s">
        <v>696</v>
      </c>
      <c r="J87" s="2040">
        <f>G87+G88+G89+G90+G91+G92+G93</f>
        <v>100000000</v>
      </c>
      <c r="K87" s="2040">
        <f>F87-J87</f>
        <v>129880000</v>
      </c>
      <c r="L87" s="1545"/>
    </row>
    <row r="88" spans="1:12" ht="30" customHeight="1" x14ac:dyDescent="0.2">
      <c r="A88" s="2034"/>
      <c r="B88" s="2033"/>
      <c r="C88" s="2158"/>
      <c r="D88" s="2041"/>
      <c r="E88" s="2038"/>
      <c r="F88" s="2041"/>
      <c r="G88" s="1540">
        <v>50000000</v>
      </c>
      <c r="H88" s="1565" t="s">
        <v>3587</v>
      </c>
      <c r="I88" s="1590" t="s">
        <v>696</v>
      </c>
      <c r="J88" s="2041"/>
      <c r="K88" s="2041"/>
      <c r="L88" s="1696"/>
    </row>
    <row r="89" spans="1:12" ht="30" customHeight="1" x14ac:dyDescent="0.2">
      <c r="A89" s="2034"/>
      <c r="B89" s="2033"/>
      <c r="C89" s="2158"/>
      <c r="D89" s="2041"/>
      <c r="E89" s="2038"/>
      <c r="F89" s="2041"/>
      <c r="G89" s="1540"/>
      <c r="H89" s="1540"/>
      <c r="I89" s="24"/>
      <c r="J89" s="2041"/>
      <c r="K89" s="2041"/>
      <c r="L89" s="1696"/>
    </row>
    <row r="90" spans="1:12" ht="30" customHeight="1" x14ac:dyDescent="0.2">
      <c r="A90" s="2034"/>
      <c r="B90" s="2033"/>
      <c r="C90" s="2158"/>
      <c r="D90" s="2041"/>
      <c r="E90" s="2038"/>
      <c r="F90" s="2041"/>
      <c r="G90" s="1540"/>
      <c r="H90" s="1540"/>
      <c r="I90" s="24"/>
      <c r="J90" s="2041"/>
      <c r="K90" s="2041"/>
      <c r="L90" s="1696"/>
    </row>
    <row r="91" spans="1:12" ht="30" customHeight="1" x14ac:dyDescent="0.2">
      <c r="A91" s="2034"/>
      <c r="B91" s="2033"/>
      <c r="C91" s="2158"/>
      <c r="D91" s="2041"/>
      <c r="E91" s="2038"/>
      <c r="F91" s="2041"/>
      <c r="G91" s="1540"/>
      <c r="H91" s="1540"/>
      <c r="I91" s="24"/>
      <c r="J91" s="2041"/>
      <c r="K91" s="2041"/>
      <c r="L91" s="1696"/>
    </row>
    <row r="92" spans="1:12" ht="30" customHeight="1" x14ac:dyDescent="0.2">
      <c r="A92" s="2034"/>
      <c r="B92" s="2033"/>
      <c r="C92" s="2158"/>
      <c r="D92" s="2041"/>
      <c r="E92" s="2038"/>
      <c r="F92" s="2041"/>
      <c r="G92" s="1540"/>
      <c r="H92" s="1540"/>
      <c r="I92" s="24"/>
      <c r="J92" s="2041"/>
      <c r="K92" s="2041"/>
      <c r="L92" s="1696"/>
    </row>
    <row r="93" spans="1:12" ht="30" customHeight="1" x14ac:dyDescent="0.2">
      <c r="A93" s="2034"/>
      <c r="B93" s="2033"/>
      <c r="C93" s="2158"/>
      <c r="D93" s="2041"/>
      <c r="E93" s="2038"/>
      <c r="F93" s="2041"/>
      <c r="G93" s="1540"/>
      <c r="H93" s="1540"/>
      <c r="I93" s="24"/>
      <c r="J93" s="2042"/>
      <c r="K93" s="2042"/>
      <c r="L93" s="1697"/>
    </row>
    <row r="94" spans="1:12" ht="30" customHeight="1" x14ac:dyDescent="0.2">
      <c r="A94" s="2031">
        <v>57</v>
      </c>
      <c r="B94" s="2029" t="s">
        <v>1107</v>
      </c>
      <c r="C94" s="2149" t="s">
        <v>1353</v>
      </c>
      <c r="D94" s="2040">
        <v>317000000</v>
      </c>
      <c r="E94" s="2037">
        <v>7.0000000000000007E-2</v>
      </c>
      <c r="F94" s="2040">
        <f>D94*E94</f>
        <v>22190000.000000004</v>
      </c>
      <c r="G94" s="1540"/>
      <c r="H94" s="1540"/>
      <c r="I94" s="24"/>
      <c r="J94" s="2040">
        <f>G94+G95</f>
        <v>0</v>
      </c>
      <c r="K94" s="2040">
        <f>F94-J94</f>
        <v>22190000.000000004</v>
      </c>
      <c r="L94" s="2203"/>
    </row>
    <row r="95" spans="1:12" ht="30" customHeight="1" x14ac:dyDescent="0.2">
      <c r="A95" s="2032"/>
      <c r="B95" s="2030"/>
      <c r="C95" s="2150"/>
      <c r="D95" s="2042"/>
      <c r="E95" s="2039"/>
      <c r="F95" s="2042"/>
      <c r="G95" s="1540"/>
      <c r="H95" s="1540"/>
      <c r="I95" s="24"/>
      <c r="J95" s="2042"/>
      <c r="K95" s="2042"/>
      <c r="L95" s="2204"/>
    </row>
    <row r="96" spans="1:12" ht="30" customHeight="1" x14ac:dyDescent="0.2">
      <c r="A96" s="1533">
        <v>58</v>
      </c>
      <c r="B96" s="1594" t="s">
        <v>1094</v>
      </c>
      <c r="C96" s="1564" t="s">
        <v>916</v>
      </c>
      <c r="D96" s="1540">
        <v>11000000</v>
      </c>
      <c r="E96" s="1593">
        <v>5.5E-2</v>
      </c>
      <c r="F96" s="1540">
        <v>600000</v>
      </c>
      <c r="G96" s="1540">
        <v>600000</v>
      </c>
      <c r="H96" s="1540" t="s">
        <v>3508</v>
      </c>
      <c r="I96" s="1606" t="s">
        <v>1096</v>
      </c>
      <c r="J96" s="1540">
        <f>G96</f>
        <v>600000</v>
      </c>
      <c r="K96" s="1540">
        <f>F96-J96</f>
        <v>0</v>
      </c>
      <c r="L96" s="1594"/>
    </row>
    <row r="97" spans="1:12" ht="30" customHeight="1" x14ac:dyDescent="0.2">
      <c r="A97" s="2031"/>
      <c r="B97" s="2029" t="s">
        <v>197</v>
      </c>
      <c r="C97" s="2149" t="s">
        <v>1350</v>
      </c>
      <c r="D97" s="1540">
        <v>90000000</v>
      </c>
      <c r="E97" s="1593">
        <v>0.05</v>
      </c>
      <c r="F97" s="1540">
        <f t="shared" si="11"/>
        <v>4500000</v>
      </c>
      <c r="G97" s="2435" t="s">
        <v>3501</v>
      </c>
      <c r="H97" s="2436"/>
      <c r="I97" s="2436"/>
      <c r="J97" s="2437"/>
      <c r="K97" s="2040">
        <f>(F97+F98)-J97</f>
        <v>5200000</v>
      </c>
      <c r="L97" s="2051" t="s">
        <v>3519</v>
      </c>
    </row>
    <row r="98" spans="1:12" ht="30" customHeight="1" x14ac:dyDescent="0.2">
      <c r="A98" s="2034"/>
      <c r="B98" s="2033"/>
      <c r="C98" s="2158"/>
      <c r="D98" s="1540">
        <v>10000000</v>
      </c>
      <c r="E98" s="1593">
        <v>7.0000000000000007E-2</v>
      </c>
      <c r="F98" s="1540">
        <f t="shared" si="11"/>
        <v>700000.00000000012</v>
      </c>
      <c r="G98" s="2438"/>
      <c r="H98" s="2439"/>
      <c r="I98" s="2439"/>
      <c r="J98" s="2440"/>
      <c r="K98" s="2042"/>
      <c r="L98" s="2191"/>
    </row>
    <row r="99" spans="1:12" ht="30" customHeight="1" x14ac:dyDescent="0.2">
      <c r="A99" s="2032"/>
      <c r="B99" s="2030"/>
      <c r="C99" s="2150"/>
      <c r="D99" s="1540">
        <v>15000000</v>
      </c>
      <c r="E99" s="1593"/>
      <c r="F99" s="1540"/>
      <c r="G99" s="2441"/>
      <c r="H99" s="2442"/>
      <c r="I99" s="2442"/>
      <c r="J99" s="2443"/>
      <c r="K99" s="1540"/>
      <c r="L99" s="2052"/>
    </row>
    <row r="100" spans="1:12" ht="30" customHeight="1" x14ac:dyDescent="0.2">
      <c r="A100" s="1596">
        <v>60</v>
      </c>
      <c r="B100" s="1594" t="s">
        <v>1591</v>
      </c>
      <c r="C100" s="1564"/>
      <c r="D100" s="1550"/>
      <c r="E100" s="44"/>
      <c r="F100" s="1550">
        <f t="shared" si="11"/>
        <v>0</v>
      </c>
      <c r="G100" s="1540">
        <v>10000000</v>
      </c>
      <c r="H100" s="1540" t="s">
        <v>3508</v>
      </c>
      <c r="I100" s="24" t="s">
        <v>1927</v>
      </c>
      <c r="J100" s="1540">
        <f>G100</f>
        <v>10000000</v>
      </c>
      <c r="K100" s="1550">
        <f>F100-J100</f>
        <v>-10000000</v>
      </c>
      <c r="L100" s="1594" t="s">
        <v>2658</v>
      </c>
    </row>
    <row r="101" spans="1:12" ht="30" customHeight="1" x14ac:dyDescent="0.2">
      <c r="A101" s="1535">
        <v>61</v>
      </c>
      <c r="B101" s="1594" t="s">
        <v>199</v>
      </c>
      <c r="C101" s="1564"/>
      <c r="D101" s="1540">
        <v>100000000</v>
      </c>
      <c r="E101" s="1593">
        <v>7.0000000000000007E-2</v>
      </c>
      <c r="F101" s="1540">
        <f t="shared" si="11"/>
        <v>7000000.0000000009</v>
      </c>
      <c r="G101" s="1540">
        <v>7000000</v>
      </c>
      <c r="H101" s="1540" t="s">
        <v>3610</v>
      </c>
      <c r="I101" s="24" t="s">
        <v>3613</v>
      </c>
      <c r="J101" s="1540">
        <f>G101</f>
        <v>7000000</v>
      </c>
      <c r="K101" s="1540">
        <f>F101-J101</f>
        <v>0</v>
      </c>
      <c r="L101" s="1594"/>
    </row>
    <row r="102" spans="1:12" ht="30" customHeight="1" x14ac:dyDescent="0.2">
      <c r="A102" s="426">
        <v>62</v>
      </c>
      <c r="B102" s="1591" t="s">
        <v>200</v>
      </c>
      <c r="C102" s="1563"/>
      <c r="D102" s="1565">
        <v>125000000</v>
      </c>
      <c r="E102" s="1593">
        <v>5.1999999999999998E-2</v>
      </c>
      <c r="F102" s="1565">
        <f t="shared" si="11"/>
        <v>6500000</v>
      </c>
      <c r="G102" s="1565"/>
      <c r="H102" s="1565"/>
      <c r="I102" s="310"/>
      <c r="J102" s="1565">
        <f>G102</f>
        <v>0</v>
      </c>
      <c r="K102" s="1565">
        <f>F102-J102</f>
        <v>6500000</v>
      </c>
      <c r="L102" s="103"/>
    </row>
    <row r="103" spans="1:12" ht="30" customHeight="1" x14ac:dyDescent="0.2">
      <c r="A103" s="2031">
        <v>63</v>
      </c>
      <c r="B103" s="2029" t="s">
        <v>201</v>
      </c>
      <c r="C103" s="2149" t="s">
        <v>916</v>
      </c>
      <c r="D103" s="1565">
        <v>1600000000</v>
      </c>
      <c r="E103" s="1593">
        <v>6.5000000000000002E-2</v>
      </c>
      <c r="F103" s="1565">
        <f>D103*E103</f>
        <v>104000000</v>
      </c>
      <c r="G103" s="1565">
        <v>4000000</v>
      </c>
      <c r="H103" s="1565" t="s">
        <v>3508</v>
      </c>
      <c r="I103" s="1565" t="s">
        <v>2724</v>
      </c>
      <c r="J103" s="1565">
        <f>G103</f>
        <v>4000000</v>
      </c>
      <c r="K103" s="1565"/>
      <c r="L103" s="2051" t="s">
        <v>3520</v>
      </c>
    </row>
    <row r="104" spans="1:12" ht="30" customHeight="1" x14ac:dyDescent="0.2">
      <c r="A104" s="2032"/>
      <c r="B104" s="2030"/>
      <c r="C104" s="2150"/>
      <c r="D104" s="1565"/>
      <c r="E104" s="1593"/>
      <c r="F104" s="1565"/>
      <c r="G104" s="2447" t="s">
        <v>3521</v>
      </c>
      <c r="H104" s="2448"/>
      <c r="I104" s="2448"/>
      <c r="J104" s="2449"/>
      <c r="K104" s="1540"/>
      <c r="L104" s="2052"/>
    </row>
    <row r="105" spans="1:12" ht="30" customHeight="1" x14ac:dyDescent="0.2">
      <c r="A105" s="1596">
        <v>64</v>
      </c>
      <c r="B105" s="1532" t="s">
        <v>1408</v>
      </c>
      <c r="C105" s="1564" t="s">
        <v>916</v>
      </c>
      <c r="D105" s="1540">
        <v>200000000</v>
      </c>
      <c r="E105" s="1537">
        <v>5.0999999999999997E-2</v>
      </c>
      <c r="F105" s="1540">
        <f t="shared" si="11"/>
        <v>10200000</v>
      </c>
      <c r="G105" s="1540">
        <v>10200000</v>
      </c>
      <c r="H105" s="1540" t="s">
        <v>3508</v>
      </c>
      <c r="I105" s="24" t="s">
        <v>1407</v>
      </c>
      <c r="J105" s="1540">
        <f>G105</f>
        <v>10200000</v>
      </c>
      <c r="K105" s="1540">
        <f>F105-J105</f>
        <v>0</v>
      </c>
      <c r="L105" s="103" t="s">
        <v>1409</v>
      </c>
    </row>
    <row r="106" spans="1:12" ht="30" customHeight="1" x14ac:dyDescent="0.2">
      <c r="A106" s="1535">
        <v>65</v>
      </c>
      <c r="B106" s="1594" t="s">
        <v>203</v>
      </c>
      <c r="C106" s="1564"/>
      <c r="D106" s="1540">
        <v>500000000</v>
      </c>
      <c r="E106" s="1593">
        <v>0.04</v>
      </c>
      <c r="F106" s="1540">
        <f t="shared" si="11"/>
        <v>20000000</v>
      </c>
      <c r="G106" s="1540"/>
      <c r="H106" s="1540"/>
      <c r="I106" s="24"/>
      <c r="J106" s="1540"/>
      <c r="K106" s="1540">
        <f>F106-J106</f>
        <v>20000000</v>
      </c>
      <c r="L106" s="1594" t="s">
        <v>1615</v>
      </c>
    </row>
    <row r="107" spans="1:12" ht="30" customHeight="1" x14ac:dyDescent="0.2">
      <c r="A107" s="426">
        <v>66</v>
      </c>
      <c r="B107" s="1591" t="s">
        <v>204</v>
      </c>
      <c r="C107" s="1595"/>
      <c r="D107" s="1554"/>
      <c r="E107" s="44"/>
      <c r="F107" s="1554">
        <f t="shared" si="11"/>
        <v>0</v>
      </c>
      <c r="G107" s="1565">
        <v>13140000</v>
      </c>
      <c r="H107" s="1565" t="s">
        <v>3646</v>
      </c>
      <c r="I107" s="1590" t="s">
        <v>3648</v>
      </c>
      <c r="J107" s="1565">
        <f>G107</f>
        <v>13140000</v>
      </c>
      <c r="K107" s="1554">
        <f>F107-J107</f>
        <v>-13140000</v>
      </c>
      <c r="L107" s="103"/>
    </row>
    <row r="108" spans="1:12" ht="30" customHeight="1" x14ac:dyDescent="0.2">
      <c r="A108" s="2031">
        <v>68</v>
      </c>
      <c r="B108" s="2029" t="s">
        <v>205</v>
      </c>
      <c r="C108" s="2149" t="s">
        <v>1350</v>
      </c>
      <c r="D108" s="2040">
        <v>150000000</v>
      </c>
      <c r="E108" s="2037">
        <v>0.05</v>
      </c>
      <c r="F108" s="2040">
        <f t="shared" si="11"/>
        <v>7500000</v>
      </c>
      <c r="G108" s="1540">
        <v>750000</v>
      </c>
      <c r="H108" s="1540" t="s">
        <v>3508</v>
      </c>
      <c r="I108" s="70" t="s">
        <v>2680</v>
      </c>
      <c r="J108" s="2040">
        <f>G108+G109</f>
        <v>7500000</v>
      </c>
      <c r="K108" s="2040">
        <f>F108-J108</f>
        <v>0</v>
      </c>
      <c r="L108" s="2101"/>
    </row>
    <row r="109" spans="1:12" ht="30" customHeight="1" x14ac:dyDescent="0.2">
      <c r="A109" s="2032"/>
      <c r="B109" s="2030"/>
      <c r="C109" s="2150"/>
      <c r="D109" s="2042"/>
      <c r="E109" s="2039"/>
      <c r="F109" s="2042"/>
      <c r="G109" s="1637">
        <v>6750000</v>
      </c>
      <c r="H109" s="1637" t="s">
        <v>3508</v>
      </c>
      <c r="I109" s="70" t="s">
        <v>2680</v>
      </c>
      <c r="J109" s="2042"/>
      <c r="K109" s="2042"/>
      <c r="L109" s="2102"/>
    </row>
    <row r="110" spans="1:12" ht="30" customHeight="1" x14ac:dyDescent="0.2">
      <c r="A110" s="1533">
        <v>69</v>
      </c>
      <c r="B110" s="1591" t="s">
        <v>206</v>
      </c>
      <c r="C110" s="1595" t="s">
        <v>916</v>
      </c>
      <c r="D110" s="1565">
        <v>280000000</v>
      </c>
      <c r="E110" s="1593">
        <f>F110/D110</f>
        <v>7.0000000000000007E-2</v>
      </c>
      <c r="F110" s="1565">
        <v>19600000</v>
      </c>
      <c r="G110" s="1565">
        <v>19600000</v>
      </c>
      <c r="H110" s="1565" t="s">
        <v>3564</v>
      </c>
      <c r="I110" s="1590" t="s">
        <v>963</v>
      </c>
      <c r="J110" s="1565">
        <f>G110</f>
        <v>19600000</v>
      </c>
      <c r="K110" s="1565">
        <f>F110-J110</f>
        <v>0</v>
      </c>
      <c r="L110" s="1583"/>
    </row>
    <row r="111" spans="1:12" ht="30" customHeight="1" x14ac:dyDescent="0.2">
      <c r="A111" s="2031">
        <v>70</v>
      </c>
      <c r="B111" s="2029" t="s">
        <v>207</v>
      </c>
      <c r="C111" s="2149" t="s">
        <v>916</v>
      </c>
      <c r="D111" s="2040">
        <v>100000000</v>
      </c>
      <c r="E111" s="2037">
        <v>0.04</v>
      </c>
      <c r="F111" s="2040">
        <f t="shared" si="11"/>
        <v>4000000</v>
      </c>
      <c r="G111" s="1540">
        <v>400000</v>
      </c>
      <c r="H111" s="1540" t="s">
        <v>3508</v>
      </c>
      <c r="I111" s="1570" t="s">
        <v>3552</v>
      </c>
      <c r="J111" s="2040">
        <f>G111+G112</f>
        <v>4000000</v>
      </c>
      <c r="K111" s="2040">
        <f>F111-J111</f>
        <v>0</v>
      </c>
      <c r="L111" s="2101"/>
    </row>
    <row r="112" spans="1:12" ht="30" customHeight="1" x14ac:dyDescent="0.2">
      <c r="A112" s="2032"/>
      <c r="B112" s="2030"/>
      <c r="C112" s="2150"/>
      <c r="D112" s="2042"/>
      <c r="E112" s="2039"/>
      <c r="F112" s="2042"/>
      <c r="G112" s="1637">
        <v>3600000</v>
      </c>
      <c r="H112" s="1637" t="s">
        <v>3508</v>
      </c>
      <c r="I112" s="1645" t="s">
        <v>3552</v>
      </c>
      <c r="J112" s="2042"/>
      <c r="K112" s="2042"/>
      <c r="L112" s="2102"/>
    </row>
    <row r="113" spans="1:12" ht="30" customHeight="1" x14ac:dyDescent="0.2">
      <c r="A113" s="1533"/>
      <c r="B113" s="1594" t="s">
        <v>208</v>
      </c>
      <c r="C113" s="1595" t="s">
        <v>971</v>
      </c>
      <c r="D113" s="1540">
        <v>30000000</v>
      </c>
      <c r="E113" s="1537">
        <v>0.05</v>
      </c>
      <c r="F113" s="1540">
        <f t="shared" si="11"/>
        <v>1500000</v>
      </c>
      <c r="G113" s="1644">
        <v>1500000</v>
      </c>
      <c r="H113" s="1644" t="s">
        <v>3508</v>
      </c>
      <c r="I113" s="1644" t="s">
        <v>1479</v>
      </c>
      <c r="J113" s="1644">
        <f>G113</f>
        <v>1500000</v>
      </c>
      <c r="K113" s="1637">
        <f>F113-J113</f>
        <v>0</v>
      </c>
      <c r="L113" s="1542"/>
    </row>
    <row r="114" spans="1:12" ht="30" customHeight="1" x14ac:dyDescent="0.2">
      <c r="A114" s="2031">
        <v>72</v>
      </c>
      <c r="B114" s="2029" t="s">
        <v>1053</v>
      </c>
      <c r="C114" s="2149"/>
      <c r="D114" s="2040">
        <v>1685000000</v>
      </c>
      <c r="E114" s="2037">
        <v>0.06</v>
      </c>
      <c r="F114" s="2040">
        <f t="shared" si="11"/>
        <v>101100000</v>
      </c>
      <c r="G114" s="1540">
        <v>50000000</v>
      </c>
      <c r="H114" s="1540" t="s">
        <v>3745</v>
      </c>
      <c r="I114" s="24" t="s">
        <v>3211</v>
      </c>
      <c r="J114" s="2040">
        <f>G114+G115</f>
        <v>100000000</v>
      </c>
      <c r="K114" s="2040">
        <f>F114-J114</f>
        <v>1100000</v>
      </c>
      <c r="L114" s="2188" t="s">
        <v>3483</v>
      </c>
    </row>
    <row r="115" spans="1:12" ht="30" customHeight="1" x14ac:dyDescent="0.2">
      <c r="A115" s="2032"/>
      <c r="B115" s="2030"/>
      <c r="C115" s="2150"/>
      <c r="D115" s="2042"/>
      <c r="E115" s="2039"/>
      <c r="F115" s="2042"/>
      <c r="G115" s="1540">
        <v>50000000</v>
      </c>
      <c r="H115" s="1540" t="s">
        <v>3811</v>
      </c>
      <c r="I115" s="24" t="s">
        <v>3211</v>
      </c>
      <c r="J115" s="2042"/>
      <c r="K115" s="2042"/>
      <c r="L115" s="2190"/>
    </row>
    <row r="116" spans="1:12" ht="30" customHeight="1" x14ac:dyDescent="0.2">
      <c r="A116" s="1535">
        <v>73</v>
      </c>
      <c r="B116" s="1594" t="s">
        <v>209</v>
      </c>
      <c r="C116" s="1564" t="s">
        <v>1348</v>
      </c>
      <c r="D116" s="1540">
        <v>20000000</v>
      </c>
      <c r="E116" s="1593">
        <v>0.05</v>
      </c>
      <c r="F116" s="1540">
        <f t="shared" si="11"/>
        <v>1000000</v>
      </c>
      <c r="G116" s="1540">
        <v>1000000</v>
      </c>
      <c r="H116" s="1540" t="s">
        <v>3581</v>
      </c>
      <c r="I116" s="24" t="s">
        <v>973</v>
      </c>
      <c r="J116" s="1540">
        <f>G116</f>
        <v>1000000</v>
      </c>
      <c r="K116" s="1540">
        <f>F116-J116</f>
        <v>0</v>
      </c>
      <c r="L116" s="1594"/>
    </row>
    <row r="117" spans="1:12" ht="30" customHeight="1" x14ac:dyDescent="0.2">
      <c r="A117" s="1596">
        <v>74</v>
      </c>
      <c r="B117" s="1594" t="s">
        <v>210</v>
      </c>
      <c r="C117" s="1564" t="s">
        <v>916</v>
      </c>
      <c r="D117" s="1540">
        <v>125000000</v>
      </c>
      <c r="E117" s="1593">
        <v>0.04</v>
      </c>
      <c r="F117" s="1540">
        <f t="shared" si="11"/>
        <v>5000000</v>
      </c>
      <c r="G117" s="1540">
        <v>5000000</v>
      </c>
      <c r="H117" s="1540" t="s">
        <v>3581</v>
      </c>
      <c r="I117" s="24" t="s">
        <v>3585</v>
      </c>
      <c r="J117" s="1540">
        <f>G117</f>
        <v>5000000</v>
      </c>
      <c r="K117" s="1540">
        <f>F117-J117</f>
        <v>0</v>
      </c>
      <c r="L117" s="1594"/>
    </row>
    <row r="118" spans="1:12" ht="30" customHeight="1" x14ac:dyDescent="0.2">
      <c r="A118" s="1535">
        <v>75</v>
      </c>
      <c r="B118" s="1594" t="s">
        <v>211</v>
      </c>
      <c r="C118" s="1564" t="s">
        <v>916</v>
      </c>
      <c r="D118" s="1540">
        <v>50000000</v>
      </c>
      <c r="E118" s="1593">
        <v>0.05</v>
      </c>
      <c r="F118" s="1540">
        <f t="shared" si="11"/>
        <v>2500000</v>
      </c>
      <c r="G118" s="1540">
        <v>2500000</v>
      </c>
      <c r="H118" s="1540" t="s">
        <v>3574</v>
      </c>
      <c r="I118" s="24" t="s">
        <v>977</v>
      </c>
      <c r="J118" s="1540">
        <f>G118</f>
        <v>2500000</v>
      </c>
      <c r="K118" s="1540">
        <f>F118-J118</f>
        <v>0</v>
      </c>
      <c r="L118" s="1594"/>
    </row>
    <row r="119" spans="1:12" ht="30" customHeight="1" x14ac:dyDescent="0.2">
      <c r="A119" s="1596">
        <v>76</v>
      </c>
      <c r="B119" s="1594" t="s">
        <v>3609</v>
      </c>
      <c r="C119" s="1564" t="s">
        <v>1348</v>
      </c>
      <c r="D119" s="1540">
        <v>100000000</v>
      </c>
      <c r="E119" s="1593">
        <v>0.05</v>
      </c>
      <c r="F119" s="1540">
        <f t="shared" si="11"/>
        <v>5000000</v>
      </c>
      <c r="G119" s="1540">
        <v>5000000</v>
      </c>
      <c r="H119" s="1540" t="s">
        <v>3610</v>
      </c>
      <c r="I119" s="24" t="s">
        <v>1634</v>
      </c>
      <c r="J119" s="1540">
        <f>G119</f>
        <v>5000000</v>
      </c>
      <c r="K119" s="1540">
        <f>F119-J119</f>
        <v>0</v>
      </c>
      <c r="L119" s="1594"/>
    </row>
    <row r="120" spans="1:12" ht="30" customHeight="1" x14ac:dyDescent="0.2">
      <c r="A120" s="2031">
        <v>77</v>
      </c>
      <c r="B120" s="2029" t="s">
        <v>213</v>
      </c>
      <c r="C120" s="2149" t="s">
        <v>1820</v>
      </c>
      <c r="D120" s="1540">
        <v>30000000</v>
      </c>
      <c r="E120" s="1593">
        <v>7.0000000000000007E-2</v>
      </c>
      <c r="F120" s="1540">
        <f t="shared" si="11"/>
        <v>2100000</v>
      </c>
      <c r="G120" s="2040">
        <v>3675000</v>
      </c>
      <c r="H120" s="2040" t="s">
        <v>3587</v>
      </c>
      <c r="I120" s="2119" t="s">
        <v>981</v>
      </c>
      <c r="J120" s="2040">
        <f>G120</f>
        <v>3675000</v>
      </c>
      <c r="K120" s="2040">
        <f>(F120+F121)-J120</f>
        <v>0</v>
      </c>
      <c r="L120" s="2051"/>
    </row>
    <row r="121" spans="1:12" ht="30" customHeight="1" x14ac:dyDescent="0.2">
      <c r="A121" s="2032"/>
      <c r="B121" s="2030"/>
      <c r="C121" s="2150"/>
      <c r="D121" s="1540">
        <v>35000000</v>
      </c>
      <c r="E121" s="1593">
        <v>4.4999999999999998E-2</v>
      </c>
      <c r="F121" s="1540">
        <f t="shared" si="11"/>
        <v>1575000</v>
      </c>
      <c r="G121" s="2042"/>
      <c r="H121" s="2042"/>
      <c r="I121" s="2120"/>
      <c r="J121" s="2042"/>
      <c r="K121" s="2042"/>
      <c r="L121" s="2052"/>
    </row>
    <row r="122" spans="1:12" ht="30" customHeight="1" x14ac:dyDescent="0.2">
      <c r="A122" s="1596">
        <v>78</v>
      </c>
      <c r="B122" s="1594" t="s">
        <v>214</v>
      </c>
      <c r="C122" s="1564"/>
      <c r="D122" s="1550"/>
      <c r="E122" s="44"/>
      <c r="F122" s="1550">
        <f t="shared" si="11"/>
        <v>0</v>
      </c>
      <c r="G122" s="1540">
        <v>1900000</v>
      </c>
      <c r="H122" s="1540" t="s">
        <v>3568</v>
      </c>
      <c r="I122" s="1606" t="s">
        <v>984</v>
      </c>
      <c r="J122" s="1540">
        <f t="shared" ref="J122:J128" si="12">G122</f>
        <v>1900000</v>
      </c>
      <c r="K122" s="1550">
        <f t="shared" ref="K122:K128" si="13">F122-J122</f>
        <v>-1900000</v>
      </c>
      <c r="L122" s="1594"/>
    </row>
    <row r="123" spans="1:12" ht="30" customHeight="1" x14ac:dyDescent="0.2">
      <c r="A123" s="1596">
        <v>79</v>
      </c>
      <c r="B123" s="1594" t="s">
        <v>215</v>
      </c>
      <c r="C123" s="1564" t="s">
        <v>916</v>
      </c>
      <c r="D123" s="1540">
        <v>15000000</v>
      </c>
      <c r="E123" s="1593">
        <v>4.4999999999999998E-2</v>
      </c>
      <c r="F123" s="1540">
        <f t="shared" si="11"/>
        <v>675000</v>
      </c>
      <c r="G123" s="1540">
        <v>675000</v>
      </c>
      <c r="H123" s="1540" t="s">
        <v>3508</v>
      </c>
      <c r="I123" s="24" t="s">
        <v>1879</v>
      </c>
      <c r="J123" s="1540">
        <f t="shared" si="12"/>
        <v>675000</v>
      </c>
      <c r="K123" s="1540">
        <f t="shared" si="13"/>
        <v>0</v>
      </c>
      <c r="L123" s="1594"/>
    </row>
    <row r="124" spans="1:12" ht="30" customHeight="1" x14ac:dyDescent="0.2">
      <c r="A124" s="1596">
        <v>80</v>
      </c>
      <c r="B124" s="1594" t="s">
        <v>185</v>
      </c>
      <c r="C124" s="1564" t="s">
        <v>1348</v>
      </c>
      <c r="D124" s="1540">
        <v>145000000</v>
      </c>
      <c r="E124" s="1593">
        <v>4.4999999999999998E-2</v>
      </c>
      <c r="F124" s="1540">
        <v>6775000</v>
      </c>
      <c r="G124" s="1540">
        <v>6775000</v>
      </c>
      <c r="H124" s="1540" t="s">
        <v>3574</v>
      </c>
      <c r="I124" s="1565" t="s">
        <v>2711</v>
      </c>
      <c r="J124" s="1540">
        <f t="shared" si="12"/>
        <v>6775000</v>
      </c>
      <c r="K124" s="1540">
        <f t="shared" si="13"/>
        <v>0</v>
      </c>
      <c r="L124" s="1594"/>
    </row>
    <row r="125" spans="1:12" ht="30" customHeight="1" x14ac:dyDescent="0.2">
      <c r="A125" s="1596">
        <v>81</v>
      </c>
      <c r="B125" s="1594" t="s">
        <v>216</v>
      </c>
      <c r="C125" s="1564"/>
      <c r="D125" s="1540">
        <v>5000000</v>
      </c>
      <c r="E125" s="1593">
        <v>0.04</v>
      </c>
      <c r="F125" s="1540">
        <f t="shared" si="11"/>
        <v>200000</v>
      </c>
      <c r="G125" s="1540">
        <v>200000</v>
      </c>
      <c r="H125" s="1540" t="s">
        <v>3581</v>
      </c>
      <c r="I125" s="24" t="s">
        <v>1435</v>
      </c>
      <c r="J125" s="1540">
        <f t="shared" si="12"/>
        <v>200000</v>
      </c>
      <c r="K125" s="1540">
        <f t="shared" si="13"/>
        <v>0</v>
      </c>
      <c r="L125" s="1594"/>
    </row>
    <row r="126" spans="1:12" ht="30" customHeight="1" x14ac:dyDescent="0.2">
      <c r="A126" s="1596">
        <v>82</v>
      </c>
      <c r="B126" s="1594" t="s">
        <v>217</v>
      </c>
      <c r="C126" s="1564"/>
      <c r="D126" s="1540">
        <v>16000000</v>
      </c>
      <c r="E126" s="1593">
        <v>0.05</v>
      </c>
      <c r="F126" s="1540">
        <f t="shared" si="11"/>
        <v>800000</v>
      </c>
      <c r="G126" s="1540">
        <v>800000</v>
      </c>
      <c r="H126" s="1540" t="s">
        <v>3564</v>
      </c>
      <c r="I126" s="1606" t="s">
        <v>993</v>
      </c>
      <c r="J126" s="1540">
        <f t="shared" si="12"/>
        <v>800000</v>
      </c>
      <c r="K126" s="1540">
        <f t="shared" si="13"/>
        <v>0</v>
      </c>
      <c r="L126" s="1594"/>
    </row>
    <row r="127" spans="1:12" ht="30" customHeight="1" x14ac:dyDescent="0.2">
      <c r="A127" s="1596">
        <v>83</v>
      </c>
      <c r="B127" s="1594" t="s">
        <v>218</v>
      </c>
      <c r="C127" s="1564" t="s">
        <v>1110</v>
      </c>
      <c r="D127" s="1540">
        <v>160000000</v>
      </c>
      <c r="E127" s="1593">
        <v>0.05</v>
      </c>
      <c r="F127" s="1540">
        <f>D127*E127</f>
        <v>8000000</v>
      </c>
      <c r="G127" s="1540">
        <v>8000000</v>
      </c>
      <c r="H127" s="1540" t="s">
        <v>3564</v>
      </c>
      <c r="I127" s="1565" t="s">
        <v>1792</v>
      </c>
      <c r="J127" s="1540">
        <f t="shared" si="12"/>
        <v>8000000</v>
      </c>
      <c r="K127" s="1540">
        <f t="shared" si="13"/>
        <v>0</v>
      </c>
      <c r="L127" s="1594"/>
    </row>
    <row r="128" spans="1:12" ht="30" customHeight="1" x14ac:dyDescent="0.2">
      <c r="A128" s="1596">
        <v>84</v>
      </c>
      <c r="B128" s="1594" t="s">
        <v>219</v>
      </c>
      <c r="C128" s="1564"/>
      <c r="D128" s="1540">
        <v>400000000</v>
      </c>
      <c r="E128" s="1593">
        <v>6.0999999999999999E-2</v>
      </c>
      <c r="F128" s="1540">
        <f t="shared" si="11"/>
        <v>24400000</v>
      </c>
      <c r="G128" s="1540">
        <v>24400000</v>
      </c>
      <c r="H128" s="1540" t="s">
        <v>3581</v>
      </c>
      <c r="I128" s="1606" t="s">
        <v>1649</v>
      </c>
      <c r="J128" s="1540">
        <f t="shared" si="12"/>
        <v>24400000</v>
      </c>
      <c r="K128" s="1540">
        <f t="shared" si="13"/>
        <v>0</v>
      </c>
      <c r="L128" s="1594"/>
    </row>
    <row r="129" spans="1:16" ht="30" customHeight="1" x14ac:dyDescent="0.2">
      <c r="A129" s="2031"/>
      <c r="B129" s="2029" t="s">
        <v>1004</v>
      </c>
      <c r="C129" s="2149" t="s">
        <v>916</v>
      </c>
      <c r="D129" s="2401">
        <v>850000000</v>
      </c>
      <c r="E129" s="2403">
        <f>F129/D129</f>
        <v>6.1647058823529409E-2</v>
      </c>
      <c r="F129" s="2401">
        <v>52400000</v>
      </c>
      <c r="G129" s="247">
        <v>40000000</v>
      </c>
      <c r="H129" s="1716" t="s">
        <v>3587</v>
      </c>
      <c r="I129" s="1716" t="s">
        <v>3663</v>
      </c>
      <c r="J129" s="2040">
        <f>G129+G130</f>
        <v>52400000</v>
      </c>
      <c r="K129" s="2040">
        <f>F129-J129</f>
        <v>0</v>
      </c>
      <c r="L129" s="2149"/>
    </row>
    <row r="130" spans="1:16" ht="30" customHeight="1" x14ac:dyDescent="0.2">
      <c r="A130" s="2032"/>
      <c r="B130" s="2030"/>
      <c r="C130" s="2150"/>
      <c r="D130" s="2402"/>
      <c r="E130" s="2404"/>
      <c r="F130" s="2402"/>
      <c r="G130" s="7">
        <v>12400000</v>
      </c>
      <c r="H130" s="7" t="s">
        <v>3680</v>
      </c>
      <c r="I130" s="1736" t="s">
        <v>2682</v>
      </c>
      <c r="J130" s="2042"/>
      <c r="K130" s="2042"/>
      <c r="L130" s="2150"/>
    </row>
    <row r="131" spans="1:16" ht="30" customHeight="1" x14ac:dyDescent="0.2">
      <c r="A131" s="1596">
        <v>86</v>
      </c>
      <c r="B131" s="1594" t="s">
        <v>220</v>
      </c>
      <c r="C131" s="1564"/>
      <c r="D131" s="1631">
        <v>108000000</v>
      </c>
      <c r="E131" s="1634">
        <v>0.05</v>
      </c>
      <c r="F131" s="1631">
        <f t="shared" si="11"/>
        <v>5400000</v>
      </c>
      <c r="G131" s="1631">
        <v>2400000</v>
      </c>
      <c r="H131" s="1631" t="s">
        <v>3574</v>
      </c>
      <c r="I131" s="1633" t="s">
        <v>1001</v>
      </c>
      <c r="J131" s="1633">
        <f>G131</f>
        <v>2400000</v>
      </c>
      <c r="K131" s="1633">
        <f>F131-J131</f>
        <v>3000000</v>
      </c>
      <c r="L131" s="1532" t="s">
        <v>3545</v>
      </c>
    </row>
    <row r="132" spans="1:16" ht="30" customHeight="1" x14ac:dyDescent="0.2">
      <c r="A132" s="1535"/>
      <c r="B132" s="1532" t="s">
        <v>177</v>
      </c>
      <c r="C132" s="1564"/>
      <c r="D132" s="1540">
        <v>723000000</v>
      </c>
      <c r="E132" s="1593">
        <f>F132/D132</f>
        <v>6.5560165975103737E-2</v>
      </c>
      <c r="F132" s="1540">
        <v>47400000</v>
      </c>
      <c r="G132" s="1540">
        <v>47400000</v>
      </c>
      <c r="H132" s="1540" t="s">
        <v>3587</v>
      </c>
      <c r="I132" s="21" t="s">
        <v>3205</v>
      </c>
      <c r="J132" s="1540">
        <f>G132</f>
        <v>47400000</v>
      </c>
      <c r="K132" s="1540">
        <f>F132-J132</f>
        <v>0</v>
      </c>
      <c r="L132" s="2223" t="s">
        <v>2495</v>
      </c>
      <c r="M132" s="2224"/>
      <c r="N132" s="2224"/>
      <c r="O132" s="2224"/>
      <c r="P132" s="2225"/>
    </row>
    <row r="133" spans="1:16" ht="30" customHeight="1" x14ac:dyDescent="0.2">
      <c r="A133" s="1596">
        <v>88</v>
      </c>
      <c r="B133" s="1594" t="s">
        <v>221</v>
      </c>
      <c r="C133" s="1564" t="s">
        <v>1350</v>
      </c>
      <c r="D133" s="1540">
        <v>45000000</v>
      </c>
      <c r="E133" s="1593">
        <v>0.04</v>
      </c>
      <c r="F133" s="1540">
        <v>2050000</v>
      </c>
      <c r="G133" s="1540">
        <v>2050000</v>
      </c>
      <c r="H133" s="1540" t="s">
        <v>3508</v>
      </c>
      <c r="I133" s="21" t="s">
        <v>779</v>
      </c>
      <c r="J133" s="1540">
        <f>G133</f>
        <v>2050000</v>
      </c>
      <c r="K133" s="1540">
        <f>F133-J133</f>
        <v>0</v>
      </c>
      <c r="L133" s="1594"/>
    </row>
    <row r="134" spans="1:16" ht="30" customHeight="1" x14ac:dyDescent="0.2">
      <c r="A134" s="2031">
        <v>89</v>
      </c>
      <c r="B134" s="2029" t="s">
        <v>222</v>
      </c>
      <c r="C134" s="2149" t="s">
        <v>1348</v>
      </c>
      <c r="D134" s="1529">
        <v>93000000</v>
      </c>
      <c r="E134" s="1593">
        <v>7.0000000000000007E-2</v>
      </c>
      <c r="F134" s="1565">
        <v>6500000</v>
      </c>
      <c r="G134" s="1615"/>
      <c r="H134" s="1615"/>
      <c r="I134" s="1615"/>
      <c r="J134" s="1539"/>
      <c r="K134" s="1539"/>
      <c r="L134" s="192" t="s">
        <v>3519</v>
      </c>
    </row>
    <row r="135" spans="1:16" ht="30" customHeight="1" x14ac:dyDescent="0.2">
      <c r="A135" s="2032"/>
      <c r="B135" s="2030"/>
      <c r="C135" s="2150"/>
      <c r="D135" s="1529">
        <v>450000000</v>
      </c>
      <c r="E135" s="1593">
        <v>0.05</v>
      </c>
      <c r="F135" s="1540">
        <f>D135*E135</f>
        <v>22500000</v>
      </c>
      <c r="G135" s="1615"/>
      <c r="H135" s="1615"/>
      <c r="I135" s="1615"/>
      <c r="J135" s="1539"/>
      <c r="K135" s="1539"/>
      <c r="L135" s="33" t="s">
        <v>3463</v>
      </c>
    </row>
    <row r="136" spans="1:16" ht="30" customHeight="1" x14ac:dyDescent="0.2">
      <c r="A136" s="2031">
        <v>90</v>
      </c>
      <c r="B136" s="2029" t="s">
        <v>223</v>
      </c>
      <c r="C136" s="2149" t="s">
        <v>1215</v>
      </c>
      <c r="D136" s="1540">
        <v>130000000</v>
      </c>
      <c r="E136" s="1593">
        <v>7.0000000000000007E-2</v>
      </c>
      <c r="F136" s="1540">
        <f>D136*E136</f>
        <v>9100000</v>
      </c>
      <c r="G136" s="2040">
        <v>14460000</v>
      </c>
      <c r="H136" s="2040" t="s">
        <v>3581</v>
      </c>
      <c r="I136" s="2128" t="s">
        <v>1925</v>
      </c>
      <c r="J136" s="2040">
        <f>G136</f>
        <v>14460000</v>
      </c>
      <c r="K136" s="2040">
        <f>(F136+F137)-J136</f>
        <v>0</v>
      </c>
      <c r="L136" s="2101"/>
    </row>
    <row r="137" spans="1:16" ht="30" customHeight="1" x14ac:dyDescent="0.2">
      <c r="A137" s="2032"/>
      <c r="B137" s="2030"/>
      <c r="C137" s="2150"/>
      <c r="D137" s="1540">
        <v>100000000</v>
      </c>
      <c r="E137" s="1593">
        <v>5.3999999999999999E-2</v>
      </c>
      <c r="F137" s="1540">
        <v>5360000</v>
      </c>
      <c r="G137" s="2042"/>
      <c r="H137" s="2042"/>
      <c r="I137" s="2129"/>
      <c r="J137" s="2042"/>
      <c r="K137" s="2042"/>
      <c r="L137" s="2102"/>
    </row>
    <row r="138" spans="1:16" ht="30" customHeight="1" x14ac:dyDescent="0.2">
      <c r="A138" s="2031">
        <v>91</v>
      </c>
      <c r="B138" s="2029" t="s">
        <v>224</v>
      </c>
      <c r="C138" s="2149"/>
      <c r="D138" s="1540">
        <v>50000000</v>
      </c>
      <c r="E138" s="1593">
        <v>0.05</v>
      </c>
      <c r="F138" s="1540">
        <f t="shared" si="11"/>
        <v>2500000</v>
      </c>
      <c r="G138" s="1540">
        <v>2500000</v>
      </c>
      <c r="H138" s="1540" t="s">
        <v>3632</v>
      </c>
      <c r="I138" s="21" t="s">
        <v>787</v>
      </c>
      <c r="J138" s="1540">
        <f>G138</f>
        <v>2500000</v>
      </c>
      <c r="K138" s="1540">
        <f>F138-J138</f>
        <v>0</v>
      </c>
      <c r="L138" s="2101"/>
    </row>
    <row r="139" spans="1:16" ht="30" customHeight="1" x14ac:dyDescent="0.2">
      <c r="A139" s="2032"/>
      <c r="B139" s="2030"/>
      <c r="C139" s="2150"/>
      <c r="D139" s="1812">
        <v>80000000</v>
      </c>
      <c r="E139" s="480">
        <v>0.05</v>
      </c>
      <c r="F139" s="1812">
        <f>D139*E139</f>
        <v>4000000</v>
      </c>
      <c r="G139" s="2182" t="s">
        <v>3837</v>
      </c>
      <c r="H139" s="2183"/>
      <c r="I139" s="2183"/>
      <c r="J139" s="2184"/>
      <c r="K139" s="1810"/>
      <c r="L139" s="2102"/>
    </row>
    <row r="140" spans="1:16" ht="30" customHeight="1" x14ac:dyDescent="0.2">
      <c r="A140" s="2031">
        <v>92</v>
      </c>
      <c r="B140" s="2101" t="s">
        <v>770</v>
      </c>
      <c r="C140" s="1595" t="s">
        <v>916</v>
      </c>
      <c r="D140" s="1565">
        <v>450000000</v>
      </c>
      <c r="E140" s="1593">
        <v>5.5E-2</v>
      </c>
      <c r="F140" s="1565">
        <v>24400000</v>
      </c>
      <c r="G140" s="1565">
        <v>24400000</v>
      </c>
      <c r="H140" s="1565" t="s">
        <v>3574</v>
      </c>
      <c r="I140" s="1590" t="s">
        <v>3153</v>
      </c>
      <c r="J140" s="1565">
        <f>G140</f>
        <v>24400000</v>
      </c>
      <c r="K140" s="1565">
        <f>F140-J140</f>
        <v>0</v>
      </c>
      <c r="L140" s="1591"/>
    </row>
    <row r="141" spans="1:16" ht="30" customHeight="1" x14ac:dyDescent="0.2">
      <c r="A141" s="2034"/>
      <c r="B141" s="2222"/>
      <c r="C141" s="2149" t="s">
        <v>1342</v>
      </c>
      <c r="D141" s="1540">
        <v>273000000</v>
      </c>
      <c r="E141" s="1537">
        <f>F141/D141</f>
        <v>5.4615384615384614E-2</v>
      </c>
      <c r="F141" s="1540">
        <v>14910000</v>
      </c>
      <c r="G141" s="1947" t="s">
        <v>3753</v>
      </c>
      <c r="H141" s="1948"/>
      <c r="I141" s="1948"/>
      <c r="J141" s="1949"/>
      <c r="K141" s="1565"/>
      <c r="L141" s="192" t="s">
        <v>3755</v>
      </c>
    </row>
    <row r="142" spans="1:16" ht="30" customHeight="1" x14ac:dyDescent="0.2">
      <c r="A142" s="2032"/>
      <c r="B142" s="2102"/>
      <c r="C142" s="2150"/>
      <c r="D142" s="1775">
        <v>100000000</v>
      </c>
      <c r="E142" s="1774">
        <v>5.5E-2</v>
      </c>
      <c r="F142" s="1773">
        <f>D142*E142</f>
        <v>5500000</v>
      </c>
      <c r="G142" s="1770"/>
      <c r="H142" s="7"/>
      <c r="I142" s="569"/>
      <c r="J142" s="1769"/>
      <c r="K142" s="1769"/>
      <c r="L142" s="192" t="s">
        <v>3754</v>
      </c>
    </row>
    <row r="143" spans="1:16" ht="30" customHeight="1" x14ac:dyDescent="0.2">
      <c r="A143" s="2031"/>
      <c r="B143" s="2029" t="s">
        <v>225</v>
      </c>
      <c r="C143" s="2149"/>
      <c r="D143" s="2097" t="s">
        <v>3621</v>
      </c>
      <c r="E143" s="2195"/>
      <c r="F143" s="2098"/>
      <c r="G143" s="1663">
        <v>50000000</v>
      </c>
      <c r="H143" s="1663" t="s">
        <v>3587</v>
      </c>
      <c r="I143" s="1671" t="s">
        <v>3588</v>
      </c>
      <c r="J143" s="2040">
        <f>G143+G144</f>
        <v>100000000</v>
      </c>
      <c r="K143" s="2040">
        <f>100000000-J143</f>
        <v>0</v>
      </c>
      <c r="L143" s="2149"/>
    </row>
    <row r="144" spans="1:16" ht="30" customHeight="1" x14ac:dyDescent="0.2">
      <c r="A144" s="2034"/>
      <c r="B144" s="2033"/>
      <c r="C144" s="2158"/>
      <c r="D144" s="2099"/>
      <c r="E144" s="2196"/>
      <c r="F144" s="2100"/>
      <c r="G144" s="1663">
        <v>50000000</v>
      </c>
      <c r="H144" s="1663" t="s">
        <v>3610</v>
      </c>
      <c r="I144" s="24" t="s">
        <v>3588</v>
      </c>
      <c r="J144" s="2042"/>
      <c r="K144" s="2042"/>
      <c r="L144" s="2158"/>
    </row>
    <row r="145" spans="1:12" ht="30" customHeight="1" x14ac:dyDescent="0.2">
      <c r="A145" s="2032"/>
      <c r="B145" s="2030"/>
      <c r="C145" s="2150"/>
      <c r="D145" s="1663">
        <v>50000000</v>
      </c>
      <c r="E145" s="1673"/>
      <c r="F145" s="1663"/>
      <c r="G145" s="2154" t="s">
        <v>3622</v>
      </c>
      <c r="H145" s="2155"/>
      <c r="I145" s="2155"/>
      <c r="J145" s="2156"/>
      <c r="K145" s="1663"/>
      <c r="L145" s="2150"/>
    </row>
    <row r="146" spans="1:12" ht="30" customHeight="1" x14ac:dyDescent="0.2">
      <c r="A146" s="1596">
        <v>94</v>
      </c>
      <c r="B146" s="1594" t="s">
        <v>1182</v>
      </c>
      <c r="C146" s="1564"/>
      <c r="D146" s="1540">
        <v>25000000</v>
      </c>
      <c r="E146" s="1593">
        <v>0.04</v>
      </c>
      <c r="F146" s="1540">
        <f>D146*E146</f>
        <v>1000000</v>
      </c>
      <c r="G146" s="1540">
        <v>1000000</v>
      </c>
      <c r="H146" s="1540" t="s">
        <v>3610</v>
      </c>
      <c r="I146" s="24" t="s">
        <v>1184</v>
      </c>
      <c r="J146" s="1540">
        <f>G146</f>
        <v>1000000</v>
      </c>
      <c r="K146" s="1540">
        <f>F146-J146</f>
        <v>0</v>
      </c>
      <c r="L146" s="1594"/>
    </row>
    <row r="147" spans="1:12" ht="30" customHeight="1" x14ac:dyDescent="0.2">
      <c r="A147" s="2031">
        <v>95</v>
      </c>
      <c r="B147" s="2029" t="s">
        <v>226</v>
      </c>
      <c r="C147" s="2149"/>
      <c r="D147" s="2040">
        <v>350000000</v>
      </c>
      <c r="E147" s="2037">
        <v>0.05</v>
      </c>
      <c r="F147" s="2040">
        <f>D147*E147</f>
        <v>17500000</v>
      </c>
      <c r="G147" s="1540">
        <v>12500000</v>
      </c>
      <c r="H147" s="1540" t="s">
        <v>3574</v>
      </c>
      <c r="I147" s="24" t="s">
        <v>3578</v>
      </c>
      <c r="J147" s="1808">
        <f>G147</f>
        <v>12500000</v>
      </c>
      <c r="K147" s="1808">
        <f>F147-J147</f>
        <v>5000000</v>
      </c>
      <c r="L147" s="2212" t="s">
        <v>1676</v>
      </c>
    </row>
    <row r="148" spans="1:12" ht="30" customHeight="1" x14ac:dyDescent="0.2">
      <c r="A148" s="2034"/>
      <c r="B148" s="2033"/>
      <c r="C148" s="2158"/>
      <c r="D148" s="2042"/>
      <c r="E148" s="2039"/>
      <c r="F148" s="2042"/>
      <c r="G148" s="2200" t="s">
        <v>3819</v>
      </c>
      <c r="H148" s="2201"/>
      <c r="I148" s="2201"/>
      <c r="J148" s="2202"/>
      <c r="K148" s="7"/>
      <c r="L148" s="2253"/>
    </row>
    <row r="149" spans="1:12" ht="30" customHeight="1" x14ac:dyDescent="0.2">
      <c r="A149" s="2032"/>
      <c r="B149" s="2030"/>
      <c r="C149" s="2150"/>
      <c r="D149" s="1805">
        <v>355000000</v>
      </c>
      <c r="E149" s="1803">
        <v>0.05</v>
      </c>
      <c r="F149" s="1805">
        <f>D149*E149</f>
        <v>17750000</v>
      </c>
      <c r="G149" s="1805"/>
      <c r="H149" s="1805"/>
      <c r="I149" s="24"/>
      <c r="J149" s="1808"/>
      <c r="K149" s="7"/>
      <c r="L149" s="2213"/>
    </row>
    <row r="150" spans="1:12" ht="30" customHeight="1" x14ac:dyDescent="0.2">
      <c r="A150" s="1596">
        <v>96</v>
      </c>
      <c r="B150" s="1594" t="s">
        <v>227</v>
      </c>
      <c r="C150" s="1564"/>
      <c r="D150" s="1540">
        <v>70000000</v>
      </c>
      <c r="E150" s="1593">
        <v>0.05</v>
      </c>
      <c r="F150" s="1540">
        <f>D150*E150</f>
        <v>3500000</v>
      </c>
      <c r="G150" s="1540">
        <v>3500000</v>
      </c>
      <c r="H150" s="1540" t="s">
        <v>3581</v>
      </c>
      <c r="I150" s="1565" t="s">
        <v>1512</v>
      </c>
      <c r="J150" s="1540">
        <f>F150</f>
        <v>3500000</v>
      </c>
      <c r="K150" s="1540">
        <f>F150-J150</f>
        <v>0</v>
      </c>
      <c r="L150" s="1594"/>
    </row>
    <row r="151" spans="1:12" ht="30" customHeight="1" x14ac:dyDescent="0.2">
      <c r="A151" s="1596">
        <v>97</v>
      </c>
      <c r="B151" s="1594" t="s">
        <v>228</v>
      </c>
      <c r="C151" s="1564"/>
      <c r="D151" s="1540">
        <v>100000000</v>
      </c>
      <c r="E151" s="1593">
        <v>0.04</v>
      </c>
      <c r="F151" s="1637">
        <f t="shared" ref="F151:F152" si="14">D151*E151</f>
        <v>4000000</v>
      </c>
      <c r="G151" s="1540"/>
      <c r="H151" s="1540"/>
      <c r="I151" s="24"/>
      <c r="J151" s="1540"/>
      <c r="K151" s="1540">
        <f>F151-J151</f>
        <v>4000000</v>
      </c>
      <c r="L151" s="1594"/>
    </row>
    <row r="152" spans="1:12" ht="30" customHeight="1" x14ac:dyDescent="0.2">
      <c r="A152" s="1596">
        <v>98</v>
      </c>
      <c r="B152" s="1594" t="s">
        <v>229</v>
      </c>
      <c r="C152" s="1564"/>
      <c r="D152" s="1540">
        <v>20000000</v>
      </c>
      <c r="E152" s="1593">
        <v>0.05</v>
      </c>
      <c r="F152" s="1637">
        <f t="shared" si="14"/>
        <v>1000000</v>
      </c>
      <c r="G152" s="1540">
        <v>1000000</v>
      </c>
      <c r="H152" s="1540" t="s">
        <v>3632</v>
      </c>
      <c r="I152" s="1565" t="s">
        <v>812</v>
      </c>
      <c r="J152" s="1540">
        <f>G152</f>
        <v>1000000</v>
      </c>
      <c r="K152" s="1540">
        <f>F152-J152</f>
        <v>0</v>
      </c>
      <c r="L152" s="1594"/>
    </row>
    <row r="153" spans="1:12" ht="30" customHeight="1" x14ac:dyDescent="0.2">
      <c r="A153" s="1596">
        <v>99</v>
      </c>
      <c r="B153" s="1594" t="s">
        <v>230</v>
      </c>
      <c r="C153" s="1564" t="s">
        <v>1352</v>
      </c>
      <c r="D153" s="1540">
        <v>100000000</v>
      </c>
      <c r="E153" s="1593">
        <v>0.04</v>
      </c>
      <c r="F153" s="1540">
        <f>D153*E153</f>
        <v>4000000</v>
      </c>
      <c r="G153" s="1540">
        <v>4000000</v>
      </c>
      <c r="H153" s="1540" t="s">
        <v>3508</v>
      </c>
      <c r="I153" s="1606" t="s">
        <v>3550</v>
      </c>
      <c r="J153" s="1540">
        <f>G153</f>
        <v>4000000</v>
      </c>
      <c r="K153" s="1540">
        <f>F153-J153</f>
        <v>0</v>
      </c>
      <c r="L153" s="1594"/>
    </row>
    <row r="154" spans="1:12" ht="30" customHeight="1" x14ac:dyDescent="0.2">
      <c r="A154" s="1596">
        <v>100</v>
      </c>
      <c r="B154" s="1594" t="s">
        <v>231</v>
      </c>
      <c r="C154" s="1564" t="s">
        <v>401</v>
      </c>
      <c r="D154" s="1540">
        <v>101000000</v>
      </c>
      <c r="E154" s="1593">
        <v>5.0999999999999997E-2</v>
      </c>
      <c r="F154" s="1637">
        <v>5100000</v>
      </c>
      <c r="G154" s="1540">
        <v>5100000</v>
      </c>
      <c r="H154" s="1540" t="s">
        <v>3610</v>
      </c>
      <c r="I154" s="24" t="s">
        <v>3002</v>
      </c>
      <c r="J154" s="1540">
        <f>G154</f>
        <v>5100000</v>
      </c>
      <c r="K154" s="1540">
        <f>F154-J154</f>
        <v>0</v>
      </c>
      <c r="L154" s="1594"/>
    </row>
    <row r="155" spans="1:12" ht="30" customHeight="1" x14ac:dyDescent="0.2">
      <c r="A155" s="2031"/>
      <c r="B155" s="2029" t="s">
        <v>180</v>
      </c>
      <c r="C155" s="2149" t="s">
        <v>1110</v>
      </c>
      <c r="D155" s="1565">
        <v>13000000</v>
      </c>
      <c r="E155" s="1593">
        <v>0.05</v>
      </c>
      <c r="F155" s="1540">
        <f>D155*E155</f>
        <v>650000</v>
      </c>
      <c r="G155" s="1471"/>
      <c r="H155" s="247"/>
      <c r="I155" s="247"/>
      <c r="J155" s="247"/>
      <c r="K155" s="1540"/>
      <c r="L155" s="1588" t="s">
        <v>3447</v>
      </c>
    </row>
    <row r="156" spans="1:12" ht="30" customHeight="1" x14ac:dyDescent="0.2">
      <c r="A156" s="2032"/>
      <c r="B156" s="2030"/>
      <c r="C156" s="2150"/>
      <c r="D156" s="1565">
        <v>80000000</v>
      </c>
      <c r="E156" s="1593">
        <v>0.06</v>
      </c>
      <c r="F156" s="1540">
        <f>D156*E156</f>
        <v>4800000</v>
      </c>
      <c r="G156" s="1540"/>
      <c r="H156" s="247"/>
      <c r="I156" s="247"/>
      <c r="J156" s="247"/>
      <c r="K156" s="1540"/>
      <c r="L156" s="1588" t="s">
        <v>3490</v>
      </c>
    </row>
    <row r="157" spans="1:12" ht="30" customHeight="1" x14ac:dyDescent="0.2">
      <c r="A157" s="1534"/>
      <c r="B157" s="1562" t="s">
        <v>2967</v>
      </c>
      <c r="C157" s="1579" t="s">
        <v>916</v>
      </c>
      <c r="D157" s="1559">
        <v>200000000</v>
      </c>
      <c r="E157" s="1560">
        <v>0.06</v>
      </c>
      <c r="F157" s="1559">
        <f t="shared" si="11"/>
        <v>12000000</v>
      </c>
      <c r="G157" s="1559"/>
      <c r="H157" s="1559"/>
      <c r="I157" s="1549"/>
      <c r="J157" s="1559"/>
      <c r="K157" s="1559"/>
      <c r="L157" s="1652"/>
    </row>
    <row r="158" spans="1:12" s="1618" customFormat="1" ht="30" customHeight="1" x14ac:dyDescent="0.2">
      <c r="A158" s="1596"/>
      <c r="B158" s="22" t="s">
        <v>233</v>
      </c>
      <c r="C158" s="1595" t="s">
        <v>1215</v>
      </c>
      <c r="D158" s="1565">
        <v>37000000</v>
      </c>
      <c r="E158" s="1593">
        <v>5.5E-2</v>
      </c>
      <c r="F158" s="1565">
        <v>2000000</v>
      </c>
      <c r="G158" s="1565">
        <v>2000000</v>
      </c>
      <c r="H158" s="1565" t="s">
        <v>3574</v>
      </c>
      <c r="I158" s="1565" t="s">
        <v>1647</v>
      </c>
      <c r="J158" s="1565">
        <f>G158</f>
        <v>2000000</v>
      </c>
      <c r="K158" s="1565">
        <f>F158-J158</f>
        <v>0</v>
      </c>
      <c r="L158" s="168" t="s">
        <v>3522</v>
      </c>
    </row>
    <row r="159" spans="1:12" ht="30" customHeight="1" x14ac:dyDescent="0.2">
      <c r="A159" s="1535">
        <v>104</v>
      </c>
      <c r="B159" s="1532" t="s">
        <v>234</v>
      </c>
      <c r="C159" s="1564" t="s">
        <v>1215</v>
      </c>
      <c r="D159" s="1540">
        <v>20000000</v>
      </c>
      <c r="E159" s="1537">
        <v>0.05</v>
      </c>
      <c r="F159" s="1540">
        <f t="shared" si="11"/>
        <v>1000000</v>
      </c>
      <c r="G159" s="1540">
        <v>1000000</v>
      </c>
      <c r="H159" s="1540" t="s">
        <v>3581</v>
      </c>
      <c r="I159" s="24" t="s">
        <v>3584</v>
      </c>
      <c r="J159" s="1540">
        <f>G159</f>
        <v>1000000</v>
      </c>
      <c r="K159" s="1540">
        <f>F159-J159</f>
        <v>0</v>
      </c>
      <c r="L159" s="1532"/>
    </row>
    <row r="160" spans="1:12" ht="30" customHeight="1" x14ac:dyDescent="0.2">
      <c r="A160" s="2031">
        <v>105</v>
      </c>
      <c r="B160" s="2259" t="s">
        <v>235</v>
      </c>
      <c r="C160" s="2149"/>
      <c r="D160" s="2080"/>
      <c r="E160" s="2082"/>
      <c r="F160" s="2080">
        <f t="shared" ref="F160:F197" si="15">D160*E160</f>
        <v>0</v>
      </c>
      <c r="G160" s="1540">
        <v>1900000</v>
      </c>
      <c r="H160" s="1540" t="s">
        <v>3564</v>
      </c>
      <c r="I160" s="24" t="s">
        <v>795</v>
      </c>
      <c r="J160" s="1540">
        <f>G160</f>
        <v>1900000</v>
      </c>
      <c r="K160" s="1550">
        <f>F160-J160</f>
        <v>-1900000</v>
      </c>
      <c r="L160" s="1594"/>
    </row>
    <row r="161" spans="1:12" ht="30" customHeight="1" x14ac:dyDescent="0.2">
      <c r="A161" s="2032"/>
      <c r="B161" s="2261"/>
      <c r="C161" s="2150"/>
      <c r="D161" s="2081"/>
      <c r="E161" s="2083"/>
      <c r="F161" s="2081"/>
      <c r="G161" s="1726">
        <v>2000000</v>
      </c>
      <c r="H161" s="1726" t="s">
        <v>3696</v>
      </c>
      <c r="I161" s="24" t="s">
        <v>3697</v>
      </c>
      <c r="J161" s="1726">
        <f>G161</f>
        <v>2000000</v>
      </c>
      <c r="K161" s="1731"/>
      <c r="L161" s="103" t="s">
        <v>3698</v>
      </c>
    </row>
    <row r="162" spans="1:12" ht="30" customHeight="1" x14ac:dyDescent="0.2">
      <c r="A162" s="2031">
        <v>106</v>
      </c>
      <c r="B162" s="2029" t="s">
        <v>236</v>
      </c>
      <c r="C162" s="2149"/>
      <c r="D162" s="1540">
        <v>100000000</v>
      </c>
      <c r="E162" s="1593">
        <v>0.04</v>
      </c>
      <c r="F162" s="1540">
        <f t="shared" si="15"/>
        <v>4000000</v>
      </c>
      <c r="G162" s="1540">
        <v>4000000</v>
      </c>
      <c r="H162" s="1540" t="s">
        <v>3680</v>
      </c>
      <c r="I162" s="1565" t="s">
        <v>797</v>
      </c>
      <c r="J162" s="1540">
        <f>F162</f>
        <v>4000000</v>
      </c>
      <c r="K162" s="1540">
        <f>F162-J162</f>
        <v>0</v>
      </c>
      <c r="L162" s="1594"/>
    </row>
    <row r="163" spans="1:12" ht="30" customHeight="1" x14ac:dyDescent="0.2">
      <c r="A163" s="2032"/>
      <c r="B163" s="2030"/>
      <c r="C163" s="2150"/>
      <c r="D163" s="1621">
        <v>180000000</v>
      </c>
      <c r="E163" s="1623">
        <v>0.05</v>
      </c>
      <c r="F163" s="1621">
        <f>D163*E163</f>
        <v>9000000</v>
      </c>
      <c r="G163" s="2454" t="s">
        <v>3841</v>
      </c>
      <c r="H163" s="2455"/>
      <c r="I163" s="2455"/>
      <c r="J163" s="2456"/>
      <c r="K163" s="1810"/>
      <c r="L163" s="1822"/>
    </row>
    <row r="164" spans="1:12" ht="30" customHeight="1" x14ac:dyDescent="0.2">
      <c r="A164" s="1596">
        <v>107</v>
      </c>
      <c r="B164" s="1594" t="s">
        <v>237</v>
      </c>
      <c r="C164" s="1564"/>
      <c r="D164" s="1540">
        <v>65000000</v>
      </c>
      <c r="E164" s="1593">
        <v>3.4000000000000002E-2</v>
      </c>
      <c r="F164" s="1540">
        <v>2200000</v>
      </c>
      <c r="G164" s="1540">
        <v>2200000</v>
      </c>
      <c r="H164" s="1540" t="s">
        <v>3574</v>
      </c>
      <c r="I164" s="1565" t="s">
        <v>821</v>
      </c>
      <c r="J164" s="1540">
        <f>G164</f>
        <v>2200000</v>
      </c>
      <c r="K164" s="1540">
        <f>F164-J164</f>
        <v>0</v>
      </c>
      <c r="L164" s="1594"/>
    </row>
    <row r="165" spans="1:12" ht="30" customHeight="1" x14ac:dyDescent="0.2">
      <c r="A165" s="2031">
        <v>108</v>
      </c>
      <c r="B165" s="2029" t="s">
        <v>238</v>
      </c>
      <c r="C165" s="2149"/>
      <c r="D165" s="2040">
        <v>1430000000</v>
      </c>
      <c r="E165" s="2037">
        <v>5.5E-2</v>
      </c>
      <c r="F165" s="2040">
        <f t="shared" si="15"/>
        <v>78650000</v>
      </c>
      <c r="G165" s="1920">
        <v>50000000</v>
      </c>
      <c r="H165" s="1920" t="s">
        <v>3587</v>
      </c>
      <c r="I165" s="24" t="s">
        <v>1767</v>
      </c>
      <c r="J165" s="2040">
        <f>G165+G166+G167</f>
        <v>78650000</v>
      </c>
      <c r="K165" s="2040">
        <f>F165-J165</f>
        <v>0</v>
      </c>
      <c r="L165" s="2212"/>
    </row>
    <row r="166" spans="1:12" ht="30" customHeight="1" x14ac:dyDescent="0.2">
      <c r="A166" s="2034"/>
      <c r="B166" s="2033"/>
      <c r="C166" s="2158"/>
      <c r="D166" s="2041"/>
      <c r="E166" s="2038"/>
      <c r="F166" s="2041"/>
      <c r="G166" s="1920">
        <v>20000000</v>
      </c>
      <c r="H166" s="1920" t="s">
        <v>3632</v>
      </c>
      <c r="I166" s="24" t="s">
        <v>1767</v>
      </c>
      <c r="J166" s="2041"/>
      <c r="K166" s="2041"/>
      <c r="L166" s="2253"/>
    </row>
    <row r="167" spans="1:12" ht="30" customHeight="1" x14ac:dyDescent="0.2">
      <c r="A167" s="2032"/>
      <c r="B167" s="2030"/>
      <c r="C167" s="2150"/>
      <c r="D167" s="2042"/>
      <c r="E167" s="2039"/>
      <c r="F167" s="2042"/>
      <c r="G167" s="1920">
        <v>8650000</v>
      </c>
      <c r="H167" s="1920" t="s">
        <v>3680</v>
      </c>
      <c r="I167" s="24" t="s">
        <v>1767</v>
      </c>
      <c r="J167" s="2042"/>
      <c r="K167" s="2042"/>
      <c r="L167" s="2213"/>
    </row>
    <row r="168" spans="1:12" ht="30" customHeight="1" x14ac:dyDescent="0.2">
      <c r="A168" s="1596">
        <v>109</v>
      </c>
      <c r="B168" s="1594" t="s">
        <v>239</v>
      </c>
      <c r="C168" s="1564"/>
      <c r="D168" s="1540">
        <v>1000000000</v>
      </c>
      <c r="E168" s="1593">
        <v>0.05</v>
      </c>
      <c r="F168" s="1540">
        <f t="shared" si="15"/>
        <v>50000000</v>
      </c>
      <c r="G168" s="1540">
        <v>50000000</v>
      </c>
      <c r="H168" s="1540" t="s">
        <v>3581</v>
      </c>
      <c r="I168" s="24" t="s">
        <v>3582</v>
      </c>
      <c r="J168" s="1540">
        <f>G168</f>
        <v>50000000</v>
      </c>
      <c r="K168" s="1540">
        <f>F168-J168</f>
        <v>0</v>
      </c>
      <c r="L168" s="1594"/>
    </row>
    <row r="169" spans="1:12" ht="30" customHeight="1" x14ac:dyDescent="0.2">
      <c r="A169" s="1596">
        <v>110</v>
      </c>
      <c r="B169" s="1591" t="s">
        <v>1964</v>
      </c>
      <c r="C169" s="1563" t="s">
        <v>1347</v>
      </c>
      <c r="D169" s="1540">
        <v>14000000</v>
      </c>
      <c r="E169" s="1593">
        <v>4.2999999999999997E-2</v>
      </c>
      <c r="F169" s="1540">
        <v>600000</v>
      </c>
      <c r="G169" s="1540">
        <v>600000</v>
      </c>
      <c r="H169" s="1540" t="s">
        <v>3708</v>
      </c>
      <c r="I169" s="24" t="s">
        <v>1976</v>
      </c>
      <c r="J169" s="1565">
        <f>G169</f>
        <v>600000</v>
      </c>
      <c r="K169" s="1565">
        <f>F169-J169</f>
        <v>0</v>
      </c>
      <c r="L169" s="22"/>
    </row>
    <row r="170" spans="1:12" ht="30" customHeight="1" x14ac:dyDescent="0.2">
      <c r="A170" s="2031">
        <v>111</v>
      </c>
      <c r="B170" s="2029" t="s">
        <v>240</v>
      </c>
      <c r="C170" s="2149" t="s">
        <v>401</v>
      </c>
      <c r="D170" s="1540">
        <v>20000000</v>
      </c>
      <c r="E170" s="1593">
        <v>4.4999999999999998E-2</v>
      </c>
      <c r="F170" s="1540">
        <f>D170*E170</f>
        <v>900000</v>
      </c>
      <c r="G170" s="1540">
        <v>900000</v>
      </c>
      <c r="H170" s="1540" t="s">
        <v>3574</v>
      </c>
      <c r="I170" s="24" t="s">
        <v>563</v>
      </c>
      <c r="J170" s="1565">
        <f>G170</f>
        <v>900000</v>
      </c>
      <c r="K170" s="1565">
        <f>F170-J170</f>
        <v>0</v>
      </c>
      <c r="L170" s="22"/>
    </row>
    <row r="171" spans="1:12" ht="30" customHeight="1" x14ac:dyDescent="0.2">
      <c r="A171" s="2032"/>
      <c r="B171" s="2030"/>
      <c r="C171" s="2150"/>
      <c r="D171" s="1663">
        <v>30000000</v>
      </c>
      <c r="E171" s="1682">
        <v>0.05</v>
      </c>
      <c r="F171" s="1663">
        <f>D171*E171</f>
        <v>1500000</v>
      </c>
      <c r="G171" s="2154" t="s">
        <v>3597</v>
      </c>
      <c r="H171" s="2155"/>
      <c r="I171" s="2155"/>
      <c r="J171" s="2156"/>
      <c r="K171" s="1663"/>
      <c r="L171" s="22"/>
    </row>
    <row r="172" spans="1:12" ht="30" customHeight="1" x14ac:dyDescent="0.2">
      <c r="A172" s="1596">
        <v>112</v>
      </c>
      <c r="B172" s="1594" t="s">
        <v>241</v>
      </c>
      <c r="C172" s="1595"/>
      <c r="D172" s="1540">
        <v>40000000</v>
      </c>
      <c r="E172" s="1593">
        <v>0.05</v>
      </c>
      <c r="F172" s="1540">
        <f t="shared" si="15"/>
        <v>2000000</v>
      </c>
      <c r="G172" s="1540">
        <v>2000000</v>
      </c>
      <c r="H172" s="1540" t="s">
        <v>3610</v>
      </c>
      <c r="I172" s="1606" t="s">
        <v>3612</v>
      </c>
      <c r="J172" s="1540">
        <f>G172</f>
        <v>2000000</v>
      </c>
      <c r="K172" s="1540">
        <f>F172-J172</f>
        <v>0</v>
      </c>
      <c r="L172" s="1594"/>
    </row>
    <row r="173" spans="1:12" ht="30" customHeight="1" x14ac:dyDescent="0.2">
      <c r="A173" s="1535"/>
      <c r="B173" s="1530" t="s">
        <v>242</v>
      </c>
      <c r="C173" s="1595" t="s">
        <v>411</v>
      </c>
      <c r="D173" s="1540">
        <v>250000000</v>
      </c>
      <c r="E173" s="1593">
        <v>0.05</v>
      </c>
      <c r="F173" s="1540">
        <f>D173*E173</f>
        <v>12500000</v>
      </c>
      <c r="G173" s="2274" t="s">
        <v>2915</v>
      </c>
      <c r="H173" s="2275"/>
      <c r="I173" s="2275"/>
      <c r="J173" s="2276"/>
      <c r="K173" s="1540"/>
      <c r="L173" s="1558"/>
    </row>
    <row r="174" spans="1:12" ht="30" customHeight="1" x14ac:dyDescent="0.2">
      <c r="A174" s="1596">
        <v>114</v>
      </c>
      <c r="B174" s="1594" t="s">
        <v>243</v>
      </c>
      <c r="C174" s="1564"/>
      <c r="D174" s="1540">
        <v>100000000</v>
      </c>
      <c r="E174" s="1593">
        <v>4.4999999999999998E-2</v>
      </c>
      <c r="F174" s="1540">
        <f t="shared" si="15"/>
        <v>4500000</v>
      </c>
      <c r="G174" s="1540"/>
      <c r="H174" s="1540"/>
      <c r="I174" s="89"/>
      <c r="J174" s="1540">
        <f>G174</f>
        <v>0</v>
      </c>
      <c r="K174" s="1540">
        <f>F174-J174</f>
        <v>4500000</v>
      </c>
      <c r="L174" s="1594"/>
    </row>
    <row r="175" spans="1:12" ht="30" customHeight="1" x14ac:dyDescent="0.2">
      <c r="A175" s="426">
        <v>115</v>
      </c>
      <c r="B175" s="1591" t="s">
        <v>244</v>
      </c>
      <c r="C175" s="1563" t="s">
        <v>1175</v>
      </c>
      <c r="D175" s="1538">
        <v>20000000</v>
      </c>
      <c r="E175" s="1536">
        <v>0.05</v>
      </c>
      <c r="F175" s="1538">
        <f t="shared" si="15"/>
        <v>1000000</v>
      </c>
      <c r="G175" s="1540"/>
      <c r="H175" s="1540"/>
      <c r="I175" s="24"/>
      <c r="J175" s="1540">
        <f>G175</f>
        <v>0</v>
      </c>
      <c r="K175" s="1540">
        <f>F175-J175</f>
        <v>1000000</v>
      </c>
      <c r="L175" s="1545"/>
    </row>
    <row r="176" spans="1:12" ht="30" customHeight="1" x14ac:dyDescent="0.2">
      <c r="A176" s="1093"/>
      <c r="B176" s="22" t="s">
        <v>246</v>
      </c>
      <c r="C176" s="1595" t="s">
        <v>916</v>
      </c>
      <c r="D176" s="1565">
        <v>445000000</v>
      </c>
      <c r="E176" s="1593">
        <v>4.4999999999999998E-2</v>
      </c>
      <c r="F176" s="1565">
        <v>20000000</v>
      </c>
      <c r="G176" s="1540"/>
      <c r="H176" s="1540"/>
      <c r="I176" s="89"/>
      <c r="J176" s="1540">
        <f>G176</f>
        <v>0</v>
      </c>
      <c r="K176" s="1540">
        <f>F176-J176</f>
        <v>20000000</v>
      </c>
      <c r="L176" s="103" t="s">
        <v>3523</v>
      </c>
    </row>
    <row r="177" spans="1:12" ht="30" customHeight="1" x14ac:dyDescent="0.2">
      <c r="A177" s="1535">
        <v>118</v>
      </c>
      <c r="B177" s="1532" t="s">
        <v>247</v>
      </c>
      <c r="C177" s="1564"/>
      <c r="D177" s="1540">
        <v>20000000</v>
      </c>
      <c r="E177" s="1537">
        <v>0.05</v>
      </c>
      <c r="F177" s="1540">
        <f t="shared" si="15"/>
        <v>1000000</v>
      </c>
      <c r="G177" s="1540">
        <v>1000000</v>
      </c>
      <c r="H177" s="1540" t="s">
        <v>3574</v>
      </c>
      <c r="I177" s="89" t="s">
        <v>3579</v>
      </c>
      <c r="J177" s="1540">
        <f>G177</f>
        <v>1000000</v>
      </c>
      <c r="K177" s="1540">
        <f>F177-J177</f>
        <v>0</v>
      </c>
      <c r="L177" s="1594"/>
    </row>
    <row r="178" spans="1:12" ht="30" customHeight="1" x14ac:dyDescent="0.2">
      <c r="A178" s="2031">
        <v>120</v>
      </c>
      <c r="B178" s="2029" t="s">
        <v>249</v>
      </c>
      <c r="C178" s="2149" t="s">
        <v>379</v>
      </c>
      <c r="D178" s="2040">
        <v>617000000</v>
      </c>
      <c r="E178" s="2037">
        <v>7.0000000000000007E-2</v>
      </c>
      <c r="F178" s="2040">
        <v>43200000</v>
      </c>
      <c r="G178" s="1565">
        <v>10200000</v>
      </c>
      <c r="H178" s="1565" t="s">
        <v>3733</v>
      </c>
      <c r="I178" s="1590" t="s">
        <v>3008</v>
      </c>
      <c r="J178" s="2040">
        <f>G178+G179</f>
        <v>43200000</v>
      </c>
      <c r="K178" s="2040">
        <f>F178-J178</f>
        <v>0</v>
      </c>
      <c r="L178" s="2101"/>
    </row>
    <row r="179" spans="1:12" ht="30" customHeight="1" x14ac:dyDescent="0.2">
      <c r="A179" s="2032"/>
      <c r="B179" s="2030"/>
      <c r="C179" s="2150"/>
      <c r="D179" s="2042"/>
      <c r="E179" s="2039"/>
      <c r="F179" s="2042"/>
      <c r="G179" s="1540">
        <v>33000000</v>
      </c>
      <c r="H179" s="1540" t="s">
        <v>3827</v>
      </c>
      <c r="I179" s="1590" t="s">
        <v>3008</v>
      </c>
      <c r="J179" s="2042"/>
      <c r="K179" s="2042"/>
      <c r="L179" s="2102"/>
    </row>
    <row r="180" spans="1:12" ht="30" customHeight="1" x14ac:dyDescent="0.2">
      <c r="A180" s="1596">
        <v>122</v>
      </c>
      <c r="B180" s="1594" t="s">
        <v>251</v>
      </c>
      <c r="C180" s="1564"/>
      <c r="D180" s="1540">
        <v>50000000</v>
      </c>
      <c r="E180" s="1593">
        <v>4.4999999999999998E-2</v>
      </c>
      <c r="F180" s="1540">
        <f t="shared" si="15"/>
        <v>2250000</v>
      </c>
      <c r="G180" s="1540">
        <v>2250000</v>
      </c>
      <c r="H180" s="1540" t="s">
        <v>3610</v>
      </c>
      <c r="I180" s="21" t="s">
        <v>1664</v>
      </c>
      <c r="J180" s="1540">
        <f>G180</f>
        <v>2250000</v>
      </c>
      <c r="K180" s="1540">
        <f>F180-J180</f>
        <v>0</v>
      </c>
      <c r="L180" s="1594"/>
    </row>
    <row r="181" spans="1:12" ht="30" customHeight="1" x14ac:dyDescent="0.2">
      <c r="A181" s="2031">
        <v>123</v>
      </c>
      <c r="B181" s="2101" t="s">
        <v>1748</v>
      </c>
      <c r="C181" s="2149" t="s">
        <v>1219</v>
      </c>
      <c r="D181" s="1540">
        <v>60000000</v>
      </c>
      <c r="E181" s="1593">
        <v>0.05</v>
      </c>
      <c r="F181" s="1540">
        <f t="shared" si="15"/>
        <v>3000000</v>
      </c>
      <c r="G181" s="2040">
        <v>4400000</v>
      </c>
      <c r="H181" s="2040" t="s">
        <v>3680</v>
      </c>
      <c r="I181" s="2128" t="s">
        <v>3682</v>
      </c>
      <c r="J181" s="2040">
        <f>G181</f>
        <v>4400000</v>
      </c>
      <c r="K181" s="2040">
        <f>(F181+F182)-J181</f>
        <v>0</v>
      </c>
      <c r="L181" s="2101"/>
    </row>
    <row r="182" spans="1:12" ht="30" customHeight="1" x14ac:dyDescent="0.2">
      <c r="A182" s="2034"/>
      <c r="B182" s="2222"/>
      <c r="C182" s="2150"/>
      <c r="D182" s="1540">
        <v>20000000</v>
      </c>
      <c r="E182" s="1593">
        <v>7.0000000000000007E-2</v>
      </c>
      <c r="F182" s="1540">
        <f t="shared" si="15"/>
        <v>1400000.0000000002</v>
      </c>
      <c r="G182" s="2042"/>
      <c r="H182" s="2042"/>
      <c r="I182" s="2129"/>
      <c r="J182" s="2042"/>
      <c r="K182" s="2042"/>
      <c r="L182" s="2102"/>
    </row>
    <row r="183" spans="1:12" ht="30" customHeight="1" x14ac:dyDescent="0.2">
      <c r="A183" s="2034"/>
      <c r="B183" s="2222"/>
      <c r="C183" s="1672"/>
      <c r="D183" s="1663">
        <v>52000000</v>
      </c>
      <c r="E183" s="1682"/>
      <c r="F183" s="1663"/>
      <c r="G183" s="2154" t="s">
        <v>3604</v>
      </c>
      <c r="H183" s="2155"/>
      <c r="I183" s="2155"/>
      <c r="J183" s="2156"/>
      <c r="K183" s="1663"/>
      <c r="L183" s="1669"/>
    </row>
    <row r="184" spans="1:12" ht="30" customHeight="1" x14ac:dyDescent="0.2">
      <c r="A184" s="2034"/>
      <c r="B184" s="2222"/>
      <c r="C184" s="2324" t="s">
        <v>3902</v>
      </c>
      <c r="D184" s="2325"/>
      <c r="E184" s="2325"/>
      <c r="F184" s="2326"/>
      <c r="G184" s="2240"/>
      <c r="H184" s="2241"/>
      <c r="I184" s="2241"/>
      <c r="J184" s="2242"/>
      <c r="K184" s="1898"/>
      <c r="L184" s="1896"/>
    </row>
    <row r="185" spans="1:12" ht="30" customHeight="1" x14ac:dyDescent="0.2">
      <c r="A185" s="2034"/>
      <c r="B185" s="2222"/>
      <c r="C185" s="2327"/>
      <c r="D185" s="2328"/>
      <c r="E185" s="2328"/>
      <c r="F185" s="2329"/>
      <c r="G185" s="2405" t="s">
        <v>3898</v>
      </c>
      <c r="H185" s="2405"/>
      <c r="I185" s="2405"/>
      <c r="J185" s="2405"/>
      <c r="K185" s="1688"/>
      <c r="L185" s="1896"/>
    </row>
    <row r="186" spans="1:12" ht="30" customHeight="1" x14ac:dyDescent="0.2">
      <c r="A186" s="2034"/>
      <c r="B186" s="2222"/>
      <c r="C186" s="2327"/>
      <c r="D186" s="2328"/>
      <c r="E186" s="2328"/>
      <c r="F186" s="2329"/>
      <c r="G186" s="2154" t="s">
        <v>3899</v>
      </c>
      <c r="H186" s="2155"/>
      <c r="I186" s="2155"/>
      <c r="J186" s="2155"/>
      <c r="K186" s="1892"/>
      <c r="L186" s="1896"/>
    </row>
    <row r="187" spans="1:12" ht="30" customHeight="1" x14ac:dyDescent="0.2">
      <c r="A187" s="2034"/>
      <c r="B187" s="2222"/>
      <c r="C187" s="2327"/>
      <c r="D187" s="2328"/>
      <c r="E187" s="2328"/>
      <c r="F187" s="2329"/>
      <c r="G187" s="2154" t="s">
        <v>3900</v>
      </c>
      <c r="H187" s="2155"/>
      <c r="I187" s="2155"/>
      <c r="J187" s="2155"/>
      <c r="K187" s="1892"/>
      <c r="L187" s="1896"/>
    </row>
    <row r="188" spans="1:12" ht="30" customHeight="1" x14ac:dyDescent="0.2">
      <c r="A188" s="2032"/>
      <c r="B188" s="2102"/>
      <c r="C188" s="2330"/>
      <c r="D188" s="2331"/>
      <c r="E188" s="2331"/>
      <c r="F188" s="2332"/>
      <c r="G188" s="2154" t="s">
        <v>3901</v>
      </c>
      <c r="H188" s="2155"/>
      <c r="I188" s="2155"/>
      <c r="J188" s="2155"/>
      <c r="K188" s="1892"/>
      <c r="L188" s="1896"/>
    </row>
    <row r="189" spans="1:12" ht="30" customHeight="1" x14ac:dyDescent="0.2">
      <c r="A189" s="1596">
        <v>124</v>
      </c>
      <c r="B189" s="1594" t="s">
        <v>253</v>
      </c>
      <c r="C189" s="1564" t="s">
        <v>401</v>
      </c>
      <c r="D189" s="1540">
        <v>200000000</v>
      </c>
      <c r="E189" s="1593">
        <v>0.05</v>
      </c>
      <c r="F189" s="1540">
        <f t="shared" si="15"/>
        <v>10000000</v>
      </c>
      <c r="G189" s="1540">
        <v>10000000</v>
      </c>
      <c r="H189" s="1540" t="s">
        <v>3708</v>
      </c>
      <c r="I189" s="21" t="s">
        <v>1473</v>
      </c>
      <c r="J189" s="1540">
        <f>G189</f>
        <v>10000000</v>
      </c>
      <c r="K189" s="1540">
        <f>F189-J189</f>
        <v>0</v>
      </c>
      <c r="L189" s="1594"/>
    </row>
    <row r="190" spans="1:12" ht="30" customHeight="1" x14ac:dyDescent="0.2">
      <c r="A190" s="426">
        <v>125</v>
      </c>
      <c r="B190" s="1591" t="s">
        <v>254</v>
      </c>
      <c r="C190" s="1595"/>
      <c r="D190" s="1565">
        <v>160000000</v>
      </c>
      <c r="E190" s="1593">
        <v>7.0000000000000007E-2</v>
      </c>
      <c r="F190" s="1565">
        <v>11000000</v>
      </c>
      <c r="G190" s="1540">
        <v>11000000</v>
      </c>
      <c r="H190" s="1540" t="s">
        <v>3610</v>
      </c>
      <c r="I190" s="24" t="s">
        <v>1727</v>
      </c>
      <c r="J190" s="1540">
        <f>G190</f>
        <v>11000000</v>
      </c>
      <c r="K190" s="1540">
        <f>F190-J190</f>
        <v>0</v>
      </c>
      <c r="L190" s="1594"/>
    </row>
    <row r="191" spans="1:12" ht="30" customHeight="1" x14ac:dyDescent="0.2">
      <c r="A191" s="1596">
        <v>126</v>
      </c>
      <c r="B191" s="1594" t="s">
        <v>255</v>
      </c>
      <c r="C191" s="1564" t="s">
        <v>411</v>
      </c>
      <c r="D191" s="1540">
        <v>180000000</v>
      </c>
      <c r="E191" s="1537">
        <v>4.4999999999999998E-2</v>
      </c>
      <c r="F191" s="1540">
        <f t="shared" si="15"/>
        <v>8100000</v>
      </c>
      <c r="G191" s="1540">
        <v>8100000</v>
      </c>
      <c r="H191" s="1540" t="s">
        <v>3587</v>
      </c>
      <c r="I191" s="24" t="s">
        <v>632</v>
      </c>
      <c r="J191" s="1540">
        <f>G191</f>
        <v>8100000</v>
      </c>
      <c r="K191" s="1540">
        <f>F191-J191</f>
        <v>0</v>
      </c>
      <c r="L191" s="1594"/>
    </row>
    <row r="192" spans="1:12" ht="30" customHeight="1" x14ac:dyDescent="0.2">
      <c r="A192" s="2031">
        <v>127</v>
      </c>
      <c r="B192" s="2029" t="s">
        <v>256</v>
      </c>
      <c r="C192" s="2149"/>
      <c r="D192" s="2040">
        <v>800000000</v>
      </c>
      <c r="E192" s="2037">
        <v>0.05</v>
      </c>
      <c r="F192" s="2040">
        <f t="shared" si="15"/>
        <v>40000000</v>
      </c>
      <c r="G192" s="2040">
        <v>40000000</v>
      </c>
      <c r="H192" s="2040" t="s">
        <v>3646</v>
      </c>
      <c r="I192" s="2128" t="s">
        <v>3652</v>
      </c>
      <c r="J192" s="2040">
        <f>G192+G193</f>
        <v>40000000</v>
      </c>
      <c r="K192" s="2040">
        <f>F192-J192</f>
        <v>0</v>
      </c>
      <c r="L192" s="2101"/>
    </row>
    <row r="193" spans="1:12" ht="30" customHeight="1" x14ac:dyDescent="0.2">
      <c r="A193" s="2032"/>
      <c r="B193" s="2030"/>
      <c r="C193" s="2150"/>
      <c r="D193" s="2042"/>
      <c r="E193" s="2039"/>
      <c r="F193" s="2042"/>
      <c r="G193" s="2042"/>
      <c r="H193" s="2042"/>
      <c r="I193" s="2129"/>
      <c r="J193" s="2042"/>
      <c r="K193" s="2042"/>
      <c r="L193" s="2102"/>
    </row>
    <row r="194" spans="1:12" ht="30" customHeight="1" x14ac:dyDescent="0.2">
      <c r="A194" s="1596">
        <v>128</v>
      </c>
      <c r="B194" s="1594" t="s">
        <v>257</v>
      </c>
      <c r="C194" s="1564"/>
      <c r="D194" s="1550"/>
      <c r="E194" s="44"/>
      <c r="F194" s="1550">
        <f t="shared" si="15"/>
        <v>0</v>
      </c>
      <c r="G194" s="1540"/>
      <c r="H194" s="1540"/>
      <c r="I194" s="24"/>
      <c r="J194" s="1540">
        <f>G194</f>
        <v>0</v>
      </c>
      <c r="K194" s="1550">
        <f>F194-J194</f>
        <v>0</v>
      </c>
      <c r="L194" s="1594"/>
    </row>
    <row r="195" spans="1:12" ht="30" customHeight="1" x14ac:dyDescent="0.2">
      <c r="A195" s="1596">
        <v>129</v>
      </c>
      <c r="B195" s="22" t="s">
        <v>258</v>
      </c>
      <c r="C195" s="1595" t="s">
        <v>1138</v>
      </c>
      <c r="D195" s="1565">
        <v>200000000</v>
      </c>
      <c r="E195" s="1593">
        <v>0.06</v>
      </c>
      <c r="F195" s="1565">
        <f>D195*E195</f>
        <v>12000000</v>
      </c>
      <c r="G195" s="1540"/>
      <c r="H195" s="1540"/>
      <c r="I195" s="24"/>
      <c r="J195" s="1540">
        <f>G195</f>
        <v>0</v>
      </c>
      <c r="K195" s="1540"/>
      <c r="L195" s="103"/>
    </row>
    <row r="196" spans="1:12" ht="30" customHeight="1" x14ac:dyDescent="0.2">
      <c r="A196" s="1596"/>
      <c r="B196" s="22" t="s">
        <v>1213</v>
      </c>
      <c r="C196" s="1595" t="s">
        <v>1354</v>
      </c>
      <c r="D196" s="1565">
        <v>150000000</v>
      </c>
      <c r="E196" s="1593">
        <v>0.05</v>
      </c>
      <c r="F196" s="1565">
        <f>D196*E196</f>
        <v>7500000</v>
      </c>
      <c r="G196" s="247"/>
      <c r="H196" s="247"/>
      <c r="I196" s="247"/>
      <c r="J196" s="247"/>
      <c r="K196" s="247"/>
      <c r="L196" s="103" t="s">
        <v>2733</v>
      </c>
    </row>
    <row r="197" spans="1:12" ht="30" customHeight="1" x14ac:dyDescent="0.2">
      <c r="A197" s="1596">
        <v>131</v>
      </c>
      <c r="B197" s="1532" t="s">
        <v>259</v>
      </c>
      <c r="C197" s="1564"/>
      <c r="D197" s="1540">
        <v>200000000</v>
      </c>
      <c r="E197" s="1537">
        <v>0.05</v>
      </c>
      <c r="F197" s="1540">
        <f t="shared" si="15"/>
        <v>10000000</v>
      </c>
      <c r="G197" s="1540">
        <v>10000000</v>
      </c>
      <c r="H197" s="1540" t="s">
        <v>3581</v>
      </c>
      <c r="I197" s="28" t="s">
        <v>3583</v>
      </c>
      <c r="J197" s="1540">
        <f>G197</f>
        <v>10000000</v>
      </c>
      <c r="K197" s="1540">
        <f>F197-J197</f>
        <v>0</v>
      </c>
      <c r="L197" s="103"/>
    </row>
    <row r="198" spans="1:12" ht="30" customHeight="1" x14ac:dyDescent="0.2">
      <c r="A198" s="2031"/>
      <c r="B198" s="2029" t="s">
        <v>1266</v>
      </c>
      <c r="C198" s="2149" t="s">
        <v>1750</v>
      </c>
      <c r="D198" s="2040">
        <v>490000000</v>
      </c>
      <c r="E198" s="2037">
        <v>0.05</v>
      </c>
      <c r="F198" s="2040">
        <f>D198*E198</f>
        <v>24500000</v>
      </c>
      <c r="G198" s="1540">
        <v>10000000</v>
      </c>
      <c r="H198" s="1540" t="s">
        <v>3587</v>
      </c>
      <c r="I198" s="1555" t="s">
        <v>1268</v>
      </c>
      <c r="J198" s="1540">
        <f>G198</f>
        <v>10000000</v>
      </c>
      <c r="K198" s="1540">
        <f>F198-14500000-J198</f>
        <v>0</v>
      </c>
      <c r="L198" s="103" t="s">
        <v>3524</v>
      </c>
    </row>
    <row r="199" spans="1:12" ht="30" customHeight="1" x14ac:dyDescent="0.2">
      <c r="A199" s="2032"/>
      <c r="B199" s="2030"/>
      <c r="C199" s="2150"/>
      <c r="D199" s="2042"/>
      <c r="E199" s="2039"/>
      <c r="F199" s="2042"/>
      <c r="G199" s="1845">
        <v>10000000</v>
      </c>
      <c r="H199" s="1845" t="s">
        <v>3864</v>
      </c>
      <c r="I199" s="1848" t="s">
        <v>1268</v>
      </c>
      <c r="J199" s="1845">
        <f>G199</f>
        <v>10000000</v>
      </c>
      <c r="K199" s="1845"/>
      <c r="L199" s="1846" t="s">
        <v>3865</v>
      </c>
    </row>
    <row r="200" spans="1:12" ht="30" customHeight="1" x14ac:dyDescent="0.2">
      <c r="A200" s="1596">
        <v>133</v>
      </c>
      <c r="B200" s="1532" t="s">
        <v>178</v>
      </c>
      <c r="C200" s="1564" t="s">
        <v>1821</v>
      </c>
      <c r="D200" s="1540">
        <v>100000000</v>
      </c>
      <c r="E200" s="1537">
        <v>0.05</v>
      </c>
      <c r="F200" s="1540">
        <f t="shared" ref="F200:F287" si="16">D200*E200</f>
        <v>5000000</v>
      </c>
      <c r="G200" s="1540">
        <v>5000000</v>
      </c>
      <c r="H200" s="1540" t="s">
        <v>3610</v>
      </c>
      <c r="I200" s="24" t="s">
        <v>534</v>
      </c>
      <c r="J200" s="1540">
        <f>G200</f>
        <v>5000000</v>
      </c>
      <c r="K200" s="1540">
        <f>F200-J200</f>
        <v>0</v>
      </c>
      <c r="L200" s="1545" t="s">
        <v>3256</v>
      </c>
    </row>
    <row r="201" spans="1:12" ht="30" customHeight="1" x14ac:dyDescent="0.2">
      <c r="A201" s="1533">
        <v>134</v>
      </c>
      <c r="B201" s="1591" t="s">
        <v>169</v>
      </c>
      <c r="C201" s="1595"/>
      <c r="D201" s="1565">
        <v>110000000</v>
      </c>
      <c r="E201" s="1593">
        <v>0.04</v>
      </c>
      <c r="F201" s="1565">
        <f t="shared" si="16"/>
        <v>4400000</v>
      </c>
      <c r="G201" s="1540">
        <v>4400000</v>
      </c>
      <c r="H201" s="1540" t="s">
        <v>3632</v>
      </c>
      <c r="I201" s="24" t="s">
        <v>522</v>
      </c>
      <c r="J201" s="1538">
        <f>G201</f>
        <v>4400000</v>
      </c>
      <c r="K201" s="1538">
        <f>F201-J201</f>
        <v>0</v>
      </c>
      <c r="L201" s="1557"/>
    </row>
    <row r="202" spans="1:12" ht="30" customHeight="1" x14ac:dyDescent="0.2">
      <c r="A202" s="2031">
        <v>135</v>
      </c>
      <c r="B202" s="2029" t="s">
        <v>7</v>
      </c>
      <c r="C202" s="1595" t="s">
        <v>401</v>
      </c>
      <c r="D202" s="1540">
        <v>100000000</v>
      </c>
      <c r="E202" s="1593">
        <v>0.05</v>
      </c>
      <c r="F202" s="1540">
        <f t="shared" si="16"/>
        <v>5000000</v>
      </c>
      <c r="G202" s="1540">
        <v>5000000</v>
      </c>
      <c r="H202" s="1540" t="s">
        <v>3574</v>
      </c>
      <c r="I202" s="30" t="s">
        <v>2326</v>
      </c>
      <c r="J202" s="2040">
        <f>G202+G203</f>
        <v>11000000</v>
      </c>
      <c r="K202" s="2040">
        <f>(F202+F203)-J202</f>
        <v>0</v>
      </c>
      <c r="L202" s="2101"/>
    </row>
    <row r="203" spans="1:12" ht="30" customHeight="1" x14ac:dyDescent="0.2">
      <c r="A203" s="2032"/>
      <c r="B203" s="2030"/>
      <c r="C203" s="1595" t="s">
        <v>1354</v>
      </c>
      <c r="D203" s="1540">
        <v>124000000</v>
      </c>
      <c r="E203" s="1593">
        <v>4.9000000000000002E-2</v>
      </c>
      <c r="F203" s="1540">
        <v>6000000</v>
      </c>
      <c r="G203" s="1540">
        <v>6000000</v>
      </c>
      <c r="H203" s="1540" t="s">
        <v>3844</v>
      </c>
      <c r="I203" s="57" t="s">
        <v>1645</v>
      </c>
      <c r="J203" s="2042"/>
      <c r="K203" s="2042"/>
      <c r="L203" s="2102"/>
    </row>
    <row r="204" spans="1:12" ht="30" customHeight="1" x14ac:dyDescent="0.2">
      <c r="A204" s="1596">
        <v>136</v>
      </c>
      <c r="B204" s="1594" t="s">
        <v>260</v>
      </c>
      <c r="C204" s="1564"/>
      <c r="D204" s="1550"/>
      <c r="E204" s="44"/>
      <c r="F204" s="1550">
        <f t="shared" si="16"/>
        <v>0</v>
      </c>
      <c r="G204" s="1540"/>
      <c r="H204" s="1540"/>
      <c r="I204" s="28"/>
      <c r="J204" s="1540"/>
      <c r="K204" s="1550">
        <f>F204-J204</f>
        <v>0</v>
      </c>
      <c r="L204" s="1545" t="s">
        <v>3306</v>
      </c>
    </row>
    <row r="205" spans="1:12" ht="30" customHeight="1" x14ac:dyDescent="0.2">
      <c r="A205" s="2031">
        <v>137</v>
      </c>
      <c r="B205" s="2029" t="s">
        <v>182</v>
      </c>
      <c r="C205" s="2149" t="s">
        <v>1219</v>
      </c>
      <c r="D205" s="1540">
        <v>210000000</v>
      </c>
      <c r="E205" s="1593">
        <f>F205/D205</f>
        <v>4.8571428571428571E-2</v>
      </c>
      <c r="F205" s="1540">
        <v>10200000</v>
      </c>
      <c r="G205" s="1540"/>
      <c r="H205" s="1540"/>
      <c r="I205" s="28"/>
      <c r="J205" s="1540">
        <f>G205</f>
        <v>0</v>
      </c>
      <c r="K205" s="1540">
        <f>F205-J205</f>
        <v>10200000</v>
      </c>
      <c r="L205" s="1545"/>
    </row>
    <row r="206" spans="1:12" ht="30" customHeight="1" x14ac:dyDescent="0.2">
      <c r="A206" s="2034"/>
      <c r="B206" s="2033"/>
      <c r="C206" s="2158"/>
      <c r="D206" s="1736">
        <v>210000000</v>
      </c>
      <c r="E206" s="1745">
        <v>4.9000000000000002E-2</v>
      </c>
      <c r="F206" s="1736">
        <v>10200000</v>
      </c>
      <c r="G206" s="1736">
        <v>10200000</v>
      </c>
      <c r="H206" s="1736" t="s">
        <v>3680</v>
      </c>
      <c r="I206" s="248" t="s">
        <v>1814</v>
      </c>
      <c r="J206" s="1736">
        <f>G206</f>
        <v>10200000</v>
      </c>
      <c r="K206" s="1736">
        <f>F206-J206</f>
        <v>0</v>
      </c>
      <c r="L206" s="1665"/>
    </row>
    <row r="207" spans="1:12" ht="30" customHeight="1" x14ac:dyDescent="0.2">
      <c r="A207" s="2034"/>
      <c r="B207" s="2033"/>
      <c r="C207" s="2158"/>
      <c r="D207" s="2269" t="s">
        <v>3645</v>
      </c>
      <c r="E207" s="1964"/>
      <c r="F207" s="2270"/>
      <c r="G207" s="1725">
        <v>100000000</v>
      </c>
      <c r="H207" s="1725" t="s">
        <v>3632</v>
      </c>
      <c r="I207" s="1695" t="s">
        <v>1814</v>
      </c>
      <c r="J207" s="1725">
        <f>G207</f>
        <v>100000000</v>
      </c>
      <c r="K207" s="1736"/>
      <c r="L207" s="1728"/>
    </row>
    <row r="208" spans="1:12" ht="30" customHeight="1" x14ac:dyDescent="0.2">
      <c r="A208" s="2032"/>
      <c r="B208" s="2030"/>
      <c r="C208" s="2150"/>
      <c r="D208" s="1673">
        <v>110000000</v>
      </c>
      <c r="E208" s="1682">
        <v>4.9000000000000002E-2</v>
      </c>
      <c r="F208" s="1673">
        <f>D208*E208</f>
        <v>5390000</v>
      </c>
      <c r="G208" s="2405" t="s">
        <v>3592</v>
      </c>
      <c r="H208" s="2405"/>
      <c r="I208" s="2405"/>
      <c r="J208" s="2405"/>
      <c r="K208" s="1736"/>
      <c r="L208" s="1665"/>
    </row>
    <row r="209" spans="1:12" ht="30" customHeight="1" x14ac:dyDescent="0.2">
      <c r="A209" s="2031">
        <v>138</v>
      </c>
      <c r="B209" s="2029" t="s">
        <v>262</v>
      </c>
      <c r="C209" s="2149" t="s">
        <v>1215</v>
      </c>
      <c r="D209" s="2040">
        <v>1000000000</v>
      </c>
      <c r="E209" s="2082">
        <v>0.06</v>
      </c>
      <c r="F209" s="2080">
        <f t="shared" si="16"/>
        <v>60000000</v>
      </c>
      <c r="G209" s="1663">
        <v>30000000</v>
      </c>
      <c r="H209" s="2040" t="s">
        <v>3587</v>
      </c>
      <c r="I209" s="2128" t="s">
        <v>542</v>
      </c>
      <c r="J209" s="2040">
        <f>G209+G210</f>
        <v>50000000</v>
      </c>
      <c r="K209" s="2040">
        <f>F209-J209</f>
        <v>10000000</v>
      </c>
      <c r="L209" s="2101"/>
    </row>
    <row r="210" spans="1:12" ht="30" customHeight="1" x14ac:dyDescent="0.2">
      <c r="A210" s="2034"/>
      <c r="B210" s="2033"/>
      <c r="C210" s="2158"/>
      <c r="D210" s="2041"/>
      <c r="E210" s="2127"/>
      <c r="F210" s="2126"/>
      <c r="G210" s="1673">
        <v>20000000</v>
      </c>
      <c r="H210" s="2042"/>
      <c r="I210" s="2129"/>
      <c r="J210" s="2042"/>
      <c r="K210" s="2042"/>
      <c r="L210" s="2222"/>
    </row>
    <row r="211" spans="1:12" ht="30" customHeight="1" x14ac:dyDescent="0.2">
      <c r="A211" s="2034"/>
      <c r="B211" s="2033"/>
      <c r="C211" s="2158"/>
      <c r="D211" s="2041"/>
      <c r="E211" s="2127"/>
      <c r="F211" s="2126"/>
      <c r="G211" s="247"/>
      <c r="H211" s="247"/>
      <c r="I211" s="247"/>
      <c r="J211" s="1540"/>
      <c r="K211" s="1540"/>
      <c r="L211" s="1681" t="s">
        <v>3589</v>
      </c>
    </row>
    <row r="212" spans="1:12" ht="30" customHeight="1" x14ac:dyDescent="0.2">
      <c r="A212" s="2034"/>
      <c r="B212" s="2033"/>
      <c r="C212" s="2158"/>
      <c r="D212" s="2041"/>
      <c r="E212" s="2127"/>
      <c r="F212" s="2126"/>
      <c r="G212" s="247"/>
      <c r="H212" s="247"/>
      <c r="I212" s="247"/>
      <c r="J212" s="1540"/>
      <c r="K212" s="1540"/>
      <c r="L212" s="1594"/>
    </row>
    <row r="213" spans="1:12" ht="30" customHeight="1" x14ac:dyDescent="0.2">
      <c r="A213" s="2034"/>
      <c r="B213" s="2033"/>
      <c r="C213" s="2158"/>
      <c r="D213" s="2041"/>
      <c r="E213" s="2127"/>
      <c r="F213" s="2126"/>
      <c r="G213" s="247"/>
      <c r="H213" s="247"/>
      <c r="I213" s="247"/>
      <c r="J213" s="1540"/>
      <c r="K213" s="1540"/>
      <c r="L213" s="1594"/>
    </row>
    <row r="214" spans="1:12" ht="30" customHeight="1" x14ac:dyDescent="0.2">
      <c r="A214" s="2032"/>
      <c r="B214" s="2030"/>
      <c r="C214" s="2150"/>
      <c r="D214" s="2042"/>
      <c r="E214" s="2083"/>
      <c r="F214" s="2081"/>
      <c r="G214" s="1242"/>
      <c r="H214" s="1242"/>
      <c r="I214" s="1242"/>
      <c r="J214" s="1540"/>
      <c r="K214" s="1540"/>
      <c r="L214" s="1594"/>
    </row>
    <row r="215" spans="1:12" ht="30" customHeight="1" x14ac:dyDescent="0.2">
      <c r="A215" s="1596">
        <v>139</v>
      </c>
      <c r="B215" s="22" t="s">
        <v>163</v>
      </c>
      <c r="C215" s="1564" t="s">
        <v>1821</v>
      </c>
      <c r="D215" s="1565">
        <v>110000000</v>
      </c>
      <c r="E215" s="1593">
        <v>0.05</v>
      </c>
      <c r="F215" s="1565">
        <f t="shared" si="16"/>
        <v>5500000</v>
      </c>
      <c r="G215" s="1540">
        <v>5500000</v>
      </c>
      <c r="H215" s="1540" t="s">
        <v>3632</v>
      </c>
      <c r="I215" s="30" t="s">
        <v>2899</v>
      </c>
      <c r="J215" s="1565">
        <f>G215</f>
        <v>5500000</v>
      </c>
      <c r="K215" s="1565">
        <f>F215-J215</f>
        <v>0</v>
      </c>
      <c r="L215" s="22"/>
    </row>
    <row r="216" spans="1:12" ht="30" customHeight="1" x14ac:dyDescent="0.2">
      <c r="A216" s="1596"/>
      <c r="B216" s="22" t="s">
        <v>2404</v>
      </c>
      <c r="C216" s="1564" t="s">
        <v>265</v>
      </c>
      <c r="D216" s="1565">
        <v>50000000</v>
      </c>
      <c r="E216" s="1593">
        <v>0.05</v>
      </c>
      <c r="F216" s="1565">
        <f>D216*E216</f>
        <v>2500000</v>
      </c>
      <c r="G216" s="1540">
        <v>2500000</v>
      </c>
      <c r="H216" s="1540" t="s">
        <v>3708</v>
      </c>
      <c r="I216" s="30" t="s">
        <v>1837</v>
      </c>
      <c r="J216" s="1565">
        <f>G216</f>
        <v>2500000</v>
      </c>
      <c r="K216" s="1565">
        <f>F216-J216</f>
        <v>0</v>
      </c>
      <c r="L216" s="22"/>
    </row>
    <row r="217" spans="1:12" ht="30" customHeight="1" x14ac:dyDescent="0.2">
      <c r="A217" s="1596">
        <v>140</v>
      </c>
      <c r="B217" s="1594" t="s">
        <v>546</v>
      </c>
      <c r="C217" s="1564" t="s">
        <v>380</v>
      </c>
      <c r="D217" s="1540">
        <v>150000000</v>
      </c>
      <c r="E217" s="1593">
        <v>0.04</v>
      </c>
      <c r="F217" s="1540">
        <f t="shared" si="16"/>
        <v>6000000</v>
      </c>
      <c r="G217" s="1540">
        <v>6000000</v>
      </c>
      <c r="H217" s="1540" t="s">
        <v>3632</v>
      </c>
      <c r="I217" s="21" t="s">
        <v>2824</v>
      </c>
      <c r="J217" s="1540">
        <f>G217</f>
        <v>6000000</v>
      </c>
      <c r="K217" s="1540">
        <f>F217-J217</f>
        <v>0</v>
      </c>
      <c r="L217" s="1594"/>
    </row>
    <row r="218" spans="1:12" ht="30" customHeight="1" x14ac:dyDescent="0.2">
      <c r="A218" s="1596">
        <v>141</v>
      </c>
      <c r="B218" s="1594" t="s">
        <v>8</v>
      </c>
      <c r="C218" s="1564"/>
      <c r="D218" s="1540">
        <v>30000000</v>
      </c>
      <c r="E218" s="1593">
        <v>0.05</v>
      </c>
      <c r="F218" s="1540">
        <f t="shared" si="16"/>
        <v>1500000</v>
      </c>
      <c r="G218" s="1540"/>
      <c r="H218" s="1540"/>
      <c r="I218" s="24"/>
      <c r="J218" s="1540">
        <f>G218</f>
        <v>0</v>
      </c>
      <c r="K218" s="1540">
        <f>F218-J218</f>
        <v>1500000</v>
      </c>
      <c r="L218" s="1594"/>
    </row>
    <row r="219" spans="1:12" ht="30" customHeight="1" x14ac:dyDescent="0.2">
      <c r="A219" s="2031">
        <v>142</v>
      </c>
      <c r="B219" s="2101" t="s">
        <v>9</v>
      </c>
      <c r="C219" s="2149"/>
      <c r="D219" s="2040">
        <v>2000000000</v>
      </c>
      <c r="E219" s="2037">
        <v>0.08</v>
      </c>
      <c r="F219" s="2040">
        <f>D219*E219</f>
        <v>160000000</v>
      </c>
      <c r="G219" s="247"/>
      <c r="H219" s="247"/>
      <c r="I219" s="247"/>
      <c r="J219" s="2040">
        <f>G219+G220+G221+G222+G223+G224+G225+G226+G227+G228</f>
        <v>72000000</v>
      </c>
      <c r="K219" s="2040">
        <f>160000000-J219</f>
        <v>88000000</v>
      </c>
      <c r="L219" s="2051" t="s">
        <v>3525</v>
      </c>
    </row>
    <row r="220" spans="1:12" ht="30" customHeight="1" x14ac:dyDescent="0.2">
      <c r="A220" s="2034"/>
      <c r="B220" s="2222"/>
      <c r="C220" s="2158"/>
      <c r="D220" s="2041"/>
      <c r="E220" s="2038"/>
      <c r="F220" s="2041"/>
      <c r="G220" s="1540"/>
      <c r="H220" s="1540"/>
      <c r="I220" s="1590"/>
      <c r="J220" s="2041"/>
      <c r="K220" s="2041"/>
      <c r="L220" s="2191"/>
    </row>
    <row r="221" spans="1:12" ht="30" customHeight="1" x14ac:dyDescent="0.2">
      <c r="A221" s="2034"/>
      <c r="B221" s="2222"/>
      <c r="C221" s="2158"/>
      <c r="D221" s="2041"/>
      <c r="E221" s="2038"/>
      <c r="F221" s="2041"/>
      <c r="G221" s="1810">
        <v>23000000</v>
      </c>
      <c r="H221" s="1816" t="s">
        <v>3827</v>
      </c>
      <c r="I221" s="1816" t="s">
        <v>2061</v>
      </c>
      <c r="J221" s="2041"/>
      <c r="K221" s="2041"/>
      <c r="L221" s="2191"/>
    </row>
    <row r="222" spans="1:12" ht="30" customHeight="1" x14ac:dyDescent="0.2">
      <c r="A222" s="2034"/>
      <c r="B222" s="2222"/>
      <c r="C222" s="2158"/>
      <c r="D222" s="2041"/>
      <c r="E222" s="2038"/>
      <c r="F222" s="2041"/>
      <c r="G222" s="1810">
        <v>10000000</v>
      </c>
      <c r="H222" s="1810" t="s">
        <v>3827</v>
      </c>
      <c r="I222" s="1816" t="s">
        <v>2061</v>
      </c>
      <c r="J222" s="2041"/>
      <c r="K222" s="2041"/>
      <c r="L222" s="2191"/>
    </row>
    <row r="223" spans="1:12" ht="30" customHeight="1" x14ac:dyDescent="0.2">
      <c r="A223" s="2034"/>
      <c r="B223" s="2222"/>
      <c r="C223" s="2158"/>
      <c r="D223" s="2041"/>
      <c r="E223" s="2038"/>
      <c r="F223" s="2041"/>
      <c r="G223" s="1540">
        <v>17000000</v>
      </c>
      <c r="H223" s="1540" t="s">
        <v>3827</v>
      </c>
      <c r="I223" s="1590" t="s">
        <v>550</v>
      </c>
      <c r="J223" s="2041"/>
      <c r="K223" s="2041"/>
      <c r="L223" s="2191"/>
    </row>
    <row r="224" spans="1:12" ht="30" customHeight="1" x14ac:dyDescent="0.2">
      <c r="A224" s="2034"/>
      <c r="B224" s="2222"/>
      <c r="C224" s="2158"/>
      <c r="D224" s="2041"/>
      <c r="E224" s="2038"/>
      <c r="F224" s="2041"/>
      <c r="G224" s="1540">
        <v>10000000</v>
      </c>
      <c r="H224" s="1540" t="s">
        <v>3883</v>
      </c>
      <c r="I224" s="1590" t="s">
        <v>3885</v>
      </c>
      <c r="J224" s="2041"/>
      <c r="K224" s="2041"/>
      <c r="L224" s="2191"/>
    </row>
    <row r="225" spans="1:12" ht="30" customHeight="1" x14ac:dyDescent="0.2">
      <c r="A225" s="2034"/>
      <c r="B225" s="2222"/>
      <c r="C225" s="2158"/>
      <c r="D225" s="2041"/>
      <c r="E225" s="2038"/>
      <c r="F225" s="2041"/>
      <c r="G225" s="1540">
        <v>12000000</v>
      </c>
      <c r="H225" s="1540" t="s">
        <v>3883</v>
      </c>
      <c r="I225" s="427" t="s">
        <v>2061</v>
      </c>
      <c r="J225" s="2041"/>
      <c r="K225" s="2041"/>
      <c r="L225" s="2191"/>
    </row>
    <row r="226" spans="1:12" ht="30" customHeight="1" x14ac:dyDescent="0.2">
      <c r="A226" s="2034"/>
      <c r="B226" s="2222"/>
      <c r="C226" s="2158"/>
      <c r="D226" s="2041"/>
      <c r="E226" s="2038"/>
      <c r="F226" s="2041"/>
      <c r="G226" s="1540"/>
      <c r="H226" s="1540"/>
      <c r="I226" s="1590"/>
      <c r="J226" s="2041"/>
      <c r="K226" s="2041"/>
      <c r="L226" s="2191"/>
    </row>
    <row r="227" spans="1:12" ht="30" customHeight="1" x14ac:dyDescent="0.2">
      <c r="A227" s="2034"/>
      <c r="B227" s="2222"/>
      <c r="C227" s="2158"/>
      <c r="D227" s="2041"/>
      <c r="E227" s="2038"/>
      <c r="F227" s="2041"/>
      <c r="G227" s="1540"/>
      <c r="H227" s="1540"/>
      <c r="I227" s="1590"/>
      <c r="J227" s="2041"/>
      <c r="K227" s="2041"/>
      <c r="L227" s="2191"/>
    </row>
    <row r="228" spans="1:12" ht="30" customHeight="1" x14ac:dyDescent="0.2">
      <c r="A228" s="2032"/>
      <c r="B228" s="2102"/>
      <c r="C228" s="2150"/>
      <c r="D228" s="2042"/>
      <c r="E228" s="2039"/>
      <c r="F228" s="2042"/>
      <c r="G228" s="1540"/>
      <c r="H228" s="1540"/>
      <c r="I228" s="1590"/>
      <c r="J228" s="2042"/>
      <c r="K228" s="2042"/>
      <c r="L228" s="2052"/>
    </row>
    <row r="229" spans="1:12" ht="30" customHeight="1" x14ac:dyDescent="0.2">
      <c r="A229" s="1596">
        <v>143</v>
      </c>
      <c r="B229" s="1594" t="s">
        <v>10</v>
      </c>
      <c r="C229" s="1564"/>
      <c r="D229" s="1540">
        <v>50000000</v>
      </c>
      <c r="E229" s="1593">
        <v>0.04</v>
      </c>
      <c r="F229" s="1540">
        <f t="shared" si="16"/>
        <v>2000000</v>
      </c>
      <c r="G229" s="1540">
        <v>2000000</v>
      </c>
      <c r="H229" s="1540" t="s">
        <v>3610</v>
      </c>
      <c r="I229" s="30" t="s">
        <v>3074</v>
      </c>
      <c r="J229" s="1540">
        <f>G229</f>
        <v>2000000</v>
      </c>
      <c r="K229" s="1540">
        <f>F229-J229</f>
        <v>0</v>
      </c>
      <c r="L229" s="103" t="s">
        <v>3483</v>
      </c>
    </row>
    <row r="230" spans="1:12" ht="30" customHeight="1" x14ac:dyDescent="0.2">
      <c r="A230" s="1596">
        <v>144</v>
      </c>
      <c r="B230" s="1594" t="s">
        <v>527</v>
      </c>
      <c r="C230" s="1564"/>
      <c r="D230" s="1540">
        <v>5000000</v>
      </c>
      <c r="E230" s="1593">
        <v>0.05</v>
      </c>
      <c r="F230" s="1540">
        <f t="shared" si="16"/>
        <v>250000</v>
      </c>
      <c r="G230" s="1540">
        <v>250000</v>
      </c>
      <c r="H230" s="1540" t="s">
        <v>3574</v>
      </c>
      <c r="I230" s="24" t="s">
        <v>3580</v>
      </c>
      <c r="J230" s="1540">
        <f>G230</f>
        <v>250000</v>
      </c>
      <c r="K230" s="1540">
        <f>F230-J230</f>
        <v>0</v>
      </c>
      <c r="L230" s="1594"/>
    </row>
    <row r="231" spans="1:12" ht="30" customHeight="1" x14ac:dyDescent="0.2">
      <c r="A231" s="1596">
        <v>145</v>
      </c>
      <c r="B231" s="1594" t="s">
        <v>11</v>
      </c>
      <c r="C231" s="1564" t="s">
        <v>1215</v>
      </c>
      <c r="D231" s="1540">
        <v>105000000</v>
      </c>
      <c r="E231" s="1593">
        <v>0.04</v>
      </c>
      <c r="F231" s="1540">
        <f t="shared" si="16"/>
        <v>4200000</v>
      </c>
      <c r="G231" s="1540">
        <v>4200000</v>
      </c>
      <c r="H231" s="1540" t="s">
        <v>3632</v>
      </c>
      <c r="I231" s="21" t="s">
        <v>3673</v>
      </c>
      <c r="J231" s="1540">
        <f>G231</f>
        <v>4200000</v>
      </c>
      <c r="K231" s="1540">
        <f>F231-J231</f>
        <v>0</v>
      </c>
      <c r="L231" s="1594"/>
    </row>
    <row r="232" spans="1:12" ht="30" customHeight="1" x14ac:dyDescent="0.2">
      <c r="A232" s="1596">
        <v>146</v>
      </c>
      <c r="B232" s="1594" t="s">
        <v>12</v>
      </c>
      <c r="C232" s="1564"/>
      <c r="D232" s="1540">
        <v>50000000</v>
      </c>
      <c r="E232" s="1593">
        <v>4.4999999999999998E-2</v>
      </c>
      <c r="F232" s="1540">
        <f t="shared" si="16"/>
        <v>2250000</v>
      </c>
      <c r="G232" s="1540"/>
      <c r="H232" s="1540"/>
      <c r="I232" s="24"/>
      <c r="J232" s="1540"/>
      <c r="K232" s="1540">
        <f>F232-J232</f>
        <v>2250000</v>
      </c>
      <c r="L232" s="1594"/>
    </row>
    <row r="233" spans="1:12" ht="30" customHeight="1" x14ac:dyDescent="0.2">
      <c r="A233" s="1596">
        <v>147</v>
      </c>
      <c r="B233" s="2029" t="s">
        <v>13</v>
      </c>
      <c r="C233" s="2149" t="s">
        <v>1350</v>
      </c>
      <c r="D233" s="1540">
        <v>30000000</v>
      </c>
      <c r="E233" s="1593">
        <v>0.04</v>
      </c>
      <c r="F233" s="1540">
        <f t="shared" si="16"/>
        <v>1200000</v>
      </c>
      <c r="G233" s="2040">
        <v>1960000</v>
      </c>
      <c r="H233" s="2040" t="s">
        <v>3564</v>
      </c>
      <c r="I233" s="2406" t="s">
        <v>3566</v>
      </c>
      <c r="J233" s="2040">
        <f>G233</f>
        <v>1960000</v>
      </c>
      <c r="K233" s="2080">
        <f>F233-J233</f>
        <v>-760000</v>
      </c>
      <c r="L233" s="2433"/>
    </row>
    <row r="234" spans="1:12" ht="30" customHeight="1" x14ac:dyDescent="0.2">
      <c r="A234" s="1635"/>
      <c r="B234" s="2030"/>
      <c r="C234" s="2150"/>
      <c r="D234" s="1639"/>
      <c r="E234" s="44"/>
      <c r="F234" s="1639"/>
      <c r="G234" s="2042"/>
      <c r="H234" s="2042"/>
      <c r="I234" s="2407"/>
      <c r="J234" s="2042"/>
      <c r="K234" s="2081"/>
      <c r="L234" s="2434"/>
    </row>
    <row r="235" spans="1:12" ht="30" customHeight="1" x14ac:dyDescent="0.2">
      <c r="A235" s="1533">
        <v>148</v>
      </c>
      <c r="B235" s="1591" t="s">
        <v>14</v>
      </c>
      <c r="C235" s="1595" t="s">
        <v>1590</v>
      </c>
      <c r="D235" s="1565">
        <v>55000000</v>
      </c>
      <c r="E235" s="1593">
        <v>0.05</v>
      </c>
      <c r="F235" s="1565">
        <f t="shared" si="16"/>
        <v>2750000</v>
      </c>
      <c r="G235" s="1565">
        <v>2750000</v>
      </c>
      <c r="H235" s="1565" t="s">
        <v>3708</v>
      </c>
      <c r="I235" s="1590" t="s">
        <v>3719</v>
      </c>
      <c r="J235" s="1565">
        <f t="shared" ref="J235:J240" si="17">G235</f>
        <v>2750000</v>
      </c>
      <c r="K235" s="1565">
        <f t="shared" ref="K235:K242" si="18">F235-J235</f>
        <v>0</v>
      </c>
      <c r="L235" s="1557"/>
    </row>
    <row r="236" spans="1:12" ht="30" customHeight="1" x14ac:dyDescent="0.2">
      <c r="A236" s="1596">
        <v>149</v>
      </c>
      <c r="B236" s="1594" t="s">
        <v>15</v>
      </c>
      <c r="C236" s="1564" t="s">
        <v>1346</v>
      </c>
      <c r="D236" s="1540">
        <v>80000000</v>
      </c>
      <c r="E236" s="1537">
        <v>0.05</v>
      </c>
      <c r="F236" s="1540">
        <f t="shared" si="16"/>
        <v>4000000</v>
      </c>
      <c r="G236" s="1540">
        <v>4000000</v>
      </c>
      <c r="H236" s="1540" t="s">
        <v>3833</v>
      </c>
      <c r="I236" s="425" t="s">
        <v>3834</v>
      </c>
      <c r="J236" s="1540">
        <f t="shared" si="17"/>
        <v>4000000</v>
      </c>
      <c r="K236" s="1540">
        <f t="shared" si="18"/>
        <v>0</v>
      </c>
      <c r="L236" s="168" t="s">
        <v>364</v>
      </c>
    </row>
    <row r="237" spans="1:12" ht="30" customHeight="1" x14ac:dyDescent="0.2">
      <c r="A237" s="1596">
        <v>150</v>
      </c>
      <c r="B237" s="1594" t="s">
        <v>16</v>
      </c>
      <c r="C237" s="1564" t="s">
        <v>1349</v>
      </c>
      <c r="D237" s="1550"/>
      <c r="E237" s="44"/>
      <c r="F237" s="1550">
        <f t="shared" si="16"/>
        <v>0</v>
      </c>
      <c r="G237" s="1540">
        <v>6400000</v>
      </c>
      <c r="H237" s="1540" t="s">
        <v>3844</v>
      </c>
      <c r="I237" s="24" t="s">
        <v>3130</v>
      </c>
      <c r="J237" s="1540">
        <f t="shared" si="17"/>
        <v>6400000</v>
      </c>
      <c r="K237" s="1550">
        <f t="shared" si="18"/>
        <v>-6400000</v>
      </c>
      <c r="L237" s="1545" t="s">
        <v>3131</v>
      </c>
    </row>
    <row r="238" spans="1:12" ht="30" customHeight="1" x14ac:dyDescent="0.2">
      <c r="A238" s="1596">
        <v>151</v>
      </c>
      <c r="B238" s="1594" t="s">
        <v>17</v>
      </c>
      <c r="C238" s="1564" t="s">
        <v>1138</v>
      </c>
      <c r="D238" s="1540">
        <v>180000000</v>
      </c>
      <c r="E238" s="1593">
        <v>0.05</v>
      </c>
      <c r="F238" s="1540">
        <f t="shared" si="16"/>
        <v>9000000</v>
      </c>
      <c r="G238" s="1540">
        <v>9000000</v>
      </c>
      <c r="H238" s="1540" t="s">
        <v>3844</v>
      </c>
      <c r="I238" s="24" t="s">
        <v>2279</v>
      </c>
      <c r="J238" s="1540">
        <f t="shared" si="17"/>
        <v>9000000</v>
      </c>
      <c r="K238" s="1540">
        <f t="shared" si="18"/>
        <v>0</v>
      </c>
      <c r="L238" s="1594"/>
    </row>
    <row r="239" spans="1:12" ht="30" customHeight="1" x14ac:dyDescent="0.2">
      <c r="A239" s="1596">
        <v>152</v>
      </c>
      <c r="B239" s="1594" t="s">
        <v>1146</v>
      </c>
      <c r="C239" s="1564" t="s">
        <v>3151</v>
      </c>
      <c r="D239" s="1540">
        <v>35000000</v>
      </c>
      <c r="E239" s="1593">
        <v>4.7E-2</v>
      </c>
      <c r="F239" s="1540">
        <v>1650000</v>
      </c>
      <c r="G239" s="1540">
        <v>1650000</v>
      </c>
      <c r="H239" s="1540" t="s">
        <v>3844</v>
      </c>
      <c r="I239" s="24" t="s">
        <v>3855</v>
      </c>
      <c r="J239" s="1540">
        <f t="shared" si="17"/>
        <v>1650000</v>
      </c>
      <c r="K239" s="1540">
        <f t="shared" si="18"/>
        <v>0</v>
      </c>
      <c r="L239" s="1594"/>
    </row>
    <row r="240" spans="1:12" ht="30" customHeight="1" x14ac:dyDescent="0.2">
      <c r="A240" s="1596">
        <v>153</v>
      </c>
      <c r="B240" s="1594" t="s">
        <v>18</v>
      </c>
      <c r="C240" s="1564"/>
      <c r="D240" s="1540">
        <v>30000000</v>
      </c>
      <c r="E240" s="1593">
        <v>0.04</v>
      </c>
      <c r="F240" s="1540">
        <f t="shared" si="16"/>
        <v>1200000</v>
      </c>
      <c r="G240" s="1540">
        <v>1200000</v>
      </c>
      <c r="H240" s="1540" t="s">
        <v>3844</v>
      </c>
      <c r="I240" s="24" t="s">
        <v>3852</v>
      </c>
      <c r="J240" s="1540">
        <f t="shared" si="17"/>
        <v>1200000</v>
      </c>
      <c r="K240" s="1540">
        <f t="shared" si="18"/>
        <v>0</v>
      </c>
      <c r="L240" s="1594"/>
    </row>
    <row r="241" spans="1:16" ht="30" customHeight="1" x14ac:dyDescent="0.2">
      <c r="A241" s="1596">
        <v>154</v>
      </c>
      <c r="B241" s="1594" t="s">
        <v>19</v>
      </c>
      <c r="C241" s="1564" t="s">
        <v>1913</v>
      </c>
      <c r="D241" s="1540">
        <v>15000000</v>
      </c>
      <c r="E241" s="1593">
        <v>7.0000000000000007E-2</v>
      </c>
      <c r="F241" s="1540">
        <f t="shared" si="16"/>
        <v>1050000</v>
      </c>
      <c r="G241" s="1540"/>
      <c r="H241" s="1540"/>
      <c r="I241" s="24"/>
      <c r="J241" s="1540"/>
      <c r="K241" s="1540">
        <f t="shared" si="18"/>
        <v>1050000</v>
      </c>
      <c r="L241" s="1594"/>
    </row>
    <row r="242" spans="1:16" ht="30" customHeight="1" x14ac:dyDescent="0.2">
      <c r="A242" s="1596">
        <v>155</v>
      </c>
      <c r="B242" s="1594" t="s">
        <v>20</v>
      </c>
      <c r="C242" s="1564"/>
      <c r="D242" s="1550"/>
      <c r="E242" s="44"/>
      <c r="F242" s="1550">
        <f t="shared" si="16"/>
        <v>0</v>
      </c>
      <c r="G242" s="1540"/>
      <c r="H242" s="1540"/>
      <c r="I242" s="24"/>
      <c r="J242" s="1540"/>
      <c r="K242" s="1550">
        <f t="shared" si="18"/>
        <v>0</v>
      </c>
      <c r="L242" s="1594"/>
    </row>
    <row r="243" spans="1:16" ht="30" customHeight="1" x14ac:dyDescent="0.2">
      <c r="A243" s="1533">
        <v>156</v>
      </c>
      <c r="B243" s="1591" t="s">
        <v>21</v>
      </c>
      <c r="C243" s="421"/>
      <c r="D243" s="1565">
        <v>50000000</v>
      </c>
      <c r="E243" s="1593">
        <v>0.04</v>
      </c>
      <c r="F243" s="1565">
        <f t="shared" si="16"/>
        <v>2000000</v>
      </c>
      <c r="G243" s="1540">
        <v>2000000</v>
      </c>
      <c r="H243" s="1540" t="s">
        <v>3811</v>
      </c>
      <c r="I243" s="21" t="s">
        <v>3815</v>
      </c>
      <c r="J243" s="1565">
        <f>G243</f>
        <v>2000000</v>
      </c>
      <c r="K243" s="1565">
        <f>F243-500000</f>
        <v>1500000</v>
      </c>
      <c r="L243" s="1545" t="s">
        <v>3816</v>
      </c>
    </row>
    <row r="244" spans="1:16" ht="30" customHeight="1" x14ac:dyDescent="0.2">
      <c r="A244" s="1596">
        <v>157</v>
      </c>
      <c r="B244" s="1594" t="s">
        <v>22</v>
      </c>
      <c r="C244" s="1564" t="s">
        <v>1349</v>
      </c>
      <c r="D244" s="1540">
        <v>20000000</v>
      </c>
      <c r="E244" s="1537">
        <v>0.05</v>
      </c>
      <c r="F244" s="1540">
        <f t="shared" si="16"/>
        <v>1000000</v>
      </c>
      <c r="G244" s="1540">
        <v>1000000</v>
      </c>
      <c r="H244" s="1540" t="s">
        <v>3827</v>
      </c>
      <c r="I244" s="24" t="s">
        <v>3831</v>
      </c>
      <c r="J244" s="1540">
        <f>G244</f>
        <v>1000000</v>
      </c>
      <c r="K244" s="1540">
        <f>F244-J244</f>
        <v>0</v>
      </c>
      <c r="L244" s="1594"/>
    </row>
    <row r="245" spans="1:16" ht="30" customHeight="1" x14ac:dyDescent="0.2">
      <c r="A245" s="2034"/>
      <c r="B245" s="2029" t="s">
        <v>848</v>
      </c>
      <c r="C245" s="1564" t="s">
        <v>1378</v>
      </c>
      <c r="D245" s="1540">
        <v>160000000</v>
      </c>
      <c r="E245" s="1593">
        <v>0.05</v>
      </c>
      <c r="F245" s="1540">
        <f>D245*E245</f>
        <v>8000000</v>
      </c>
      <c r="G245" s="2040">
        <v>9200000</v>
      </c>
      <c r="H245" s="2040" t="s">
        <v>3883</v>
      </c>
      <c r="I245" s="2040" t="s">
        <v>3273</v>
      </c>
      <c r="J245" s="2040">
        <f>G245</f>
        <v>9200000</v>
      </c>
      <c r="K245" s="2040">
        <f>(F245+F246)-J245</f>
        <v>0</v>
      </c>
      <c r="L245" s="247"/>
      <c r="M245" s="247"/>
      <c r="N245" s="247"/>
      <c r="O245" s="247"/>
      <c r="P245" s="247"/>
    </row>
    <row r="246" spans="1:16" ht="30" customHeight="1" x14ac:dyDescent="0.2">
      <c r="A246" s="2032"/>
      <c r="B246" s="2030"/>
      <c r="C246" s="1564" t="s">
        <v>1378</v>
      </c>
      <c r="D246" s="1540">
        <v>22000000</v>
      </c>
      <c r="E246" s="1593">
        <v>5.5E-2</v>
      </c>
      <c r="F246" s="1540">
        <v>1200000</v>
      </c>
      <c r="G246" s="2042"/>
      <c r="H246" s="2042"/>
      <c r="I246" s="2042"/>
      <c r="J246" s="2042"/>
      <c r="K246" s="2042"/>
      <c r="L246" s="1904"/>
    </row>
    <row r="247" spans="1:16" ht="30" customHeight="1" x14ac:dyDescent="0.2">
      <c r="A247" s="1596">
        <v>159</v>
      </c>
      <c r="B247" s="1594" t="s">
        <v>23</v>
      </c>
      <c r="C247" s="1564" t="s">
        <v>1355</v>
      </c>
      <c r="D247" s="1540">
        <v>25000000</v>
      </c>
      <c r="E247" s="1593">
        <v>0.05</v>
      </c>
      <c r="F247" s="1540">
        <f t="shared" si="16"/>
        <v>1250000</v>
      </c>
      <c r="G247" s="1540"/>
      <c r="H247" s="1540"/>
      <c r="I247" s="24"/>
      <c r="J247" s="1540">
        <f>G247</f>
        <v>0</v>
      </c>
      <c r="K247" s="1540">
        <f t="shared" ref="K247:K258" si="19">F247-J247</f>
        <v>1250000</v>
      </c>
      <c r="L247" s="1594"/>
    </row>
    <row r="248" spans="1:16" ht="30" customHeight="1" x14ac:dyDescent="0.2">
      <c r="A248" s="1596">
        <v>160</v>
      </c>
      <c r="B248" s="1594" t="s">
        <v>24</v>
      </c>
      <c r="C248" s="1564"/>
      <c r="D248" s="1540">
        <v>55000000</v>
      </c>
      <c r="E248" s="1593">
        <v>0.05</v>
      </c>
      <c r="F248" s="1540">
        <f t="shared" si="16"/>
        <v>2750000</v>
      </c>
      <c r="G248" s="1540"/>
      <c r="H248" s="1540"/>
      <c r="I248" s="24"/>
      <c r="J248" s="1540">
        <f>G248</f>
        <v>0</v>
      </c>
      <c r="K248" s="1540">
        <f t="shared" si="19"/>
        <v>2750000</v>
      </c>
      <c r="L248" s="1594"/>
    </row>
    <row r="249" spans="1:16" ht="30" customHeight="1" x14ac:dyDescent="0.2">
      <c r="A249" s="1596">
        <v>161</v>
      </c>
      <c r="B249" s="2029" t="s">
        <v>25</v>
      </c>
      <c r="C249" s="2149" t="s">
        <v>1378</v>
      </c>
      <c r="D249" s="1540">
        <v>20000000</v>
      </c>
      <c r="E249" s="1593">
        <v>4.4999999999999998E-2</v>
      </c>
      <c r="F249" s="1540">
        <f t="shared" si="16"/>
        <v>900000</v>
      </c>
      <c r="G249" s="1540">
        <v>900000</v>
      </c>
      <c r="H249" s="1540" t="s">
        <v>3883</v>
      </c>
      <c r="I249" s="24" t="s">
        <v>3894</v>
      </c>
      <c r="J249" s="1540">
        <f>G249</f>
        <v>900000</v>
      </c>
      <c r="K249" s="1540">
        <f t="shared" si="19"/>
        <v>0</v>
      </c>
      <c r="L249" s="1594"/>
    </row>
    <row r="250" spans="1:16" ht="30" customHeight="1" x14ac:dyDescent="0.2">
      <c r="A250" s="1903"/>
      <c r="B250" s="2030"/>
      <c r="C250" s="2150"/>
      <c r="D250" s="1892">
        <v>17500000</v>
      </c>
      <c r="E250" s="1901">
        <v>4.4999999999999998E-2</v>
      </c>
      <c r="F250" s="1892">
        <f t="shared" si="16"/>
        <v>787500</v>
      </c>
      <c r="G250" s="1947" t="s">
        <v>3931</v>
      </c>
      <c r="H250" s="1948"/>
      <c r="I250" s="1948"/>
      <c r="J250" s="1948"/>
      <c r="K250" s="1949"/>
      <c r="L250" s="1904"/>
    </row>
    <row r="251" spans="1:16" ht="30" customHeight="1" x14ac:dyDescent="0.2">
      <c r="A251" s="1596">
        <v>162</v>
      </c>
      <c r="B251" s="1594" t="s">
        <v>26</v>
      </c>
      <c r="C251" s="1564" t="s">
        <v>1378</v>
      </c>
      <c r="D251" s="1540">
        <v>180000000</v>
      </c>
      <c r="E251" s="1593">
        <v>0.05</v>
      </c>
      <c r="F251" s="1540">
        <f t="shared" si="16"/>
        <v>9000000</v>
      </c>
      <c r="G251" s="1540">
        <v>9000000</v>
      </c>
      <c r="H251" s="1540" t="s">
        <v>3844</v>
      </c>
      <c r="I251" s="24" t="s">
        <v>3276</v>
      </c>
      <c r="J251" s="1540">
        <f>G251</f>
        <v>9000000</v>
      </c>
      <c r="K251" s="1540">
        <f t="shared" si="19"/>
        <v>0</v>
      </c>
      <c r="L251" s="1594"/>
    </row>
    <row r="252" spans="1:16" ht="30" customHeight="1" x14ac:dyDescent="0.2">
      <c r="A252" s="1596">
        <v>163</v>
      </c>
      <c r="B252" s="1594" t="s">
        <v>854</v>
      </c>
      <c r="C252" s="1564"/>
      <c r="D252" s="1540">
        <v>200000000</v>
      </c>
      <c r="E252" s="1593">
        <v>0.05</v>
      </c>
      <c r="F252" s="1540">
        <f t="shared" si="16"/>
        <v>10000000</v>
      </c>
      <c r="G252" s="1540">
        <v>10000000</v>
      </c>
      <c r="H252" s="1540" t="s">
        <v>3883</v>
      </c>
      <c r="I252" s="24" t="s">
        <v>3884</v>
      </c>
      <c r="J252" s="1540">
        <f>F252</f>
        <v>10000000</v>
      </c>
      <c r="K252" s="1540">
        <f t="shared" si="19"/>
        <v>0</v>
      </c>
      <c r="L252" s="1594"/>
    </row>
    <row r="253" spans="1:16" ht="30" customHeight="1" x14ac:dyDescent="0.2">
      <c r="A253" s="1596">
        <v>164</v>
      </c>
      <c r="B253" s="1594" t="s">
        <v>27</v>
      </c>
      <c r="C253" s="1564"/>
      <c r="D253" s="1540">
        <v>50000000</v>
      </c>
      <c r="E253" s="1593">
        <v>0.05</v>
      </c>
      <c r="F253" s="1540">
        <f t="shared" si="16"/>
        <v>2500000</v>
      </c>
      <c r="G253" s="1540">
        <v>2500000</v>
      </c>
      <c r="H253" s="1540" t="s">
        <v>3827</v>
      </c>
      <c r="I253" s="24" t="s">
        <v>2329</v>
      </c>
      <c r="J253" s="1540">
        <f t="shared" ref="J253:J261" si="20">G253</f>
        <v>2500000</v>
      </c>
      <c r="K253" s="1540">
        <f t="shared" si="19"/>
        <v>0</v>
      </c>
      <c r="L253" s="1594"/>
    </row>
    <row r="254" spans="1:16" ht="30" customHeight="1" x14ac:dyDescent="0.2">
      <c r="A254" s="1596">
        <v>165</v>
      </c>
      <c r="B254" s="1594" t="s">
        <v>28</v>
      </c>
      <c r="C254" s="1564" t="s">
        <v>700</v>
      </c>
      <c r="D254" s="1540">
        <v>20000000</v>
      </c>
      <c r="E254" s="1593">
        <v>0.04</v>
      </c>
      <c r="F254" s="1540">
        <f t="shared" si="16"/>
        <v>800000</v>
      </c>
      <c r="G254" s="1540">
        <v>800000</v>
      </c>
      <c r="H254" s="1540" t="s">
        <v>3883</v>
      </c>
      <c r="I254" s="24" t="s">
        <v>3892</v>
      </c>
      <c r="J254" s="1540">
        <f t="shared" si="20"/>
        <v>800000</v>
      </c>
      <c r="K254" s="1540">
        <f t="shared" si="19"/>
        <v>0</v>
      </c>
      <c r="L254" s="1594"/>
    </row>
    <row r="255" spans="1:16" ht="30" customHeight="1" x14ac:dyDescent="0.2">
      <c r="A255" s="1596">
        <v>166</v>
      </c>
      <c r="B255" s="1594" t="s">
        <v>29</v>
      </c>
      <c r="C255" s="1564" t="s">
        <v>564</v>
      </c>
      <c r="D255" s="1540">
        <v>100000000</v>
      </c>
      <c r="E255" s="1593">
        <v>0.05</v>
      </c>
      <c r="F255" s="1540">
        <f t="shared" si="16"/>
        <v>5000000</v>
      </c>
      <c r="G255" s="1540">
        <v>5000000</v>
      </c>
      <c r="H255" s="1540" t="s">
        <v>3844</v>
      </c>
      <c r="I255" s="30" t="s">
        <v>566</v>
      </c>
      <c r="J255" s="1540">
        <f t="shared" si="20"/>
        <v>5000000</v>
      </c>
      <c r="K255" s="1540">
        <f t="shared" si="19"/>
        <v>0</v>
      </c>
      <c r="L255" s="1594"/>
    </row>
    <row r="256" spans="1:16" ht="30" customHeight="1" x14ac:dyDescent="0.2">
      <c r="A256" s="1596">
        <v>167</v>
      </c>
      <c r="B256" s="1594" t="s">
        <v>758</v>
      </c>
      <c r="C256" s="1564" t="s">
        <v>1378</v>
      </c>
      <c r="D256" s="1540">
        <v>50000000</v>
      </c>
      <c r="E256" s="1593">
        <v>0.05</v>
      </c>
      <c r="F256" s="1540">
        <f t="shared" si="16"/>
        <v>2500000</v>
      </c>
      <c r="G256" s="1540">
        <v>2500000</v>
      </c>
      <c r="H256" s="1540" t="s">
        <v>2741</v>
      </c>
      <c r="I256" s="24" t="s">
        <v>760</v>
      </c>
      <c r="J256" s="1540">
        <f t="shared" si="20"/>
        <v>2500000</v>
      </c>
      <c r="K256" s="1540">
        <f t="shared" si="19"/>
        <v>0</v>
      </c>
      <c r="L256" s="1594"/>
    </row>
    <row r="257" spans="1:16" ht="30" customHeight="1" x14ac:dyDescent="0.2">
      <c r="A257" s="1596">
        <v>168</v>
      </c>
      <c r="B257" s="1594" t="s">
        <v>844</v>
      </c>
      <c r="C257" s="1564"/>
      <c r="D257" s="1540">
        <v>50000000</v>
      </c>
      <c r="E257" s="1593">
        <v>7.0000000000000007E-2</v>
      </c>
      <c r="F257" s="1540">
        <f t="shared" si="16"/>
        <v>3500000.0000000005</v>
      </c>
      <c r="G257" s="1540">
        <v>3500000</v>
      </c>
      <c r="H257" s="1540" t="s">
        <v>3844</v>
      </c>
      <c r="I257" s="24" t="s">
        <v>3229</v>
      </c>
      <c r="J257" s="1540">
        <f t="shared" si="20"/>
        <v>3500000</v>
      </c>
      <c r="K257" s="1540">
        <f t="shared" si="19"/>
        <v>0</v>
      </c>
      <c r="L257" s="1594"/>
    </row>
    <row r="258" spans="1:16" ht="30" customHeight="1" x14ac:dyDescent="0.2">
      <c r="A258" s="1088"/>
      <c r="B258" s="1591" t="s">
        <v>30</v>
      </c>
      <c r="C258" s="759"/>
      <c r="D258" s="1540">
        <v>20000000</v>
      </c>
      <c r="E258" s="1593">
        <v>0.05</v>
      </c>
      <c r="F258" s="1540">
        <f>D258*E258</f>
        <v>1000000</v>
      </c>
      <c r="G258" s="1540">
        <v>1000000</v>
      </c>
      <c r="H258" s="1540" t="s">
        <v>1232</v>
      </c>
      <c r="I258" s="1540" t="s">
        <v>875</v>
      </c>
      <c r="J258" s="1540">
        <f t="shared" si="20"/>
        <v>1000000</v>
      </c>
      <c r="K258" s="1540">
        <f t="shared" si="19"/>
        <v>0</v>
      </c>
      <c r="L258" s="2154"/>
      <c r="M258" s="2155"/>
      <c r="N258" s="2155"/>
      <c r="O258" s="2155"/>
      <c r="P258" s="2156"/>
    </row>
    <row r="259" spans="1:16" ht="30" customHeight="1" x14ac:dyDescent="0.2">
      <c r="A259" s="1596">
        <v>170</v>
      </c>
      <c r="B259" s="1594" t="s">
        <v>31</v>
      </c>
      <c r="C259" s="1564" t="s">
        <v>1138</v>
      </c>
      <c r="D259" s="1540">
        <v>70000000</v>
      </c>
      <c r="E259" s="1593">
        <v>0.05</v>
      </c>
      <c r="F259" s="1540">
        <f t="shared" si="16"/>
        <v>3500000</v>
      </c>
      <c r="G259" s="1540">
        <v>3500000</v>
      </c>
      <c r="H259" s="1540" t="s">
        <v>1232</v>
      </c>
      <c r="I259" s="24" t="s">
        <v>3906</v>
      </c>
      <c r="J259" s="1540">
        <f t="shared" si="20"/>
        <v>3500000</v>
      </c>
      <c r="K259" s="1540">
        <f>F259-J259</f>
        <v>0</v>
      </c>
      <c r="L259" s="1594"/>
    </row>
    <row r="260" spans="1:16" ht="30" customHeight="1" x14ac:dyDescent="0.2">
      <c r="A260" s="1596">
        <v>171</v>
      </c>
      <c r="B260" s="1594" t="s">
        <v>32</v>
      </c>
      <c r="C260" s="1564" t="s">
        <v>1348</v>
      </c>
      <c r="D260" s="1550"/>
      <c r="E260" s="44"/>
      <c r="F260" s="1540">
        <v>400000</v>
      </c>
      <c r="G260" s="1540">
        <v>400000</v>
      </c>
      <c r="H260" s="1540" t="s">
        <v>3632</v>
      </c>
      <c r="I260" s="24" t="s">
        <v>686</v>
      </c>
      <c r="J260" s="1540">
        <f t="shared" si="20"/>
        <v>400000</v>
      </c>
      <c r="K260" s="1540">
        <f>F260-J260</f>
        <v>0</v>
      </c>
      <c r="L260" s="103"/>
    </row>
    <row r="261" spans="1:16" ht="30" customHeight="1" x14ac:dyDescent="0.2">
      <c r="A261" s="2031">
        <v>172</v>
      </c>
      <c r="B261" s="2029" t="s">
        <v>33</v>
      </c>
      <c r="C261" s="2266"/>
      <c r="D261" s="1540">
        <v>5000000</v>
      </c>
      <c r="E261" s="1593">
        <v>0.06</v>
      </c>
      <c r="F261" s="1540">
        <f t="shared" si="16"/>
        <v>300000</v>
      </c>
      <c r="G261" s="1540">
        <v>300000</v>
      </c>
      <c r="H261" s="1540" t="s">
        <v>3883</v>
      </c>
      <c r="I261" s="24" t="s">
        <v>648</v>
      </c>
      <c r="J261" s="1540">
        <f t="shared" si="20"/>
        <v>300000</v>
      </c>
      <c r="K261" s="1540">
        <f>F261-J261</f>
        <v>0</v>
      </c>
      <c r="L261" s="1594"/>
    </row>
    <row r="262" spans="1:16" ht="30" customHeight="1" x14ac:dyDescent="0.2">
      <c r="A262" s="2032"/>
      <c r="B262" s="2030"/>
      <c r="C262" s="2266"/>
      <c r="D262" s="1550"/>
      <c r="E262" s="44"/>
      <c r="F262" s="1550"/>
      <c r="G262" s="2254" t="s">
        <v>3402</v>
      </c>
      <c r="H262" s="2255"/>
      <c r="I262" s="2255"/>
      <c r="J262" s="2256"/>
      <c r="K262" s="1550"/>
      <c r="L262" s="1594"/>
    </row>
    <row r="263" spans="1:16" ht="30" customHeight="1" x14ac:dyDescent="0.2">
      <c r="A263" s="1596">
        <v>173</v>
      </c>
      <c r="B263" s="1594" t="s">
        <v>34</v>
      </c>
      <c r="C263" s="1564"/>
      <c r="D263" s="1540">
        <v>40000000</v>
      </c>
      <c r="E263" s="1593">
        <v>0.05</v>
      </c>
      <c r="F263" s="1540">
        <f t="shared" si="16"/>
        <v>2000000</v>
      </c>
      <c r="G263" s="1540">
        <v>2000000</v>
      </c>
      <c r="H263" s="1540" t="s">
        <v>3883</v>
      </c>
      <c r="I263" s="24" t="s">
        <v>864</v>
      </c>
      <c r="J263" s="1540">
        <f>G263</f>
        <v>2000000</v>
      </c>
      <c r="K263" s="1540">
        <f>F263-J263</f>
        <v>0</v>
      </c>
      <c r="L263" s="1594"/>
    </row>
    <row r="264" spans="1:16" ht="30" customHeight="1" x14ac:dyDescent="0.2">
      <c r="A264" s="2268"/>
      <c r="B264" s="2267" t="s">
        <v>35</v>
      </c>
      <c r="C264" s="2266" t="s">
        <v>1342</v>
      </c>
      <c r="D264" s="2157">
        <v>5000000000</v>
      </c>
      <c r="E264" s="2262">
        <v>0.08</v>
      </c>
      <c r="F264" s="2157">
        <f>D264*E264</f>
        <v>400000000</v>
      </c>
      <c r="G264" s="1540"/>
      <c r="H264" s="1540"/>
      <c r="I264" s="24"/>
      <c r="J264" s="2040"/>
      <c r="K264" s="2040"/>
      <c r="L264" s="1531" t="s">
        <v>3032</v>
      </c>
    </row>
    <row r="265" spans="1:16" ht="30" customHeight="1" x14ac:dyDescent="0.2">
      <c r="A265" s="2268"/>
      <c r="B265" s="2267"/>
      <c r="C265" s="2266"/>
      <c r="D265" s="2157"/>
      <c r="E265" s="2262"/>
      <c r="F265" s="2157"/>
      <c r="G265" s="247"/>
      <c r="H265" s="247"/>
      <c r="I265" s="247"/>
      <c r="J265" s="2041"/>
      <c r="K265" s="2041"/>
      <c r="L265" s="1532" t="s">
        <v>2459</v>
      </c>
    </row>
    <row r="266" spans="1:16" ht="30" customHeight="1" x14ac:dyDescent="0.2">
      <c r="A266" s="2268"/>
      <c r="B266" s="2267"/>
      <c r="C266" s="2266"/>
      <c r="D266" s="2157"/>
      <c r="E266" s="2262"/>
      <c r="F266" s="2157"/>
      <c r="G266" s="247"/>
      <c r="H266" s="247"/>
      <c r="I266" s="247"/>
      <c r="J266" s="2041"/>
      <c r="K266" s="2041"/>
      <c r="L266" s="1532" t="s">
        <v>3029</v>
      </c>
    </row>
    <row r="267" spans="1:16" ht="30" customHeight="1" x14ac:dyDescent="0.2">
      <c r="A267" s="2268"/>
      <c r="B267" s="2267"/>
      <c r="C267" s="2266"/>
      <c r="D267" s="2157"/>
      <c r="E267" s="2262"/>
      <c r="F267" s="2157"/>
      <c r="G267" s="247"/>
      <c r="H267" s="247"/>
      <c r="I267" s="247"/>
      <c r="J267" s="2041"/>
      <c r="K267" s="2041"/>
      <c r="L267" s="2029" t="s">
        <v>3030</v>
      </c>
    </row>
    <row r="268" spans="1:16" ht="30" customHeight="1" x14ac:dyDescent="0.2">
      <c r="A268" s="2268"/>
      <c r="B268" s="2267"/>
      <c r="C268" s="2266"/>
      <c r="D268" s="2157"/>
      <c r="E268" s="2262"/>
      <c r="F268" s="2157"/>
      <c r="G268" s="247"/>
      <c r="H268" s="247"/>
      <c r="I268" s="247"/>
      <c r="J268" s="2042"/>
      <c r="K268" s="2042"/>
      <c r="L268" s="2030"/>
    </row>
    <row r="269" spans="1:16" ht="30" customHeight="1" x14ac:dyDescent="0.2">
      <c r="A269" s="1596">
        <v>175</v>
      </c>
      <c r="B269" s="1594" t="s">
        <v>37</v>
      </c>
      <c r="C269" s="1564"/>
      <c r="D269" s="1540">
        <v>200000000</v>
      </c>
      <c r="E269" s="1537">
        <v>0.05</v>
      </c>
      <c r="F269" s="1540">
        <f t="shared" si="16"/>
        <v>10000000</v>
      </c>
      <c r="G269" s="1540">
        <v>10000000</v>
      </c>
      <c r="H269" s="1540" t="s">
        <v>3883</v>
      </c>
      <c r="I269" s="24" t="s">
        <v>3890</v>
      </c>
      <c r="J269" s="1540">
        <f t="shared" ref="J269:J276" si="21">G269</f>
        <v>10000000</v>
      </c>
      <c r="K269" s="1540">
        <f t="shared" ref="K269:K274" si="22">F269-J269</f>
        <v>0</v>
      </c>
      <c r="L269" s="1594"/>
    </row>
    <row r="270" spans="1:16" ht="30" customHeight="1" x14ac:dyDescent="0.2">
      <c r="A270" s="1596">
        <v>176</v>
      </c>
      <c r="B270" s="1594" t="s">
        <v>38</v>
      </c>
      <c r="C270" s="1564" t="s">
        <v>1138</v>
      </c>
      <c r="D270" s="1540">
        <v>150000000</v>
      </c>
      <c r="E270" s="1593">
        <v>7.0000000000000007E-2</v>
      </c>
      <c r="F270" s="1540">
        <f t="shared" si="16"/>
        <v>10500000.000000002</v>
      </c>
      <c r="G270" s="1540">
        <v>10500000</v>
      </c>
      <c r="H270" s="1540" t="s">
        <v>3883</v>
      </c>
      <c r="I270" s="24" t="s">
        <v>3367</v>
      </c>
      <c r="J270" s="1540">
        <f t="shared" si="21"/>
        <v>10500000</v>
      </c>
      <c r="K270" s="1540">
        <f t="shared" si="22"/>
        <v>0</v>
      </c>
      <c r="L270" s="1594"/>
    </row>
    <row r="271" spans="1:16" ht="30" customHeight="1" x14ac:dyDescent="0.2">
      <c r="A271" s="1596">
        <v>177</v>
      </c>
      <c r="B271" s="1594" t="s">
        <v>39</v>
      </c>
      <c r="C271" s="1564" t="s">
        <v>1354</v>
      </c>
      <c r="D271" s="1540">
        <v>25000000</v>
      </c>
      <c r="E271" s="1593">
        <v>0.04</v>
      </c>
      <c r="F271" s="1540">
        <f t="shared" si="16"/>
        <v>1000000</v>
      </c>
      <c r="G271" s="1540">
        <v>1000000</v>
      </c>
      <c r="H271" s="1540" t="s">
        <v>3844</v>
      </c>
      <c r="I271" s="21" t="s">
        <v>2305</v>
      </c>
      <c r="J271" s="1540">
        <f t="shared" si="21"/>
        <v>1000000</v>
      </c>
      <c r="K271" s="1540">
        <f t="shared" si="22"/>
        <v>0</v>
      </c>
      <c r="L271" s="1594"/>
    </row>
    <row r="272" spans="1:16" ht="30" customHeight="1" x14ac:dyDescent="0.2">
      <c r="A272" s="1596">
        <v>178</v>
      </c>
      <c r="B272" s="1594" t="s">
        <v>40</v>
      </c>
      <c r="C272" s="1564"/>
      <c r="D272" s="1540">
        <v>90000000</v>
      </c>
      <c r="E272" s="1593">
        <v>4.4999999999999998E-2</v>
      </c>
      <c r="F272" s="1540">
        <v>4000000</v>
      </c>
      <c r="G272" s="1540">
        <v>4000000</v>
      </c>
      <c r="H272" s="1540" t="s">
        <v>3923</v>
      </c>
      <c r="I272" s="24" t="s">
        <v>2294</v>
      </c>
      <c r="J272" s="1540">
        <f t="shared" si="21"/>
        <v>4000000</v>
      </c>
      <c r="K272" s="1540">
        <f t="shared" si="22"/>
        <v>0</v>
      </c>
      <c r="L272" s="1594"/>
    </row>
    <row r="273" spans="1:12" ht="30" customHeight="1" x14ac:dyDescent="0.2">
      <c r="A273" s="426">
        <v>179</v>
      </c>
      <c r="B273" s="1591" t="s">
        <v>41</v>
      </c>
      <c r="C273" s="1563"/>
      <c r="D273" s="1549"/>
      <c r="E273" s="1551"/>
      <c r="F273" s="1549">
        <f t="shared" si="16"/>
        <v>0</v>
      </c>
      <c r="G273" s="1540">
        <v>16000000</v>
      </c>
      <c r="H273" s="1540" t="s">
        <v>2741</v>
      </c>
      <c r="I273" s="24" t="s">
        <v>1121</v>
      </c>
      <c r="J273" s="1538">
        <f t="shared" si="21"/>
        <v>16000000</v>
      </c>
      <c r="K273" s="1549">
        <f t="shared" si="22"/>
        <v>-16000000</v>
      </c>
      <c r="L273" s="1557"/>
    </row>
    <row r="274" spans="1:12" ht="30" customHeight="1" x14ac:dyDescent="0.2">
      <c r="A274" s="1862">
        <v>180</v>
      </c>
      <c r="B274" s="22" t="s">
        <v>42</v>
      </c>
      <c r="C274" s="53" t="s">
        <v>2538</v>
      </c>
      <c r="D274" s="1867">
        <v>300000000</v>
      </c>
      <c r="E274" s="1868">
        <v>5.7000000000000002E-2</v>
      </c>
      <c r="F274" s="1867">
        <v>17000000</v>
      </c>
      <c r="G274" s="1867">
        <v>17000000</v>
      </c>
      <c r="H274" s="1867" t="s">
        <v>2741</v>
      </c>
      <c r="I274" s="1873" t="s">
        <v>2394</v>
      </c>
      <c r="J274" s="1867">
        <f t="shared" si="21"/>
        <v>17000000</v>
      </c>
      <c r="K274" s="1867">
        <f t="shared" si="22"/>
        <v>0</v>
      </c>
      <c r="L274" s="1876"/>
    </row>
    <row r="275" spans="1:12" ht="30" customHeight="1" x14ac:dyDescent="0.2">
      <c r="A275" s="1596">
        <v>181</v>
      </c>
      <c r="B275" s="1861" t="s">
        <v>43</v>
      </c>
      <c r="C275" s="1564" t="s">
        <v>1018</v>
      </c>
      <c r="D275" s="1540">
        <v>50000000</v>
      </c>
      <c r="E275" s="1537">
        <v>0.05</v>
      </c>
      <c r="F275" s="1540">
        <f t="shared" si="16"/>
        <v>2500000</v>
      </c>
      <c r="G275" s="1540">
        <v>2500000</v>
      </c>
      <c r="H275" s="1540" t="s">
        <v>3883</v>
      </c>
      <c r="I275" s="24" t="s">
        <v>1106</v>
      </c>
      <c r="J275" s="1540">
        <f t="shared" si="21"/>
        <v>2500000</v>
      </c>
      <c r="K275" s="1540">
        <f>F275-J275</f>
        <v>0</v>
      </c>
      <c r="L275" s="1861"/>
    </row>
    <row r="276" spans="1:12" ht="30" customHeight="1" x14ac:dyDescent="0.2">
      <c r="A276" s="2034"/>
      <c r="B276" s="2029" t="s">
        <v>44</v>
      </c>
      <c r="C276" s="2149" t="s">
        <v>1018</v>
      </c>
      <c r="D276" s="2040">
        <v>125000000</v>
      </c>
      <c r="E276" s="2037">
        <v>0.05</v>
      </c>
      <c r="F276" s="2040">
        <f>D276*E276</f>
        <v>6250000</v>
      </c>
      <c r="G276" s="2040">
        <v>6250000</v>
      </c>
      <c r="H276" s="2040" t="s">
        <v>2741</v>
      </c>
      <c r="I276" s="2040" t="s">
        <v>3868</v>
      </c>
      <c r="J276" s="2040">
        <f t="shared" si="21"/>
        <v>6250000</v>
      </c>
      <c r="K276" s="2040">
        <f>F276-J276</f>
        <v>0</v>
      </c>
      <c r="L276" s="431" t="s">
        <v>2907</v>
      </c>
    </row>
    <row r="277" spans="1:12" ht="30" customHeight="1" x14ac:dyDescent="0.2">
      <c r="A277" s="2032"/>
      <c r="B277" s="2030"/>
      <c r="C277" s="2150"/>
      <c r="D277" s="2042"/>
      <c r="E277" s="2039"/>
      <c r="F277" s="2042"/>
      <c r="G277" s="2042"/>
      <c r="H277" s="2042"/>
      <c r="I277" s="2042"/>
      <c r="J277" s="2042"/>
      <c r="K277" s="2042"/>
      <c r="L277" s="431" t="s">
        <v>3311</v>
      </c>
    </row>
    <row r="278" spans="1:12" ht="30" customHeight="1" x14ac:dyDescent="0.2">
      <c r="A278" s="1596">
        <v>183</v>
      </c>
      <c r="B278" s="1594" t="s">
        <v>45</v>
      </c>
      <c r="C278" s="1564" t="s">
        <v>1131</v>
      </c>
      <c r="D278" s="1540">
        <v>100000000</v>
      </c>
      <c r="E278" s="1593">
        <v>0.05</v>
      </c>
      <c r="F278" s="1540">
        <f t="shared" si="16"/>
        <v>5000000</v>
      </c>
      <c r="G278" s="1540">
        <v>5000000</v>
      </c>
      <c r="H278" s="1540" t="s">
        <v>3924</v>
      </c>
      <c r="I278" s="24" t="s">
        <v>1186</v>
      </c>
      <c r="J278" s="1540">
        <f>G278</f>
        <v>5000000</v>
      </c>
      <c r="K278" s="1540">
        <f t="shared" ref="K278:K284" si="23">F278-J278</f>
        <v>0</v>
      </c>
      <c r="L278" s="168"/>
    </row>
    <row r="279" spans="1:12" ht="30" customHeight="1" x14ac:dyDescent="0.2">
      <c r="A279" s="1596">
        <v>184</v>
      </c>
      <c r="B279" s="1594" t="s">
        <v>46</v>
      </c>
      <c r="C279" s="1564" t="s">
        <v>1018</v>
      </c>
      <c r="D279" s="1540">
        <v>20000000</v>
      </c>
      <c r="E279" s="1593">
        <v>0.05</v>
      </c>
      <c r="F279" s="1540">
        <f t="shared" si="16"/>
        <v>1000000</v>
      </c>
      <c r="G279" s="1540">
        <v>1000000</v>
      </c>
      <c r="H279" s="1540" t="s">
        <v>2609</v>
      </c>
      <c r="I279" s="24" t="s">
        <v>1125</v>
      </c>
      <c r="J279" s="1540">
        <f>G279</f>
        <v>1000000</v>
      </c>
      <c r="K279" s="1540">
        <f t="shared" si="23"/>
        <v>0</v>
      </c>
      <c r="L279" s="1594"/>
    </row>
    <row r="280" spans="1:12" ht="30" customHeight="1" x14ac:dyDescent="0.2">
      <c r="A280" s="1596">
        <v>185</v>
      </c>
      <c r="B280" s="1594" t="s">
        <v>47</v>
      </c>
      <c r="C280" s="1564" t="s">
        <v>1019</v>
      </c>
      <c r="D280" s="1540">
        <v>70000000</v>
      </c>
      <c r="E280" s="1593">
        <v>0.05</v>
      </c>
      <c r="F280" s="1540">
        <f t="shared" si="16"/>
        <v>3500000</v>
      </c>
      <c r="G280" s="1540"/>
      <c r="H280" s="1540"/>
      <c r="I280" s="24"/>
      <c r="J280" s="1540">
        <f>G280</f>
        <v>0</v>
      </c>
      <c r="K280" s="1540">
        <f t="shared" si="23"/>
        <v>3500000</v>
      </c>
      <c r="L280" s="192" t="s">
        <v>3897</v>
      </c>
    </row>
    <row r="281" spans="1:12" ht="30" customHeight="1" x14ac:dyDescent="0.2">
      <c r="A281" s="1596">
        <v>186</v>
      </c>
      <c r="B281" s="1594" t="s">
        <v>48</v>
      </c>
      <c r="C281" s="1564"/>
      <c r="D281" s="1540">
        <v>8000000</v>
      </c>
      <c r="E281" s="1593">
        <v>0.04</v>
      </c>
      <c r="F281" s="1540">
        <f t="shared" si="16"/>
        <v>320000</v>
      </c>
      <c r="G281" s="1540">
        <v>320000</v>
      </c>
      <c r="H281" s="1540" t="s">
        <v>3883</v>
      </c>
      <c r="I281" s="24" t="s">
        <v>862</v>
      </c>
      <c r="J281" s="1540">
        <f>G281</f>
        <v>320000</v>
      </c>
      <c r="K281" s="1540">
        <f t="shared" si="23"/>
        <v>0</v>
      </c>
      <c r="L281" s="1594"/>
    </row>
    <row r="282" spans="1:12" ht="30" customHeight="1" x14ac:dyDescent="0.2">
      <c r="A282" s="1533">
        <v>187</v>
      </c>
      <c r="B282" s="1594" t="s">
        <v>2606</v>
      </c>
      <c r="C282" s="1595" t="s">
        <v>1175</v>
      </c>
      <c r="D282" s="1565">
        <v>200000000</v>
      </c>
      <c r="E282" s="1593">
        <v>0.05</v>
      </c>
      <c r="F282" s="1565">
        <f t="shared" si="16"/>
        <v>10000000</v>
      </c>
      <c r="G282" s="1540"/>
      <c r="H282" s="1540"/>
      <c r="I282" s="24"/>
      <c r="J282" s="1540"/>
      <c r="K282" s="1540">
        <f t="shared" si="23"/>
        <v>10000000</v>
      </c>
      <c r="L282" s="103"/>
    </row>
    <row r="283" spans="1:12" ht="30" customHeight="1" x14ac:dyDescent="0.2">
      <c r="A283" s="1596">
        <v>188</v>
      </c>
      <c r="B283" s="1532" t="s">
        <v>50</v>
      </c>
      <c r="C283" s="1564"/>
      <c r="D283" s="1540">
        <v>200000000</v>
      </c>
      <c r="E283" s="1537">
        <v>0.05</v>
      </c>
      <c r="F283" s="1540">
        <f t="shared" si="16"/>
        <v>10000000</v>
      </c>
      <c r="G283" s="1540">
        <v>10000000</v>
      </c>
      <c r="H283" s="1540" t="s">
        <v>1232</v>
      </c>
      <c r="I283" s="24" t="s">
        <v>1927</v>
      </c>
      <c r="J283" s="1540">
        <f>G283</f>
        <v>10000000</v>
      </c>
      <c r="K283" s="1540">
        <f t="shared" si="23"/>
        <v>0</v>
      </c>
      <c r="L283" s="1594"/>
    </row>
    <row r="284" spans="1:12" ht="30" customHeight="1" x14ac:dyDescent="0.2">
      <c r="A284" s="1596">
        <v>189</v>
      </c>
      <c r="B284" s="1594" t="s">
        <v>51</v>
      </c>
      <c r="C284" s="1564" t="s">
        <v>700</v>
      </c>
      <c r="D284" s="1540">
        <v>15000000</v>
      </c>
      <c r="E284" s="1593">
        <v>0.05</v>
      </c>
      <c r="F284" s="1540">
        <f t="shared" si="16"/>
        <v>750000</v>
      </c>
      <c r="G284" s="1540">
        <v>750000</v>
      </c>
      <c r="H284" s="1540" t="s">
        <v>3883</v>
      </c>
      <c r="I284" s="24" t="s">
        <v>860</v>
      </c>
      <c r="J284" s="1540">
        <f>G284</f>
        <v>750000</v>
      </c>
      <c r="K284" s="1540">
        <f t="shared" si="23"/>
        <v>0</v>
      </c>
      <c r="L284" s="1594"/>
    </row>
    <row r="285" spans="1:12" ht="30" customHeight="1" x14ac:dyDescent="0.2">
      <c r="A285" s="2031">
        <v>190</v>
      </c>
      <c r="B285" s="2029" t="s">
        <v>52</v>
      </c>
      <c r="C285" s="1564" t="s">
        <v>1131</v>
      </c>
      <c r="D285" s="1540">
        <v>80000000</v>
      </c>
      <c r="E285" s="1593">
        <v>0.05</v>
      </c>
      <c r="F285" s="1540">
        <f t="shared" si="16"/>
        <v>4000000</v>
      </c>
      <c r="G285" s="2040"/>
      <c r="H285" s="2040"/>
      <c r="I285" s="2128"/>
      <c r="J285" s="2040">
        <f>G285</f>
        <v>0</v>
      </c>
      <c r="K285" s="2040">
        <f>(F285+F286)-J285</f>
        <v>14000000</v>
      </c>
      <c r="L285" s="2101"/>
    </row>
    <row r="286" spans="1:12" ht="30" customHeight="1" x14ac:dyDescent="0.2">
      <c r="A286" s="2034"/>
      <c r="B286" s="2033"/>
      <c r="C286" s="1564" t="s">
        <v>1131</v>
      </c>
      <c r="D286" s="1540">
        <v>200000000</v>
      </c>
      <c r="E286" s="1593">
        <v>0.05</v>
      </c>
      <c r="F286" s="1540">
        <f t="shared" si="16"/>
        <v>10000000</v>
      </c>
      <c r="G286" s="2042"/>
      <c r="H286" s="2042"/>
      <c r="I286" s="2129"/>
      <c r="J286" s="2042"/>
      <c r="K286" s="2042"/>
      <c r="L286" s="2102"/>
    </row>
    <row r="287" spans="1:12" ht="30" customHeight="1" x14ac:dyDescent="0.2">
      <c r="A287" s="2032"/>
      <c r="B287" s="2030"/>
      <c r="C287" s="1709" t="s">
        <v>265</v>
      </c>
      <c r="D287" s="1707">
        <v>220000000</v>
      </c>
      <c r="E287" s="1706">
        <v>0.05</v>
      </c>
      <c r="F287" s="1707">
        <f t="shared" si="16"/>
        <v>11000000</v>
      </c>
      <c r="G287" s="1708">
        <v>11000000</v>
      </c>
      <c r="H287" s="1708" t="s">
        <v>3708</v>
      </c>
      <c r="I287" s="24" t="s">
        <v>3111</v>
      </c>
      <c r="J287" s="1707">
        <f>G287</f>
        <v>11000000</v>
      </c>
      <c r="K287" s="1707">
        <f>F287-J287</f>
        <v>0</v>
      </c>
      <c r="L287" s="1710"/>
    </row>
    <row r="288" spans="1:12" ht="30" customHeight="1" x14ac:dyDescent="0.2">
      <c r="A288" s="1748">
        <v>191</v>
      </c>
      <c r="B288" s="1747" t="s">
        <v>53</v>
      </c>
      <c r="C288" s="1735" t="s">
        <v>265</v>
      </c>
      <c r="D288" s="1724">
        <v>700000000</v>
      </c>
      <c r="E288" s="1722">
        <v>7.6999999999999999E-2</v>
      </c>
      <c r="F288" s="1724">
        <v>54000000</v>
      </c>
      <c r="G288" s="1726">
        <v>54000000</v>
      </c>
      <c r="H288" s="1726" t="s">
        <v>3733</v>
      </c>
      <c r="I288" s="24" t="s">
        <v>696</v>
      </c>
      <c r="J288" s="1724">
        <f>G288</f>
        <v>54000000</v>
      </c>
      <c r="K288" s="1724">
        <f>F288-J288</f>
        <v>0</v>
      </c>
      <c r="L288" s="1583"/>
    </row>
    <row r="289" spans="1:16" ht="30" customHeight="1" x14ac:dyDescent="0.2">
      <c r="A289" s="2031">
        <v>192</v>
      </c>
      <c r="B289" s="2029" t="s">
        <v>54</v>
      </c>
      <c r="C289" s="2149" t="s">
        <v>1342</v>
      </c>
      <c r="D289" s="2040">
        <v>1400000000</v>
      </c>
      <c r="E289" s="2037">
        <v>7.0000000000000007E-2</v>
      </c>
      <c r="F289" s="2040">
        <f>D289*E289</f>
        <v>98000000.000000015</v>
      </c>
      <c r="G289" s="1700">
        <v>10000000</v>
      </c>
      <c r="H289" s="1700" t="s">
        <v>3358</v>
      </c>
      <c r="I289" s="1700" t="s">
        <v>888</v>
      </c>
      <c r="J289" s="2040">
        <f>G290+G289</f>
        <v>38000000</v>
      </c>
      <c r="K289" s="2040">
        <f>38000000-J289</f>
        <v>0</v>
      </c>
      <c r="L289" s="192" t="s">
        <v>3483</v>
      </c>
    </row>
    <row r="290" spans="1:16" ht="30" customHeight="1" x14ac:dyDescent="0.2">
      <c r="A290" s="2034"/>
      <c r="B290" s="2033"/>
      <c r="C290" s="2158"/>
      <c r="D290" s="2041"/>
      <c r="E290" s="2038"/>
      <c r="F290" s="2041"/>
      <c r="G290" s="1736">
        <v>28000000</v>
      </c>
      <c r="H290" s="1736" t="s">
        <v>3733</v>
      </c>
      <c r="I290" s="1736" t="s">
        <v>888</v>
      </c>
      <c r="J290" s="2042"/>
      <c r="K290" s="2042"/>
      <c r="L290" s="192" t="s">
        <v>2122</v>
      </c>
    </row>
    <row r="291" spans="1:16" ht="30" customHeight="1" x14ac:dyDescent="0.2">
      <c r="A291" s="2034"/>
      <c r="B291" s="2033"/>
      <c r="C291" s="2158"/>
      <c r="D291" s="2041"/>
      <c r="E291" s="2038"/>
      <c r="F291" s="2041"/>
      <c r="G291" s="247"/>
      <c r="H291" s="247"/>
      <c r="I291" s="247"/>
      <c r="J291" s="1540"/>
      <c r="K291" s="1540"/>
      <c r="L291" s="192" t="s">
        <v>2422</v>
      </c>
    </row>
    <row r="292" spans="1:16" ht="30" customHeight="1" x14ac:dyDescent="0.2">
      <c r="A292" s="2034"/>
      <c r="B292" s="2033"/>
      <c r="C292" s="2158"/>
      <c r="D292" s="2041"/>
      <c r="E292" s="2038"/>
      <c r="F292" s="2041"/>
      <c r="G292" s="247"/>
      <c r="H292" s="247"/>
      <c r="I292" s="247"/>
      <c r="J292" s="1540"/>
      <c r="K292" s="1540"/>
      <c r="L292" s="192" t="s">
        <v>3059</v>
      </c>
    </row>
    <row r="293" spans="1:16" ht="30" customHeight="1" x14ac:dyDescent="0.2">
      <c r="A293" s="2034"/>
      <c r="B293" s="2033"/>
      <c r="C293" s="2158"/>
      <c r="D293" s="2041"/>
      <c r="E293" s="2038"/>
      <c r="F293" s="2041"/>
      <c r="G293" s="1565"/>
      <c r="H293" s="1565"/>
      <c r="I293" s="1565"/>
      <c r="J293" s="1540"/>
      <c r="K293" s="1540"/>
      <c r="L293" s="192" t="s">
        <v>3058</v>
      </c>
    </row>
    <row r="294" spans="1:16" ht="30" customHeight="1" x14ac:dyDescent="0.2">
      <c r="A294" s="2032"/>
      <c r="B294" s="2030"/>
      <c r="C294" s="2150"/>
      <c r="D294" s="2042"/>
      <c r="E294" s="2039"/>
      <c r="F294" s="2042"/>
      <c r="G294" s="1565"/>
      <c r="H294" s="1565"/>
      <c r="I294" s="1565"/>
      <c r="J294" s="1540"/>
      <c r="K294" s="1540"/>
      <c r="L294" s="192" t="s">
        <v>3057</v>
      </c>
    </row>
    <row r="295" spans="1:16" ht="30" customHeight="1" x14ac:dyDescent="0.2">
      <c r="A295" s="1596">
        <v>193</v>
      </c>
      <c r="B295" s="1594" t="s">
        <v>55</v>
      </c>
      <c r="C295" s="1564" t="s">
        <v>1378</v>
      </c>
      <c r="D295" s="1540">
        <v>45000000</v>
      </c>
      <c r="E295" s="1593">
        <v>0.04</v>
      </c>
      <c r="F295" s="1540">
        <f t="shared" ref="F295:F378" si="24">D295*E295</f>
        <v>1800000</v>
      </c>
      <c r="G295" s="1540">
        <v>1800000</v>
      </c>
      <c r="H295" s="1540" t="s">
        <v>1232</v>
      </c>
      <c r="I295" s="1565" t="s">
        <v>1026</v>
      </c>
      <c r="J295" s="1540">
        <f t="shared" ref="J295:J311" si="25">G295</f>
        <v>1800000</v>
      </c>
      <c r="K295" s="1540">
        <f t="shared" ref="K295:K310" si="26">F295-J295</f>
        <v>0</v>
      </c>
      <c r="L295" s="1594"/>
    </row>
    <row r="296" spans="1:16" ht="30" customHeight="1" x14ac:dyDescent="0.2">
      <c r="A296" s="1533">
        <v>194</v>
      </c>
      <c r="B296" s="22" t="s">
        <v>56</v>
      </c>
      <c r="C296" s="421"/>
      <c r="D296" s="1554"/>
      <c r="E296" s="1090"/>
      <c r="F296" s="1554">
        <f t="shared" si="24"/>
        <v>0</v>
      </c>
      <c r="G296" s="1565">
        <v>6500000</v>
      </c>
      <c r="H296" s="1565" t="s">
        <v>1232</v>
      </c>
      <c r="I296" s="1590" t="s">
        <v>3328</v>
      </c>
      <c r="J296" s="1565">
        <f t="shared" si="25"/>
        <v>6500000</v>
      </c>
      <c r="K296" s="1554">
        <f t="shared" si="26"/>
        <v>-6500000</v>
      </c>
      <c r="L296" s="1557"/>
    </row>
    <row r="297" spans="1:16" ht="30" customHeight="1" x14ac:dyDescent="0.2">
      <c r="A297" s="1596">
        <v>195</v>
      </c>
      <c r="B297" s="1532" t="s">
        <v>57</v>
      </c>
      <c r="C297" s="1564" t="s">
        <v>1019</v>
      </c>
      <c r="D297" s="1540">
        <v>10000000</v>
      </c>
      <c r="E297" s="1537">
        <v>0.05</v>
      </c>
      <c r="F297" s="1540">
        <f t="shared" si="24"/>
        <v>500000</v>
      </c>
      <c r="G297" s="1540"/>
      <c r="H297" s="1540"/>
      <c r="I297" s="24"/>
      <c r="J297" s="1540">
        <f t="shared" si="25"/>
        <v>0</v>
      </c>
      <c r="K297" s="1540">
        <f t="shared" si="26"/>
        <v>500000</v>
      </c>
      <c r="L297" s="1594"/>
    </row>
    <row r="298" spans="1:16" ht="30" customHeight="1" x14ac:dyDescent="0.2">
      <c r="A298" s="2031">
        <v>196</v>
      </c>
      <c r="B298" s="2029" t="s">
        <v>58</v>
      </c>
      <c r="C298" s="1564" t="s">
        <v>1138</v>
      </c>
      <c r="D298" s="1540">
        <v>20000000</v>
      </c>
      <c r="E298" s="1593">
        <v>0.04</v>
      </c>
      <c r="F298" s="1540">
        <f t="shared" si="24"/>
        <v>800000</v>
      </c>
      <c r="G298" s="1899">
        <v>800000</v>
      </c>
      <c r="H298" s="2040" t="s">
        <v>1232</v>
      </c>
      <c r="I298" s="2128" t="s">
        <v>3914</v>
      </c>
      <c r="J298" s="1540">
        <f t="shared" si="25"/>
        <v>800000</v>
      </c>
      <c r="K298" s="1540">
        <f t="shared" si="26"/>
        <v>0</v>
      </c>
      <c r="L298" s="2461" t="s">
        <v>3916</v>
      </c>
    </row>
    <row r="299" spans="1:16" ht="30" customHeight="1" x14ac:dyDescent="0.2">
      <c r="A299" s="2034"/>
      <c r="B299" s="2033"/>
      <c r="C299" s="1564" t="s">
        <v>2131</v>
      </c>
      <c r="D299" s="1892">
        <v>30000000</v>
      </c>
      <c r="E299" s="1901">
        <v>0.05</v>
      </c>
      <c r="F299" s="1892">
        <f t="shared" si="24"/>
        <v>1500000</v>
      </c>
      <c r="G299" s="1899">
        <v>1500000</v>
      </c>
      <c r="H299" s="2041"/>
      <c r="I299" s="2237"/>
      <c r="J299" s="1540">
        <f t="shared" si="25"/>
        <v>1500000</v>
      </c>
      <c r="K299" s="1540">
        <f t="shared" si="26"/>
        <v>0</v>
      </c>
      <c r="L299" s="2461"/>
    </row>
    <row r="300" spans="1:16" ht="30" customHeight="1" x14ac:dyDescent="0.2">
      <c r="A300" s="2032"/>
      <c r="B300" s="2030"/>
      <c r="C300" s="1894"/>
      <c r="D300" s="1947" t="s">
        <v>3915</v>
      </c>
      <c r="E300" s="1948"/>
      <c r="F300" s="1949"/>
      <c r="G300" s="1892">
        <v>500000</v>
      </c>
      <c r="H300" s="2042"/>
      <c r="I300" s="2129"/>
      <c r="J300" s="1892">
        <f t="shared" si="25"/>
        <v>500000</v>
      </c>
      <c r="K300" s="1892">
        <v>0</v>
      </c>
      <c r="L300" s="2461"/>
      <c r="M300" s="766"/>
      <c r="N300" s="766"/>
      <c r="O300" s="766"/>
      <c r="P300" s="766"/>
    </row>
    <row r="301" spans="1:16" ht="30" customHeight="1" x14ac:dyDescent="0.2">
      <c r="A301" s="1596">
        <v>197</v>
      </c>
      <c r="B301" s="1594" t="s">
        <v>59</v>
      </c>
      <c r="C301" s="1564"/>
      <c r="D301" s="1540">
        <v>150000000</v>
      </c>
      <c r="E301" s="1593">
        <v>0.04</v>
      </c>
      <c r="F301" s="1540">
        <f t="shared" si="24"/>
        <v>6000000</v>
      </c>
      <c r="G301" s="1540"/>
      <c r="H301" s="1540"/>
      <c r="I301" s="1565"/>
      <c r="J301" s="1540">
        <f t="shared" si="25"/>
        <v>0</v>
      </c>
      <c r="K301" s="1540">
        <f t="shared" si="26"/>
        <v>6000000</v>
      </c>
      <c r="L301" s="1594"/>
      <c r="M301" s="406"/>
      <c r="N301" s="406"/>
      <c r="O301" s="406"/>
      <c r="P301" s="406"/>
    </row>
    <row r="302" spans="1:16" ht="30" customHeight="1" x14ac:dyDescent="0.2">
      <c r="A302" s="1596">
        <v>198</v>
      </c>
      <c r="B302" s="1594" t="s">
        <v>60</v>
      </c>
      <c r="C302" s="1564" t="s">
        <v>1165</v>
      </c>
      <c r="D302" s="1540">
        <v>30000000</v>
      </c>
      <c r="E302" s="1593">
        <v>8.5000000000000006E-2</v>
      </c>
      <c r="F302" s="1540">
        <v>2500000</v>
      </c>
      <c r="G302" s="1540">
        <v>2500000</v>
      </c>
      <c r="H302" s="1540" t="s">
        <v>3883</v>
      </c>
      <c r="I302" s="1565" t="s">
        <v>1205</v>
      </c>
      <c r="J302" s="1540">
        <f t="shared" si="25"/>
        <v>2500000</v>
      </c>
      <c r="K302" s="1540">
        <f t="shared" si="26"/>
        <v>0</v>
      </c>
      <c r="L302" s="1594"/>
      <c r="M302" s="406"/>
      <c r="N302" s="406"/>
      <c r="O302" s="406"/>
      <c r="P302" s="406"/>
    </row>
    <row r="303" spans="1:16" ht="30" customHeight="1" x14ac:dyDescent="0.2">
      <c r="A303" s="1596">
        <v>199</v>
      </c>
      <c r="B303" s="1594" t="s">
        <v>61</v>
      </c>
      <c r="C303" s="1564" t="s">
        <v>1131</v>
      </c>
      <c r="D303" s="1540">
        <v>50000000</v>
      </c>
      <c r="E303" s="1593">
        <v>0.05</v>
      </c>
      <c r="F303" s="1540">
        <f t="shared" si="24"/>
        <v>2500000</v>
      </c>
      <c r="G303" s="1540">
        <v>2500000</v>
      </c>
      <c r="H303" s="1540" t="s">
        <v>3924</v>
      </c>
      <c r="I303" s="1565" t="s">
        <v>1173</v>
      </c>
      <c r="J303" s="1540">
        <f t="shared" si="25"/>
        <v>2500000</v>
      </c>
      <c r="K303" s="1540">
        <f t="shared" si="26"/>
        <v>0</v>
      </c>
      <c r="L303" s="1594"/>
      <c r="M303" s="406"/>
      <c r="N303" s="406"/>
      <c r="O303" s="406"/>
      <c r="P303" s="406"/>
    </row>
    <row r="304" spans="1:16" ht="30" customHeight="1" x14ac:dyDescent="0.2">
      <c r="A304" s="1596">
        <v>200</v>
      </c>
      <c r="B304" s="1594" t="s">
        <v>62</v>
      </c>
      <c r="C304" s="1564" t="s">
        <v>1112</v>
      </c>
      <c r="D304" s="1540">
        <v>350000000</v>
      </c>
      <c r="E304" s="1593">
        <v>7.0000000000000007E-2</v>
      </c>
      <c r="F304" s="1540">
        <f t="shared" si="24"/>
        <v>24500000.000000004</v>
      </c>
      <c r="G304" s="1540"/>
      <c r="H304" s="1540"/>
      <c r="I304" s="24"/>
      <c r="J304" s="1540">
        <f t="shared" si="25"/>
        <v>0</v>
      </c>
      <c r="K304" s="1540">
        <f t="shared" si="26"/>
        <v>24500000.000000004</v>
      </c>
      <c r="L304" s="1594"/>
      <c r="M304" s="406"/>
      <c r="N304" s="406"/>
      <c r="O304" s="406"/>
      <c r="P304" s="406"/>
    </row>
    <row r="305" spans="1:16" ht="30" customHeight="1" x14ac:dyDescent="0.2">
      <c r="A305" s="1596">
        <v>201</v>
      </c>
      <c r="B305" s="1594" t="s">
        <v>63</v>
      </c>
      <c r="C305" s="1564"/>
      <c r="D305" s="1540">
        <v>60000000</v>
      </c>
      <c r="E305" s="1593">
        <v>6.5000000000000002E-2</v>
      </c>
      <c r="F305" s="1540">
        <v>4000000</v>
      </c>
      <c r="G305" s="1540"/>
      <c r="H305" s="1540"/>
      <c r="I305" s="1606"/>
      <c r="J305" s="1540">
        <f t="shared" si="25"/>
        <v>0</v>
      </c>
      <c r="K305" s="1540">
        <f t="shared" si="26"/>
        <v>4000000</v>
      </c>
      <c r="L305" s="1594"/>
      <c r="M305" s="406"/>
      <c r="N305" s="406"/>
      <c r="O305" s="406"/>
      <c r="P305" s="406"/>
    </row>
    <row r="306" spans="1:16" ht="30" customHeight="1" x14ac:dyDescent="0.2">
      <c r="A306" s="1599">
        <v>202</v>
      </c>
      <c r="B306" s="1594" t="s">
        <v>64</v>
      </c>
      <c r="C306" s="1595"/>
      <c r="D306" s="1565">
        <v>100000000</v>
      </c>
      <c r="E306" s="1593">
        <v>4.4999999999999998E-2</v>
      </c>
      <c r="F306" s="1565">
        <f t="shared" si="24"/>
        <v>4500000</v>
      </c>
      <c r="G306" s="1565"/>
      <c r="H306" s="1540"/>
      <c r="I306" s="24"/>
      <c r="J306" s="1540">
        <f t="shared" si="25"/>
        <v>0</v>
      </c>
      <c r="K306" s="1540">
        <f t="shared" si="26"/>
        <v>4500000</v>
      </c>
      <c r="L306" s="103"/>
      <c r="M306" s="406"/>
      <c r="N306" s="406"/>
      <c r="O306" s="406"/>
      <c r="P306" s="406"/>
    </row>
    <row r="307" spans="1:16" ht="30" customHeight="1" x14ac:dyDescent="0.2">
      <c r="A307" s="1596">
        <v>203</v>
      </c>
      <c r="B307" s="1532" t="s">
        <v>1292</v>
      </c>
      <c r="C307" s="1564" t="s">
        <v>1112</v>
      </c>
      <c r="D307" s="1540">
        <v>60000000</v>
      </c>
      <c r="E307" s="1537">
        <v>0.05</v>
      </c>
      <c r="F307" s="1540">
        <f t="shared" si="24"/>
        <v>3000000</v>
      </c>
      <c r="G307" s="1540"/>
      <c r="H307" s="1540"/>
      <c r="I307" s="24"/>
      <c r="J307" s="1540">
        <f t="shared" si="25"/>
        <v>0</v>
      </c>
      <c r="K307" s="1540">
        <f t="shared" si="26"/>
        <v>3000000</v>
      </c>
      <c r="L307" s="1594"/>
    </row>
    <row r="308" spans="1:16" ht="30" customHeight="1" x14ac:dyDescent="0.2">
      <c r="A308" s="1596">
        <v>204</v>
      </c>
      <c r="B308" s="1594" t="s">
        <v>65</v>
      </c>
      <c r="C308" s="1564"/>
      <c r="D308" s="1540">
        <v>30000000</v>
      </c>
      <c r="E308" s="1593">
        <v>4.4999999999999998E-2</v>
      </c>
      <c r="F308" s="1540">
        <f t="shared" si="24"/>
        <v>1350000</v>
      </c>
      <c r="G308" s="1540"/>
      <c r="H308" s="1540"/>
      <c r="I308" s="24"/>
      <c r="J308" s="1540">
        <f t="shared" si="25"/>
        <v>0</v>
      </c>
      <c r="K308" s="1540">
        <f t="shared" si="26"/>
        <v>1350000</v>
      </c>
      <c r="L308" s="168" t="s">
        <v>1398</v>
      </c>
    </row>
    <row r="309" spans="1:16" ht="30" customHeight="1" x14ac:dyDescent="0.2">
      <c r="A309" s="1596">
        <v>205</v>
      </c>
      <c r="B309" s="1594" t="s">
        <v>66</v>
      </c>
      <c r="C309" s="1564" t="s">
        <v>3389</v>
      </c>
      <c r="D309" s="1540">
        <v>15000000</v>
      </c>
      <c r="E309" s="1593">
        <v>0.04</v>
      </c>
      <c r="F309" s="1540">
        <f t="shared" si="24"/>
        <v>600000</v>
      </c>
      <c r="G309" s="1540"/>
      <c r="H309" s="1540"/>
      <c r="I309" s="24"/>
      <c r="J309" s="1540">
        <f t="shared" si="25"/>
        <v>0</v>
      </c>
      <c r="K309" s="1540">
        <f t="shared" si="26"/>
        <v>600000</v>
      </c>
      <c r="L309" s="1594"/>
    </row>
    <row r="310" spans="1:16" ht="30" customHeight="1" x14ac:dyDescent="0.2">
      <c r="A310" s="1596">
        <v>206</v>
      </c>
      <c r="B310" s="1594" t="s">
        <v>2536</v>
      </c>
      <c r="C310" s="1564" t="s">
        <v>1019</v>
      </c>
      <c r="D310" s="1540">
        <v>150000000</v>
      </c>
      <c r="E310" s="1593">
        <v>0.05</v>
      </c>
      <c r="F310" s="1540">
        <f t="shared" si="24"/>
        <v>7500000</v>
      </c>
      <c r="G310" s="1540">
        <v>7500000</v>
      </c>
      <c r="H310" s="1566" t="s">
        <v>3928</v>
      </c>
      <c r="I310" s="70" t="s">
        <v>3929</v>
      </c>
      <c r="J310" s="1540">
        <f t="shared" si="25"/>
        <v>7500000</v>
      </c>
      <c r="K310" s="1540">
        <f t="shared" si="26"/>
        <v>0</v>
      </c>
      <c r="L310" s="1594"/>
    </row>
    <row r="311" spans="1:16" ht="30" customHeight="1" x14ac:dyDescent="0.2">
      <c r="A311" s="2031">
        <v>207</v>
      </c>
      <c r="B311" s="2267" t="s">
        <v>2818</v>
      </c>
      <c r="C311" s="2266" t="s">
        <v>700</v>
      </c>
      <c r="D311" s="1540">
        <v>45000000</v>
      </c>
      <c r="E311" s="1593">
        <v>0.04</v>
      </c>
      <c r="F311" s="1540">
        <f t="shared" si="24"/>
        <v>1800000</v>
      </c>
      <c r="G311" s="2040">
        <v>3800000</v>
      </c>
      <c r="H311" s="2040" t="s">
        <v>3883</v>
      </c>
      <c r="I311" s="2128" t="s">
        <v>3891</v>
      </c>
      <c r="J311" s="2040">
        <f t="shared" si="25"/>
        <v>3800000</v>
      </c>
      <c r="K311" s="2040">
        <f>(F311+F312)-J311</f>
        <v>0</v>
      </c>
      <c r="L311" s="2051"/>
    </row>
    <row r="312" spans="1:16" ht="30" customHeight="1" x14ac:dyDescent="0.2">
      <c r="A312" s="2034"/>
      <c r="B312" s="2267"/>
      <c r="C312" s="2266"/>
      <c r="D312" s="1540">
        <v>50000000</v>
      </c>
      <c r="E312" s="1593">
        <v>0.04</v>
      </c>
      <c r="F312" s="1540">
        <f t="shared" si="24"/>
        <v>2000000</v>
      </c>
      <c r="G312" s="2042"/>
      <c r="H312" s="2042"/>
      <c r="I312" s="2129"/>
      <c r="J312" s="2042"/>
      <c r="K312" s="2042"/>
      <c r="L312" s="2052"/>
    </row>
    <row r="313" spans="1:16" ht="30" customHeight="1" x14ac:dyDescent="0.2">
      <c r="A313" s="1596">
        <v>208</v>
      </c>
      <c r="B313" s="1594" t="s">
        <v>70</v>
      </c>
      <c r="C313" s="1564" t="s">
        <v>1131</v>
      </c>
      <c r="D313" s="1540">
        <v>15000000</v>
      </c>
      <c r="E313" s="1593">
        <v>0.04</v>
      </c>
      <c r="F313" s="1540">
        <f t="shared" si="24"/>
        <v>600000</v>
      </c>
      <c r="G313" s="1540">
        <v>600000</v>
      </c>
      <c r="H313" s="1540" t="s">
        <v>3508</v>
      </c>
      <c r="I313" s="24" t="s">
        <v>1130</v>
      </c>
      <c r="J313" s="1540">
        <f t="shared" ref="J313:J326" si="27">G313</f>
        <v>600000</v>
      </c>
      <c r="K313" s="1540">
        <f t="shared" ref="K313:K329" si="28">F313-J313</f>
        <v>0</v>
      </c>
      <c r="L313" s="1594"/>
    </row>
    <row r="314" spans="1:16" ht="30" customHeight="1" x14ac:dyDescent="0.2">
      <c r="A314" s="1596">
        <v>209</v>
      </c>
      <c r="B314" s="1594" t="s">
        <v>71</v>
      </c>
      <c r="C314" s="1564"/>
      <c r="D314" s="1540">
        <v>10000000</v>
      </c>
      <c r="E314" s="1593">
        <v>0.05</v>
      </c>
      <c r="F314" s="1540">
        <f t="shared" si="24"/>
        <v>500000</v>
      </c>
      <c r="G314" s="1540"/>
      <c r="H314" s="1540"/>
      <c r="I314" s="1606"/>
      <c r="J314" s="1540">
        <f t="shared" si="27"/>
        <v>0</v>
      </c>
      <c r="K314" s="1540">
        <f t="shared" si="28"/>
        <v>500000</v>
      </c>
      <c r="L314" s="1594"/>
    </row>
    <row r="315" spans="1:16" ht="30" customHeight="1" x14ac:dyDescent="0.2">
      <c r="A315" s="1596">
        <v>210</v>
      </c>
      <c r="B315" s="1594" t="s">
        <v>73</v>
      </c>
      <c r="C315" s="1564"/>
      <c r="D315" s="1540">
        <v>50000000</v>
      </c>
      <c r="E315" s="1593">
        <v>7.0000000000000007E-2</v>
      </c>
      <c r="F315" s="1540">
        <f t="shared" si="24"/>
        <v>3500000.0000000005</v>
      </c>
      <c r="G315" s="1540">
        <v>3500000</v>
      </c>
      <c r="H315" s="1540" t="s">
        <v>3632</v>
      </c>
      <c r="I315" s="24" t="s">
        <v>3641</v>
      </c>
      <c r="J315" s="1540">
        <f t="shared" si="27"/>
        <v>3500000</v>
      </c>
      <c r="K315" s="1540">
        <f t="shared" si="28"/>
        <v>0</v>
      </c>
      <c r="L315" s="1594"/>
    </row>
    <row r="316" spans="1:16" ht="30" customHeight="1" x14ac:dyDescent="0.2">
      <c r="A316" s="1596">
        <v>211</v>
      </c>
      <c r="B316" s="1594" t="s">
        <v>74</v>
      </c>
      <c r="C316" s="1564" t="s">
        <v>1350</v>
      </c>
      <c r="D316" s="1540">
        <v>100000000</v>
      </c>
      <c r="E316" s="1593">
        <v>0.05</v>
      </c>
      <c r="F316" s="1540">
        <f t="shared" si="24"/>
        <v>5000000</v>
      </c>
      <c r="G316" s="1540">
        <v>5000000</v>
      </c>
      <c r="H316" s="1540" t="s">
        <v>3574</v>
      </c>
      <c r="I316" s="24" t="s">
        <v>1483</v>
      </c>
      <c r="J316" s="1540">
        <f t="shared" si="27"/>
        <v>5000000</v>
      </c>
      <c r="K316" s="1540">
        <f t="shared" si="28"/>
        <v>0</v>
      </c>
      <c r="L316" s="1594"/>
    </row>
    <row r="317" spans="1:16" ht="30" customHeight="1" x14ac:dyDescent="0.2">
      <c r="A317" s="1596">
        <v>212</v>
      </c>
      <c r="B317" s="1594" t="s">
        <v>75</v>
      </c>
      <c r="C317" s="1564"/>
      <c r="D317" s="1540">
        <v>30000000</v>
      </c>
      <c r="E317" s="1593">
        <v>0.05</v>
      </c>
      <c r="F317" s="1540">
        <f t="shared" si="24"/>
        <v>1500000</v>
      </c>
      <c r="G317" s="1540">
        <v>1500000</v>
      </c>
      <c r="H317" s="1540" t="s">
        <v>3574</v>
      </c>
      <c r="I317" s="24" t="s">
        <v>1327</v>
      </c>
      <c r="J317" s="1540">
        <f t="shared" si="27"/>
        <v>1500000</v>
      </c>
      <c r="K317" s="1540">
        <f t="shared" si="28"/>
        <v>0</v>
      </c>
      <c r="L317" s="1594"/>
    </row>
    <row r="318" spans="1:16" ht="30" customHeight="1" x14ac:dyDescent="0.2">
      <c r="A318" s="1596">
        <v>213</v>
      </c>
      <c r="B318" s="1594" t="s">
        <v>76</v>
      </c>
      <c r="C318" s="1564"/>
      <c r="D318" s="1540">
        <v>15000000</v>
      </c>
      <c r="E318" s="1593">
        <v>4.7E-2</v>
      </c>
      <c r="F318" s="1540">
        <v>700000</v>
      </c>
      <c r="G318" s="1540">
        <v>700000</v>
      </c>
      <c r="H318" s="1540" t="s">
        <v>3508</v>
      </c>
      <c r="I318" s="24" t="s">
        <v>3553</v>
      </c>
      <c r="J318" s="1540">
        <f t="shared" si="27"/>
        <v>700000</v>
      </c>
      <c r="K318" s="1540">
        <f t="shared" si="28"/>
        <v>0</v>
      </c>
      <c r="L318" s="1594"/>
    </row>
    <row r="319" spans="1:16" ht="30" customHeight="1" x14ac:dyDescent="0.2">
      <c r="A319" s="1596">
        <v>214</v>
      </c>
      <c r="B319" s="1594" t="s">
        <v>966</v>
      </c>
      <c r="C319" s="1564"/>
      <c r="D319" s="1540">
        <v>200000000</v>
      </c>
      <c r="E319" s="1593">
        <v>5.5E-2</v>
      </c>
      <c r="F319" s="1540">
        <f t="shared" si="24"/>
        <v>11000000</v>
      </c>
      <c r="G319" s="1540"/>
      <c r="H319" s="1540"/>
      <c r="I319" s="24"/>
      <c r="J319" s="1540">
        <f t="shared" si="27"/>
        <v>0</v>
      </c>
      <c r="K319" s="1540">
        <f t="shared" si="28"/>
        <v>11000000</v>
      </c>
      <c r="L319" s="1594"/>
    </row>
    <row r="320" spans="1:16" ht="30" customHeight="1" x14ac:dyDescent="0.2">
      <c r="A320" s="1596">
        <v>215</v>
      </c>
      <c r="B320" s="2029" t="s">
        <v>77</v>
      </c>
      <c r="C320" s="2149"/>
      <c r="D320" s="1540">
        <v>70000000</v>
      </c>
      <c r="E320" s="1593">
        <v>0.05</v>
      </c>
      <c r="F320" s="1540">
        <f t="shared" si="24"/>
        <v>3500000</v>
      </c>
      <c r="G320" s="1540">
        <v>3500000</v>
      </c>
      <c r="H320" s="1540" t="s">
        <v>3632</v>
      </c>
      <c r="I320" s="24" t="s">
        <v>3661</v>
      </c>
      <c r="J320" s="1540">
        <f t="shared" si="27"/>
        <v>3500000</v>
      </c>
      <c r="K320" s="1540">
        <f t="shared" si="28"/>
        <v>0</v>
      </c>
      <c r="L320" s="1594"/>
    </row>
    <row r="321" spans="1:12" ht="30" customHeight="1" x14ac:dyDescent="0.2">
      <c r="A321" s="1869"/>
      <c r="B321" s="2033"/>
      <c r="C321" s="2158"/>
      <c r="D321" s="2097" t="s">
        <v>2175</v>
      </c>
      <c r="E321" s="2195"/>
      <c r="F321" s="2098"/>
      <c r="G321" s="1865">
        <v>25000000</v>
      </c>
      <c r="H321" s="1865" t="s">
        <v>3864</v>
      </c>
      <c r="I321" s="24" t="s">
        <v>3881</v>
      </c>
      <c r="J321" s="2040">
        <f>G321+G322</f>
        <v>70000000</v>
      </c>
      <c r="K321" s="2040">
        <f>70000000-J321</f>
        <v>0</v>
      </c>
      <c r="L321" s="2101"/>
    </row>
    <row r="322" spans="1:12" ht="30" customHeight="1" x14ac:dyDescent="0.2">
      <c r="A322" s="1869"/>
      <c r="B322" s="2030"/>
      <c r="C322" s="2150"/>
      <c r="D322" s="2099"/>
      <c r="E322" s="2196"/>
      <c r="F322" s="2100"/>
      <c r="G322" s="1865">
        <v>45000000</v>
      </c>
      <c r="H322" s="1865" t="s">
        <v>2741</v>
      </c>
      <c r="I322" s="24" t="s">
        <v>3881</v>
      </c>
      <c r="J322" s="2042"/>
      <c r="K322" s="2042"/>
      <c r="L322" s="2102"/>
    </row>
    <row r="323" spans="1:12" ht="30" customHeight="1" x14ac:dyDescent="0.2">
      <c r="A323" s="1596">
        <v>216</v>
      </c>
      <c r="B323" s="1594" t="s">
        <v>78</v>
      </c>
      <c r="C323" s="1564" t="s">
        <v>916</v>
      </c>
      <c r="D323" s="1540">
        <v>250000000</v>
      </c>
      <c r="E323" s="1593">
        <v>4.4999999999999998E-2</v>
      </c>
      <c r="F323" s="1540">
        <f t="shared" si="24"/>
        <v>11250000</v>
      </c>
      <c r="G323" s="1540">
        <v>11250000</v>
      </c>
      <c r="H323" s="1540" t="s">
        <v>3508</v>
      </c>
      <c r="I323" s="21" t="s">
        <v>3548</v>
      </c>
      <c r="J323" s="1540">
        <f t="shared" si="27"/>
        <v>11250000</v>
      </c>
      <c r="K323" s="1540">
        <f t="shared" si="28"/>
        <v>0</v>
      </c>
      <c r="L323" s="1594"/>
    </row>
    <row r="324" spans="1:12" ht="30" customHeight="1" x14ac:dyDescent="0.2">
      <c r="A324" s="1533">
        <v>217</v>
      </c>
      <c r="B324" s="1594" t="s">
        <v>80</v>
      </c>
      <c r="C324" s="1595"/>
      <c r="D324" s="1565">
        <v>160000000</v>
      </c>
      <c r="E324" s="1593">
        <v>0.05</v>
      </c>
      <c r="F324" s="1565">
        <f t="shared" si="24"/>
        <v>8000000</v>
      </c>
      <c r="G324" s="1565"/>
      <c r="H324" s="1565"/>
      <c r="I324" s="1606"/>
      <c r="J324" s="1565">
        <f t="shared" si="27"/>
        <v>0</v>
      </c>
      <c r="K324" s="1565">
        <f t="shared" si="28"/>
        <v>8000000</v>
      </c>
      <c r="L324" s="1545"/>
    </row>
    <row r="325" spans="1:12" ht="30" customHeight="1" x14ac:dyDescent="0.2">
      <c r="A325" s="2031">
        <v>218</v>
      </c>
      <c r="B325" s="2029" t="s">
        <v>81</v>
      </c>
      <c r="C325" s="2149"/>
      <c r="D325" s="2040">
        <v>45000000</v>
      </c>
      <c r="E325" s="2037">
        <v>0.04</v>
      </c>
      <c r="F325" s="2040">
        <f t="shared" si="24"/>
        <v>1800000</v>
      </c>
      <c r="G325" s="1540">
        <v>1800000</v>
      </c>
      <c r="H325" s="1540" t="s">
        <v>3574</v>
      </c>
      <c r="I325" s="70" t="s">
        <v>1798</v>
      </c>
      <c r="J325" s="1540">
        <f t="shared" si="27"/>
        <v>1800000</v>
      </c>
      <c r="K325" s="1540">
        <f t="shared" si="28"/>
        <v>0</v>
      </c>
      <c r="L325" s="1594"/>
    </row>
    <row r="326" spans="1:12" ht="30" customHeight="1" x14ac:dyDescent="0.2">
      <c r="A326" s="2032"/>
      <c r="B326" s="2030"/>
      <c r="C326" s="2150"/>
      <c r="D326" s="2042"/>
      <c r="E326" s="2039"/>
      <c r="F326" s="2042"/>
      <c r="G326" s="1726">
        <v>3600000</v>
      </c>
      <c r="H326" s="1726" t="s">
        <v>3708</v>
      </c>
      <c r="I326" s="70" t="s">
        <v>3711</v>
      </c>
      <c r="J326" s="1726">
        <f t="shared" si="27"/>
        <v>3600000</v>
      </c>
      <c r="K326" s="1726"/>
      <c r="L326" s="168" t="s">
        <v>3712</v>
      </c>
    </row>
    <row r="327" spans="1:12" ht="30" customHeight="1" x14ac:dyDescent="0.2">
      <c r="A327" s="1596">
        <v>219</v>
      </c>
      <c r="B327" s="1594" t="s">
        <v>1907</v>
      </c>
      <c r="C327" s="1564"/>
      <c r="D327" s="1550"/>
      <c r="E327" s="44"/>
      <c r="F327" s="1550">
        <f t="shared" si="24"/>
        <v>0</v>
      </c>
      <c r="G327" s="1540"/>
      <c r="H327" s="1540"/>
      <c r="I327" s="24"/>
      <c r="J327" s="1540"/>
      <c r="K327" s="1550">
        <f t="shared" si="28"/>
        <v>0</v>
      </c>
      <c r="L327" s="1594"/>
    </row>
    <row r="328" spans="1:12" ht="30" customHeight="1" x14ac:dyDescent="0.2">
      <c r="A328" s="1596">
        <v>220</v>
      </c>
      <c r="B328" s="1591" t="s">
        <v>83</v>
      </c>
      <c r="C328" s="385"/>
      <c r="D328" s="1538">
        <v>203000000</v>
      </c>
      <c r="E328" s="1536">
        <v>0.05</v>
      </c>
      <c r="F328" s="1538">
        <f t="shared" si="24"/>
        <v>10150000</v>
      </c>
      <c r="G328" s="1540">
        <v>10150000</v>
      </c>
      <c r="H328" s="1540" t="s">
        <v>3508</v>
      </c>
      <c r="I328" s="24" t="s">
        <v>3556</v>
      </c>
      <c r="J328" s="1538">
        <f>G328</f>
        <v>10150000</v>
      </c>
      <c r="K328" s="1538">
        <f t="shared" si="28"/>
        <v>0</v>
      </c>
      <c r="L328" s="1594"/>
    </row>
    <row r="329" spans="1:12" ht="30" customHeight="1" x14ac:dyDescent="0.2">
      <c r="A329" s="1596">
        <v>221</v>
      </c>
      <c r="B329" s="1591" t="s">
        <v>332</v>
      </c>
      <c r="C329" s="385"/>
      <c r="D329" s="1538">
        <v>275000000</v>
      </c>
      <c r="E329" s="1536">
        <v>4.2000000000000003E-2</v>
      </c>
      <c r="F329" s="1538">
        <f>D329*E329</f>
        <v>11550000</v>
      </c>
      <c r="G329" s="1539">
        <v>11550000</v>
      </c>
      <c r="H329" s="1539" t="s">
        <v>3610</v>
      </c>
      <c r="I329" s="427" t="s">
        <v>1752</v>
      </c>
      <c r="J329" s="1538">
        <f>G329</f>
        <v>11550000</v>
      </c>
      <c r="K329" s="1538">
        <f t="shared" si="28"/>
        <v>0</v>
      </c>
      <c r="L329" s="1557"/>
    </row>
    <row r="330" spans="1:12" ht="30" customHeight="1" x14ac:dyDescent="0.2">
      <c r="A330" s="426">
        <v>222</v>
      </c>
      <c r="B330" s="2029" t="s">
        <v>1935</v>
      </c>
      <c r="C330" s="2149" t="s">
        <v>1342</v>
      </c>
      <c r="D330" s="2040">
        <v>700000000</v>
      </c>
      <c r="E330" s="2037">
        <v>0.06</v>
      </c>
      <c r="F330" s="2040">
        <f>D330*E330</f>
        <v>42000000</v>
      </c>
      <c r="G330" s="1565">
        <v>5000000</v>
      </c>
      <c r="H330" s="1565" t="s">
        <v>3508</v>
      </c>
      <c r="I330" s="1590" t="s">
        <v>3551</v>
      </c>
      <c r="J330" s="2040">
        <f>5000000+G330+G331+G332</f>
        <v>42000000</v>
      </c>
      <c r="K330" s="2040">
        <f>F330-J330</f>
        <v>0</v>
      </c>
      <c r="L330" s="1823" t="s">
        <v>3846</v>
      </c>
    </row>
    <row r="331" spans="1:12" ht="30" customHeight="1" x14ac:dyDescent="0.2">
      <c r="A331" s="1613"/>
      <c r="B331" s="2033"/>
      <c r="C331" s="2158"/>
      <c r="D331" s="2041"/>
      <c r="E331" s="2038"/>
      <c r="F331" s="2041"/>
      <c r="G331" s="1810">
        <v>5000000</v>
      </c>
      <c r="H331" s="1810" t="s">
        <v>3843</v>
      </c>
      <c r="I331" s="24" t="s">
        <v>3503</v>
      </c>
      <c r="J331" s="2041"/>
      <c r="K331" s="2041"/>
      <c r="L331" s="1823" t="s">
        <v>3845</v>
      </c>
    </row>
    <row r="332" spans="1:12" ht="30" customHeight="1" x14ac:dyDescent="0.2">
      <c r="A332" s="1613"/>
      <c r="B332" s="2030"/>
      <c r="C332" s="2150"/>
      <c r="D332" s="2042"/>
      <c r="E332" s="2039"/>
      <c r="F332" s="2042"/>
      <c r="G332" s="1540">
        <v>27000000</v>
      </c>
      <c r="H332" s="1540" t="s">
        <v>3844</v>
      </c>
      <c r="I332" s="24" t="s">
        <v>3876</v>
      </c>
      <c r="J332" s="2042"/>
      <c r="K332" s="2042"/>
      <c r="L332" s="1824"/>
    </row>
    <row r="333" spans="1:12" ht="30" customHeight="1" x14ac:dyDescent="0.2">
      <c r="A333" s="1535">
        <v>223</v>
      </c>
      <c r="B333" s="1532" t="s">
        <v>85</v>
      </c>
      <c r="C333" s="1564" t="s">
        <v>1750</v>
      </c>
      <c r="D333" s="1540">
        <v>100000000</v>
      </c>
      <c r="E333" s="1537">
        <v>0.05</v>
      </c>
      <c r="F333" s="1540">
        <f t="shared" si="24"/>
        <v>5000000</v>
      </c>
      <c r="G333" s="1540">
        <v>5000000</v>
      </c>
      <c r="H333" s="1540" t="s">
        <v>3632</v>
      </c>
      <c r="I333" s="24" t="s">
        <v>3638</v>
      </c>
      <c r="J333" s="1540">
        <f t="shared" ref="J333:J338" si="29">G333</f>
        <v>5000000</v>
      </c>
      <c r="K333" s="1540">
        <f t="shared" ref="K333:K338" si="30">F333-J333</f>
        <v>0</v>
      </c>
      <c r="L333" s="1594"/>
    </row>
    <row r="334" spans="1:12" ht="30" customHeight="1" x14ac:dyDescent="0.2">
      <c r="A334" s="1596">
        <v>224</v>
      </c>
      <c r="B334" s="1594" t="s">
        <v>2765</v>
      </c>
      <c r="C334" s="1564"/>
      <c r="D334" s="1540">
        <v>10000000</v>
      </c>
      <c r="E334" s="1593">
        <v>0.05</v>
      </c>
      <c r="F334" s="1540">
        <f t="shared" si="24"/>
        <v>500000</v>
      </c>
      <c r="G334" s="1540">
        <v>500000</v>
      </c>
      <c r="H334" s="1540" t="s">
        <v>3574</v>
      </c>
      <c r="I334" s="24" t="s">
        <v>362</v>
      </c>
      <c r="J334" s="1540">
        <f t="shared" si="29"/>
        <v>500000</v>
      </c>
      <c r="K334" s="1540">
        <f t="shared" si="30"/>
        <v>0</v>
      </c>
      <c r="L334" s="1594"/>
    </row>
    <row r="335" spans="1:12" ht="30" customHeight="1" x14ac:dyDescent="0.2">
      <c r="A335" s="1535">
        <v>226</v>
      </c>
      <c r="B335" s="1592" t="s">
        <v>88</v>
      </c>
      <c r="C335" s="1564"/>
      <c r="D335" s="1565">
        <v>410000000</v>
      </c>
      <c r="E335" s="1593">
        <v>0.06</v>
      </c>
      <c r="F335" s="1565">
        <f>D335*E335</f>
        <v>24600000</v>
      </c>
      <c r="G335" s="1565">
        <v>24600000</v>
      </c>
      <c r="H335" s="1565" t="s">
        <v>3574</v>
      </c>
      <c r="I335" s="1565" t="s">
        <v>2526</v>
      </c>
      <c r="J335" s="1565">
        <f t="shared" si="29"/>
        <v>24600000</v>
      </c>
      <c r="K335" s="1540">
        <f t="shared" si="30"/>
        <v>0</v>
      </c>
      <c r="L335" s="1546"/>
    </row>
    <row r="336" spans="1:12" ht="30" customHeight="1" x14ac:dyDescent="0.2">
      <c r="A336" s="1596">
        <v>227</v>
      </c>
      <c r="B336" s="1594" t="s">
        <v>89</v>
      </c>
      <c r="C336" s="1564" t="s">
        <v>916</v>
      </c>
      <c r="D336" s="1540">
        <v>20000000</v>
      </c>
      <c r="E336" s="1593">
        <v>0.05</v>
      </c>
      <c r="F336" s="1540">
        <f>D336*E336</f>
        <v>1000000</v>
      </c>
      <c r="G336" s="1540">
        <v>1000000</v>
      </c>
      <c r="H336" s="1540" t="s">
        <v>3574</v>
      </c>
      <c r="I336" s="21" t="s">
        <v>369</v>
      </c>
      <c r="J336" s="1540">
        <f t="shared" si="29"/>
        <v>1000000</v>
      </c>
      <c r="K336" s="1540">
        <f t="shared" si="30"/>
        <v>0</v>
      </c>
      <c r="L336" s="1594"/>
    </row>
    <row r="337" spans="1:12" ht="30" customHeight="1" x14ac:dyDescent="0.2">
      <c r="A337" s="1596">
        <v>228</v>
      </c>
      <c r="B337" s="1594" t="s">
        <v>90</v>
      </c>
      <c r="C337" s="1564" t="s">
        <v>1219</v>
      </c>
      <c r="D337" s="1540">
        <v>10000000</v>
      </c>
      <c r="E337" s="1593">
        <v>0.04</v>
      </c>
      <c r="F337" s="1540">
        <f t="shared" si="24"/>
        <v>400000</v>
      </c>
      <c r="G337" s="1540">
        <v>400000</v>
      </c>
      <c r="H337" s="1540" t="s">
        <v>3696</v>
      </c>
      <c r="I337" s="30" t="s">
        <v>426</v>
      </c>
      <c r="J337" s="1540">
        <f t="shared" si="29"/>
        <v>400000</v>
      </c>
      <c r="K337" s="1540">
        <f t="shared" si="30"/>
        <v>0</v>
      </c>
      <c r="L337" s="1594"/>
    </row>
    <row r="338" spans="1:12" ht="30" customHeight="1" x14ac:dyDescent="0.2">
      <c r="A338" s="1596">
        <v>229</v>
      </c>
      <c r="B338" s="1594" t="s">
        <v>91</v>
      </c>
      <c r="C338" s="1564" t="s">
        <v>916</v>
      </c>
      <c r="D338" s="1540">
        <v>52000000</v>
      </c>
      <c r="E338" s="1593">
        <v>0.05</v>
      </c>
      <c r="F338" s="1540">
        <f t="shared" si="24"/>
        <v>2600000</v>
      </c>
      <c r="G338" s="1540"/>
      <c r="H338" s="1540"/>
      <c r="I338" s="24"/>
      <c r="J338" s="1540">
        <f t="shared" si="29"/>
        <v>0</v>
      </c>
      <c r="K338" s="1540">
        <f t="shared" si="30"/>
        <v>2600000</v>
      </c>
      <c r="L338" s="1594"/>
    </row>
    <row r="339" spans="1:12" ht="30" customHeight="1" x14ac:dyDescent="0.2">
      <c r="A339" s="1879"/>
      <c r="B339" s="1878"/>
      <c r="C339" s="1882"/>
      <c r="D339" s="1880">
        <v>20000000</v>
      </c>
      <c r="E339" s="1883">
        <v>0.05</v>
      </c>
      <c r="F339" s="1880">
        <f t="shared" si="24"/>
        <v>1000000</v>
      </c>
      <c r="G339" s="1881">
        <v>1000000</v>
      </c>
      <c r="H339" s="1881" t="s">
        <v>3632</v>
      </c>
      <c r="I339" s="1881" t="s">
        <v>459</v>
      </c>
      <c r="J339" s="1881">
        <f t="shared" ref="J339" si="31">G339</f>
        <v>1000000</v>
      </c>
      <c r="K339" s="1880">
        <f t="shared" ref="K339" si="32">F339-J339</f>
        <v>0</v>
      </c>
      <c r="L339" s="1753" t="s">
        <v>3635</v>
      </c>
    </row>
    <row r="340" spans="1:12" ht="30" customHeight="1" x14ac:dyDescent="0.2">
      <c r="A340" s="2031"/>
      <c r="B340" s="2029" t="s">
        <v>92</v>
      </c>
      <c r="C340" s="2149" t="s">
        <v>1821</v>
      </c>
      <c r="D340" s="1881">
        <v>10000000</v>
      </c>
      <c r="E340" s="1883">
        <v>0.05</v>
      </c>
      <c r="F340" s="1881">
        <f t="shared" si="24"/>
        <v>500000</v>
      </c>
      <c r="G340" s="1673"/>
      <c r="H340" s="1673"/>
      <c r="I340" s="1673"/>
      <c r="J340" s="1673"/>
      <c r="K340" s="1540"/>
      <c r="L340" s="1753"/>
    </row>
    <row r="341" spans="1:12" ht="30" customHeight="1" x14ac:dyDescent="0.2">
      <c r="A341" s="2032"/>
      <c r="B341" s="2030"/>
      <c r="C341" s="2150"/>
      <c r="D341" s="1881">
        <v>5000000</v>
      </c>
      <c r="E341" s="1883">
        <v>0.05</v>
      </c>
      <c r="F341" s="1881">
        <f t="shared" si="24"/>
        <v>250000</v>
      </c>
      <c r="G341" s="1663"/>
      <c r="H341" s="1663"/>
      <c r="I341" s="1663"/>
      <c r="J341" s="1663"/>
      <c r="K341" s="1663"/>
      <c r="L341" s="1683"/>
    </row>
    <row r="342" spans="1:12" ht="30" customHeight="1" x14ac:dyDescent="0.2">
      <c r="A342" s="1535">
        <v>231</v>
      </c>
      <c r="B342" s="1532" t="s">
        <v>93</v>
      </c>
      <c r="C342" s="1564" t="s">
        <v>1110</v>
      </c>
      <c r="D342" s="1540">
        <v>30000000</v>
      </c>
      <c r="E342" s="1537">
        <v>4.4999999999999998E-2</v>
      </c>
      <c r="F342" s="1540">
        <f t="shared" si="24"/>
        <v>1350000</v>
      </c>
      <c r="G342" s="1540">
        <v>1350000</v>
      </c>
      <c r="H342" s="1540" t="s">
        <v>3610</v>
      </c>
      <c r="I342" s="425" t="s">
        <v>303</v>
      </c>
      <c r="J342" s="1540">
        <f t="shared" ref="J342:J354" si="33">G342</f>
        <v>1350000</v>
      </c>
      <c r="K342" s="1540">
        <f t="shared" ref="K342:K353" si="34">F342-J342</f>
        <v>0</v>
      </c>
      <c r="L342" s="1594"/>
    </row>
    <row r="343" spans="1:12" ht="30" customHeight="1" x14ac:dyDescent="0.2">
      <c r="A343" s="1596">
        <v>232</v>
      </c>
      <c r="B343" s="1594" t="s">
        <v>1699</v>
      </c>
      <c r="C343" s="1564" t="s">
        <v>1215</v>
      </c>
      <c r="D343" s="1540">
        <v>55000000</v>
      </c>
      <c r="E343" s="1593">
        <v>0.04</v>
      </c>
      <c r="F343" s="1540">
        <f t="shared" si="24"/>
        <v>2200000</v>
      </c>
      <c r="G343" s="1540">
        <v>2200000</v>
      </c>
      <c r="H343" s="1540" t="s">
        <v>3581</v>
      </c>
      <c r="I343" s="24" t="s">
        <v>1701</v>
      </c>
      <c r="J343" s="1540">
        <f t="shared" si="33"/>
        <v>2200000</v>
      </c>
      <c r="K343" s="1540">
        <f t="shared" si="34"/>
        <v>0</v>
      </c>
      <c r="L343" s="1594"/>
    </row>
    <row r="344" spans="1:12" ht="30" customHeight="1" x14ac:dyDescent="0.2">
      <c r="A344" s="1596">
        <v>233</v>
      </c>
      <c r="B344" s="1594" t="s">
        <v>280</v>
      </c>
      <c r="C344" s="1564" t="s">
        <v>380</v>
      </c>
      <c r="D344" s="1540">
        <v>50000000</v>
      </c>
      <c r="E344" s="1593">
        <v>0.05</v>
      </c>
      <c r="F344" s="1540">
        <f t="shared" si="24"/>
        <v>2500000</v>
      </c>
      <c r="G344" s="1540">
        <v>2500000</v>
      </c>
      <c r="H344" s="1540" t="s">
        <v>3883</v>
      </c>
      <c r="I344" s="24" t="s">
        <v>278</v>
      </c>
      <c r="J344" s="1540">
        <f t="shared" si="33"/>
        <v>2500000</v>
      </c>
      <c r="K344" s="1540">
        <f t="shared" si="34"/>
        <v>0</v>
      </c>
      <c r="L344" s="168" t="s">
        <v>279</v>
      </c>
    </row>
    <row r="345" spans="1:12" ht="30" customHeight="1" x14ac:dyDescent="0.2">
      <c r="A345" s="1596">
        <v>234</v>
      </c>
      <c r="B345" s="1591" t="s">
        <v>95</v>
      </c>
      <c r="C345" s="421"/>
      <c r="D345" s="1554"/>
      <c r="E345" s="44"/>
      <c r="F345" s="1565">
        <v>21000000</v>
      </c>
      <c r="G345" s="1565">
        <v>21000000</v>
      </c>
      <c r="H345" s="1565" t="s">
        <v>3574</v>
      </c>
      <c r="I345" s="1590" t="s">
        <v>518</v>
      </c>
      <c r="J345" s="1565">
        <f t="shared" si="33"/>
        <v>21000000</v>
      </c>
      <c r="K345" s="1540">
        <f t="shared" si="34"/>
        <v>0</v>
      </c>
      <c r="L345" s="1583"/>
    </row>
    <row r="346" spans="1:12" ht="30" customHeight="1" x14ac:dyDescent="0.2">
      <c r="A346" s="2031">
        <v>235</v>
      </c>
      <c r="B346" s="2029" t="s">
        <v>96</v>
      </c>
      <c r="C346" s="2149" t="s">
        <v>1215</v>
      </c>
      <c r="D346" s="2040">
        <v>50000000</v>
      </c>
      <c r="E346" s="2037">
        <v>0.04</v>
      </c>
      <c r="F346" s="2040">
        <f t="shared" si="24"/>
        <v>2000000</v>
      </c>
      <c r="G346" s="2157">
        <v>400000</v>
      </c>
      <c r="H346" s="2157" t="s">
        <v>3708</v>
      </c>
      <c r="I346" s="2123" t="s">
        <v>1981</v>
      </c>
      <c r="J346" s="2040">
        <f t="shared" si="33"/>
        <v>400000</v>
      </c>
      <c r="K346" s="2040">
        <f t="shared" si="34"/>
        <v>1600000</v>
      </c>
      <c r="L346" s="2051" t="s">
        <v>3722</v>
      </c>
    </row>
    <row r="347" spans="1:12" ht="30" customHeight="1" x14ac:dyDescent="0.2">
      <c r="A347" s="2034"/>
      <c r="B347" s="2033"/>
      <c r="C347" s="2158"/>
      <c r="D347" s="2042"/>
      <c r="E347" s="2039"/>
      <c r="F347" s="2042"/>
      <c r="G347" s="2157"/>
      <c r="H347" s="2157"/>
      <c r="I347" s="2125"/>
      <c r="J347" s="2042"/>
      <c r="K347" s="2042"/>
      <c r="L347" s="2052"/>
    </row>
    <row r="348" spans="1:12" ht="30" customHeight="1" x14ac:dyDescent="0.2">
      <c r="A348" s="2032"/>
      <c r="B348" s="2030"/>
      <c r="C348" s="2150"/>
      <c r="D348" s="1703">
        <v>60000000</v>
      </c>
      <c r="E348" s="1704">
        <v>0.05</v>
      </c>
      <c r="F348" s="1703">
        <f>D348*E348</f>
        <v>3000000</v>
      </c>
      <c r="G348" s="2154" t="s">
        <v>3530</v>
      </c>
      <c r="H348" s="2155"/>
      <c r="I348" s="2155"/>
      <c r="J348" s="2156"/>
      <c r="K348" s="1702"/>
      <c r="L348" s="1705"/>
    </row>
    <row r="349" spans="1:12" ht="30" customHeight="1" x14ac:dyDescent="0.2">
      <c r="A349" s="1596">
        <v>236</v>
      </c>
      <c r="B349" s="1594" t="s">
        <v>97</v>
      </c>
      <c r="C349" s="1564"/>
      <c r="D349" s="1540">
        <v>20000000</v>
      </c>
      <c r="E349" s="1593">
        <v>0.05</v>
      </c>
      <c r="F349" s="1540">
        <f>D349*E349</f>
        <v>1000000</v>
      </c>
      <c r="G349" s="1540">
        <v>1000000</v>
      </c>
      <c r="H349" s="1540" t="s">
        <v>3811</v>
      </c>
      <c r="I349" s="1568" t="s">
        <v>340</v>
      </c>
      <c r="J349" s="1540">
        <f t="shared" si="33"/>
        <v>1000000</v>
      </c>
      <c r="K349" s="1540">
        <f t="shared" si="34"/>
        <v>0</v>
      </c>
      <c r="L349" s="168" t="s">
        <v>2827</v>
      </c>
    </row>
    <row r="350" spans="1:12" ht="30" customHeight="1" x14ac:dyDescent="0.2">
      <c r="A350" s="1596">
        <v>237</v>
      </c>
      <c r="B350" s="1594" t="s">
        <v>98</v>
      </c>
      <c r="C350" s="1564" t="s">
        <v>1821</v>
      </c>
      <c r="D350" s="1540">
        <v>62500000</v>
      </c>
      <c r="E350" s="1593">
        <v>4.8000000000000001E-2</v>
      </c>
      <c r="F350" s="1540">
        <f t="shared" si="24"/>
        <v>3000000</v>
      </c>
      <c r="G350" s="1540">
        <v>3000000</v>
      </c>
      <c r="H350" s="1540" t="s">
        <v>3610</v>
      </c>
      <c r="I350" s="24" t="s">
        <v>3620</v>
      </c>
      <c r="J350" s="1540">
        <f t="shared" si="33"/>
        <v>3000000</v>
      </c>
      <c r="K350" s="1540">
        <f t="shared" si="34"/>
        <v>0</v>
      </c>
      <c r="L350" s="1594"/>
    </row>
    <row r="351" spans="1:12" ht="30" customHeight="1" x14ac:dyDescent="0.2">
      <c r="A351" s="1596">
        <v>238</v>
      </c>
      <c r="B351" s="1594" t="s">
        <v>99</v>
      </c>
      <c r="C351" s="1564" t="s">
        <v>1219</v>
      </c>
      <c r="D351" s="1540">
        <v>100000000</v>
      </c>
      <c r="E351" s="1593">
        <v>0.05</v>
      </c>
      <c r="F351" s="1540">
        <f t="shared" si="24"/>
        <v>5000000</v>
      </c>
      <c r="G351" s="1540">
        <v>5000000</v>
      </c>
      <c r="H351" s="1540" t="s">
        <v>3632</v>
      </c>
      <c r="I351" s="21" t="s">
        <v>3639</v>
      </c>
      <c r="J351" s="1540">
        <f t="shared" si="33"/>
        <v>5000000</v>
      </c>
      <c r="K351" s="1540">
        <f t="shared" si="34"/>
        <v>0</v>
      </c>
      <c r="L351" s="1594"/>
    </row>
    <row r="352" spans="1:12" ht="30" customHeight="1" x14ac:dyDescent="0.2">
      <c r="A352" s="1596">
        <v>239</v>
      </c>
      <c r="B352" s="1594" t="s">
        <v>100</v>
      </c>
      <c r="C352" s="1564" t="s">
        <v>380</v>
      </c>
      <c r="D352" s="1540">
        <v>50000000</v>
      </c>
      <c r="E352" s="1593">
        <v>0.05</v>
      </c>
      <c r="F352" s="1540">
        <f t="shared" si="24"/>
        <v>2500000</v>
      </c>
      <c r="G352" s="1540">
        <v>2500000</v>
      </c>
      <c r="H352" s="1540" t="s">
        <v>3610</v>
      </c>
      <c r="I352" s="24" t="s">
        <v>2000</v>
      </c>
      <c r="J352" s="1540">
        <f t="shared" si="33"/>
        <v>2500000</v>
      </c>
      <c r="K352" s="1540">
        <f t="shared" si="34"/>
        <v>0</v>
      </c>
      <c r="L352" s="1594"/>
    </row>
    <row r="353" spans="1:14" ht="30" customHeight="1" x14ac:dyDescent="0.2">
      <c r="A353" s="1533">
        <v>240</v>
      </c>
      <c r="B353" s="1591" t="s">
        <v>2408</v>
      </c>
      <c r="C353" s="385" t="s">
        <v>1019</v>
      </c>
      <c r="D353" s="1538">
        <v>100000000</v>
      </c>
      <c r="E353" s="1536">
        <v>0.04</v>
      </c>
      <c r="F353" s="1538">
        <f t="shared" si="24"/>
        <v>4000000</v>
      </c>
      <c r="G353" s="1540">
        <v>4000000</v>
      </c>
      <c r="H353" s="1540" t="s">
        <v>2609</v>
      </c>
      <c r="I353" s="24" t="s">
        <v>3930</v>
      </c>
      <c r="J353" s="1540">
        <f t="shared" si="33"/>
        <v>4000000</v>
      </c>
      <c r="K353" s="1540">
        <f t="shared" si="34"/>
        <v>0</v>
      </c>
      <c r="L353" s="103"/>
    </row>
    <row r="354" spans="1:14" ht="30" customHeight="1" x14ac:dyDescent="0.2">
      <c r="A354" s="2268">
        <v>241</v>
      </c>
      <c r="B354" s="2267" t="s">
        <v>573</v>
      </c>
      <c r="C354" s="2266" t="s">
        <v>1378</v>
      </c>
      <c r="D354" s="1565">
        <v>20000000</v>
      </c>
      <c r="E354" s="1593">
        <v>7.0000000000000007E-2</v>
      </c>
      <c r="F354" s="1565">
        <f>D354*E354</f>
        <v>1400000.0000000002</v>
      </c>
      <c r="G354" s="2040">
        <v>2300000</v>
      </c>
      <c r="H354" s="2040" t="s">
        <v>2609</v>
      </c>
      <c r="I354" s="2168" t="s">
        <v>571</v>
      </c>
      <c r="J354" s="2040">
        <f t="shared" si="33"/>
        <v>2300000</v>
      </c>
      <c r="K354" s="2040">
        <f>(F354+F355)-J354</f>
        <v>0</v>
      </c>
      <c r="L354" s="2237"/>
    </row>
    <row r="355" spans="1:14" ht="30" customHeight="1" x14ac:dyDescent="0.2">
      <c r="A355" s="2268"/>
      <c r="B355" s="2267"/>
      <c r="C355" s="2266"/>
      <c r="D355" s="1565">
        <v>10000000</v>
      </c>
      <c r="E355" s="1593">
        <v>0.09</v>
      </c>
      <c r="F355" s="1565">
        <f>D355*E355</f>
        <v>900000</v>
      </c>
      <c r="G355" s="2042"/>
      <c r="H355" s="2042"/>
      <c r="I355" s="2169"/>
      <c r="J355" s="2042"/>
      <c r="K355" s="2042"/>
      <c r="L355" s="2129"/>
    </row>
    <row r="356" spans="1:14" ht="30" customHeight="1" x14ac:dyDescent="0.2">
      <c r="A356" s="1596">
        <v>242</v>
      </c>
      <c r="B356" s="1594" t="s">
        <v>102</v>
      </c>
      <c r="C356" s="1564"/>
      <c r="D356" s="1540">
        <v>100000000</v>
      </c>
      <c r="E356" s="1537">
        <v>4.4999999999999998E-2</v>
      </c>
      <c r="F356" s="1540">
        <f t="shared" si="24"/>
        <v>4500000</v>
      </c>
      <c r="G356" s="1540">
        <v>6300000</v>
      </c>
      <c r="H356" s="1540" t="s">
        <v>3632</v>
      </c>
      <c r="I356" s="24" t="s">
        <v>3640</v>
      </c>
      <c r="J356" s="1540">
        <f>G356</f>
        <v>6300000</v>
      </c>
      <c r="K356" s="1540">
        <f t="shared" ref="K356:K369" si="35">F356-J356</f>
        <v>-1800000</v>
      </c>
      <c r="L356" s="103" t="s">
        <v>3654</v>
      </c>
    </row>
    <row r="357" spans="1:14" ht="30" customHeight="1" x14ac:dyDescent="0.2">
      <c r="A357" s="1596">
        <v>243</v>
      </c>
      <c r="B357" s="22" t="s">
        <v>519</v>
      </c>
      <c r="C357" s="1595" t="s">
        <v>265</v>
      </c>
      <c r="D357" s="1565">
        <v>20000000</v>
      </c>
      <c r="E357" s="1593">
        <v>0.04</v>
      </c>
      <c r="F357" s="1565">
        <f>D357*E357</f>
        <v>800000</v>
      </c>
      <c r="G357" s="1565">
        <v>600000</v>
      </c>
      <c r="H357" s="1565" t="s">
        <v>3708</v>
      </c>
      <c r="I357" s="1565" t="s">
        <v>3714</v>
      </c>
      <c r="J357" s="1565">
        <f>G357</f>
        <v>600000</v>
      </c>
      <c r="K357" s="1565">
        <f t="shared" si="35"/>
        <v>200000</v>
      </c>
      <c r="L357" s="103" t="s">
        <v>3715</v>
      </c>
      <c r="M357" s="264"/>
      <c r="N357" s="264"/>
    </row>
    <row r="358" spans="1:14" ht="30" customHeight="1" x14ac:dyDescent="0.2">
      <c r="A358" s="1596">
        <v>244</v>
      </c>
      <c r="B358" s="1532" t="s">
        <v>103</v>
      </c>
      <c r="C358" s="1564"/>
      <c r="D358" s="1540">
        <v>50000000</v>
      </c>
      <c r="E358" s="1593">
        <v>0.05</v>
      </c>
      <c r="F358" s="1540">
        <f t="shared" si="24"/>
        <v>2500000</v>
      </c>
      <c r="G358" s="1540">
        <v>2500000</v>
      </c>
      <c r="H358" s="1540" t="s">
        <v>3632</v>
      </c>
      <c r="I358" s="24" t="s">
        <v>3678</v>
      </c>
      <c r="J358" s="1540">
        <f>G358</f>
        <v>2500000</v>
      </c>
      <c r="K358" s="1540">
        <f t="shared" si="35"/>
        <v>0</v>
      </c>
      <c r="L358" s="1594"/>
    </row>
    <row r="359" spans="1:14" ht="30" customHeight="1" x14ac:dyDescent="0.2">
      <c r="A359" s="1596">
        <v>245</v>
      </c>
      <c r="B359" s="1594" t="s">
        <v>320</v>
      </c>
      <c r="C359" s="1564" t="s">
        <v>265</v>
      </c>
      <c r="D359" s="1540">
        <v>60000000</v>
      </c>
      <c r="E359" s="1593">
        <v>0.05</v>
      </c>
      <c r="F359" s="1540">
        <f t="shared" si="24"/>
        <v>3000000</v>
      </c>
      <c r="G359" s="1540"/>
      <c r="H359" s="1540"/>
      <c r="I359" s="1567"/>
      <c r="J359" s="1540"/>
      <c r="K359" s="1540">
        <f t="shared" si="35"/>
        <v>3000000</v>
      </c>
      <c r="L359" s="1594"/>
    </row>
    <row r="360" spans="1:14" ht="30" customHeight="1" x14ac:dyDescent="0.2">
      <c r="A360" s="1596">
        <v>246</v>
      </c>
      <c r="B360" s="1594" t="s">
        <v>105</v>
      </c>
      <c r="C360" s="1564" t="s">
        <v>265</v>
      </c>
      <c r="D360" s="1540">
        <v>85000000</v>
      </c>
      <c r="E360" s="1593">
        <v>5.0999999999999997E-2</v>
      </c>
      <c r="F360" s="1540">
        <v>4300000</v>
      </c>
      <c r="G360" s="1540">
        <v>4300000</v>
      </c>
      <c r="H360" s="1540" t="s">
        <v>3680</v>
      </c>
      <c r="I360" s="31" t="s">
        <v>3006</v>
      </c>
      <c r="J360" s="1540">
        <f t="shared" ref="J360:J370" si="36">G360</f>
        <v>4300000</v>
      </c>
      <c r="K360" s="1540">
        <f t="shared" si="35"/>
        <v>0</v>
      </c>
      <c r="L360" s="1594"/>
    </row>
    <row r="361" spans="1:14" ht="30" customHeight="1" x14ac:dyDescent="0.2">
      <c r="A361" s="1596">
        <v>247</v>
      </c>
      <c r="B361" s="1594" t="s">
        <v>106</v>
      </c>
      <c r="C361" s="1564"/>
      <c r="D361" s="1540">
        <v>220000000</v>
      </c>
      <c r="E361" s="1593">
        <v>7.0000000000000007E-2</v>
      </c>
      <c r="F361" s="1540">
        <f t="shared" si="24"/>
        <v>15400000.000000002</v>
      </c>
      <c r="G361" s="1540">
        <v>15400000</v>
      </c>
      <c r="H361" s="1540" t="s">
        <v>3696</v>
      </c>
      <c r="I361" s="24" t="s">
        <v>1886</v>
      </c>
      <c r="J361" s="1540">
        <f t="shared" si="36"/>
        <v>15400000</v>
      </c>
      <c r="K361" s="1540">
        <f t="shared" si="35"/>
        <v>0</v>
      </c>
      <c r="L361" s="103" t="s">
        <v>347</v>
      </c>
      <c r="M361" s="921"/>
      <c r="N361" s="922"/>
    </row>
    <row r="362" spans="1:14" ht="30" customHeight="1" x14ac:dyDescent="0.2">
      <c r="A362" s="2031">
        <v>248</v>
      </c>
      <c r="B362" s="2029" t="s">
        <v>107</v>
      </c>
      <c r="C362" s="1564" t="s">
        <v>1215</v>
      </c>
      <c r="D362" s="1540">
        <v>95000000</v>
      </c>
      <c r="E362" s="1593">
        <v>4.4999999999999998E-2</v>
      </c>
      <c r="F362" s="1540">
        <v>4000000</v>
      </c>
      <c r="G362" s="1540">
        <v>4000000</v>
      </c>
      <c r="H362" s="1540" t="s">
        <v>3632</v>
      </c>
      <c r="I362" s="24" t="s">
        <v>2936</v>
      </c>
      <c r="J362" s="1540">
        <f t="shared" si="36"/>
        <v>4000000</v>
      </c>
      <c r="K362" s="1540">
        <f t="shared" si="35"/>
        <v>0</v>
      </c>
      <c r="L362" s="1909" t="s">
        <v>3911</v>
      </c>
    </row>
    <row r="363" spans="1:14" ht="30" customHeight="1" x14ac:dyDescent="0.2">
      <c r="A363" s="2032"/>
      <c r="B363" s="2030"/>
      <c r="C363" s="1894"/>
      <c r="D363" s="1947" t="s">
        <v>3910</v>
      </c>
      <c r="E363" s="1948"/>
      <c r="F363" s="1949"/>
      <c r="G363" s="1892">
        <v>2000000</v>
      </c>
      <c r="H363" s="1892" t="s">
        <v>1232</v>
      </c>
      <c r="I363" s="24" t="s">
        <v>3912</v>
      </c>
      <c r="J363" s="1892">
        <f t="shared" si="36"/>
        <v>2000000</v>
      </c>
      <c r="K363" s="1892">
        <v>0</v>
      </c>
      <c r="L363" s="1909" t="s">
        <v>3913</v>
      </c>
    </row>
    <row r="364" spans="1:14" ht="30" customHeight="1" x14ac:dyDescent="0.2">
      <c r="A364" s="2031">
        <v>249</v>
      </c>
      <c r="B364" s="1594" t="s">
        <v>108</v>
      </c>
      <c r="C364" s="1564" t="s">
        <v>265</v>
      </c>
      <c r="D364" s="1540">
        <v>10000000</v>
      </c>
      <c r="E364" s="1593">
        <v>0.05</v>
      </c>
      <c r="F364" s="1540">
        <f t="shared" si="24"/>
        <v>500000</v>
      </c>
      <c r="G364" s="1540">
        <v>500000</v>
      </c>
      <c r="H364" s="1540" t="s">
        <v>3708</v>
      </c>
      <c r="I364" s="30" t="s">
        <v>3721</v>
      </c>
      <c r="J364" s="1540">
        <f t="shared" si="36"/>
        <v>500000</v>
      </c>
      <c r="K364" s="1540">
        <f t="shared" si="35"/>
        <v>0</v>
      </c>
      <c r="L364" s="2212" t="s">
        <v>1398</v>
      </c>
    </row>
    <row r="365" spans="1:14" ht="30" customHeight="1" x14ac:dyDescent="0.2">
      <c r="A365" s="2032"/>
      <c r="B365" s="1844"/>
      <c r="C365" s="1850"/>
      <c r="D365" s="1947" t="s">
        <v>1770</v>
      </c>
      <c r="E365" s="1948"/>
      <c r="F365" s="1949"/>
      <c r="G365" s="1845">
        <v>10000000</v>
      </c>
      <c r="H365" s="1845" t="s">
        <v>3864</v>
      </c>
      <c r="I365" s="1853" t="s">
        <v>1473</v>
      </c>
      <c r="J365" s="1845">
        <f t="shared" si="36"/>
        <v>10000000</v>
      </c>
      <c r="K365" s="1845"/>
      <c r="L365" s="2213"/>
    </row>
    <row r="366" spans="1:14" ht="30" customHeight="1" x14ac:dyDescent="0.2">
      <c r="A366" s="2031">
        <v>250</v>
      </c>
      <c r="B366" s="2029" t="s">
        <v>109</v>
      </c>
      <c r="C366" s="2149"/>
      <c r="D366" s="1540">
        <v>200000000</v>
      </c>
      <c r="E366" s="1593">
        <v>0.04</v>
      </c>
      <c r="F366" s="1540">
        <f t="shared" si="24"/>
        <v>8000000</v>
      </c>
      <c r="G366" s="1540">
        <v>8000000</v>
      </c>
      <c r="H366" s="1540" t="s">
        <v>3632</v>
      </c>
      <c r="I366" s="1586" t="s">
        <v>2846</v>
      </c>
      <c r="J366" s="1540">
        <f t="shared" si="36"/>
        <v>8000000</v>
      </c>
      <c r="K366" s="1540">
        <f t="shared" si="35"/>
        <v>0</v>
      </c>
      <c r="L366" s="1594"/>
    </row>
    <row r="367" spans="1:14" ht="30" customHeight="1" x14ac:dyDescent="0.2">
      <c r="A367" s="2032"/>
      <c r="B367" s="2030"/>
      <c r="C367" s="2150"/>
      <c r="D367" s="1810">
        <v>110000000</v>
      </c>
      <c r="E367" s="1819"/>
      <c r="F367" s="1810"/>
      <c r="G367" s="2154" t="s">
        <v>3839</v>
      </c>
      <c r="H367" s="2155"/>
      <c r="I367" s="2155"/>
      <c r="J367" s="2156"/>
      <c r="K367" s="1810"/>
      <c r="L367" s="1909"/>
    </row>
    <row r="368" spans="1:14" ht="30" customHeight="1" x14ac:dyDescent="0.2">
      <c r="A368" s="426">
        <v>251</v>
      </c>
      <c r="B368" s="22" t="s">
        <v>1948</v>
      </c>
      <c r="C368" s="421"/>
      <c r="D368" s="1554"/>
      <c r="E368" s="44"/>
      <c r="F368" s="1554">
        <f t="shared" si="24"/>
        <v>0</v>
      </c>
      <c r="G368" s="1565">
        <v>5400000</v>
      </c>
      <c r="H368" s="1565" t="s">
        <v>3708</v>
      </c>
      <c r="I368" s="24" t="s">
        <v>2980</v>
      </c>
      <c r="J368" s="1540">
        <f t="shared" si="36"/>
        <v>5400000</v>
      </c>
      <c r="K368" s="1550">
        <f t="shared" si="35"/>
        <v>-5400000</v>
      </c>
      <c r="L368" s="1909" t="s">
        <v>3481</v>
      </c>
    </row>
    <row r="369" spans="1:15" ht="30" customHeight="1" x14ac:dyDescent="0.2">
      <c r="A369" s="1596">
        <v>252</v>
      </c>
      <c r="B369" s="1532" t="s">
        <v>111</v>
      </c>
      <c r="C369" s="1564"/>
      <c r="D369" s="1540">
        <v>270000000</v>
      </c>
      <c r="E369" s="1537">
        <v>0.05</v>
      </c>
      <c r="F369" s="1540">
        <f>D369*E369</f>
        <v>13500000</v>
      </c>
      <c r="G369" s="1540">
        <v>13500000</v>
      </c>
      <c r="H369" s="1540" t="s">
        <v>3708</v>
      </c>
      <c r="I369" s="24" t="s">
        <v>3728</v>
      </c>
      <c r="J369" s="1540">
        <f t="shared" si="36"/>
        <v>13500000</v>
      </c>
      <c r="K369" s="1540">
        <f t="shared" si="35"/>
        <v>0</v>
      </c>
      <c r="L369" s="1530"/>
    </row>
    <row r="370" spans="1:15" ht="30" customHeight="1" x14ac:dyDescent="0.2">
      <c r="A370" s="2031">
        <v>253</v>
      </c>
      <c r="B370" s="2029" t="s">
        <v>112</v>
      </c>
      <c r="C370" s="2149" t="s">
        <v>265</v>
      </c>
      <c r="D370" s="1540">
        <v>20000000</v>
      </c>
      <c r="E370" s="1593">
        <v>0.05</v>
      </c>
      <c r="F370" s="1540">
        <f t="shared" si="24"/>
        <v>1000000</v>
      </c>
      <c r="G370" s="2040">
        <v>2000000</v>
      </c>
      <c r="H370" s="2040" t="s">
        <v>3680</v>
      </c>
      <c r="I370" s="2171" t="s">
        <v>3687</v>
      </c>
      <c r="J370" s="2040">
        <f t="shared" si="36"/>
        <v>2000000</v>
      </c>
      <c r="K370" s="2040">
        <f>(F370+F371)-J370</f>
        <v>0</v>
      </c>
      <c r="L370" s="1750" t="s">
        <v>1979</v>
      </c>
      <c r="M370" s="1243"/>
      <c r="N370" s="1243"/>
      <c r="O370" s="1243"/>
    </row>
    <row r="371" spans="1:15" ht="30" customHeight="1" x14ac:dyDescent="0.2">
      <c r="A371" s="2032"/>
      <c r="B371" s="2030"/>
      <c r="C371" s="2150"/>
      <c r="D371" s="1540">
        <v>20000000</v>
      </c>
      <c r="E371" s="1593">
        <v>0.05</v>
      </c>
      <c r="F371" s="1540">
        <f t="shared" si="24"/>
        <v>1000000</v>
      </c>
      <c r="G371" s="2042"/>
      <c r="H371" s="2042"/>
      <c r="I371" s="2173"/>
      <c r="J371" s="2042"/>
      <c r="K371" s="2042"/>
      <c r="L371" s="1242" t="s">
        <v>1993</v>
      </c>
      <c r="M371" s="264"/>
      <c r="N371" s="264"/>
      <c r="O371" s="264"/>
    </row>
    <row r="372" spans="1:15" ht="30" customHeight="1" x14ac:dyDescent="0.2">
      <c r="A372" s="426">
        <v>254</v>
      </c>
      <c r="B372" s="1591" t="s">
        <v>2017</v>
      </c>
      <c r="C372" s="1595"/>
      <c r="D372" s="1540">
        <v>195000000</v>
      </c>
      <c r="E372" s="1593">
        <v>0.05</v>
      </c>
      <c r="F372" s="1540">
        <f t="shared" si="24"/>
        <v>9750000</v>
      </c>
      <c r="G372" s="1565">
        <v>9750000</v>
      </c>
      <c r="H372" s="1565" t="s">
        <v>3708</v>
      </c>
      <c r="I372" s="1565" t="s">
        <v>3726</v>
      </c>
      <c r="J372" s="1540">
        <f>G372</f>
        <v>9750000</v>
      </c>
      <c r="K372" s="1540">
        <f>F372-J372</f>
        <v>0</v>
      </c>
      <c r="L372" s="1750" t="s">
        <v>3727</v>
      </c>
      <c r="M372" s="1754"/>
      <c r="N372" s="1754"/>
      <c r="O372" s="1754"/>
    </row>
    <row r="373" spans="1:15" ht="30" customHeight="1" x14ac:dyDescent="0.2">
      <c r="A373" s="1596">
        <v>255</v>
      </c>
      <c r="B373" s="1594" t="s">
        <v>115</v>
      </c>
      <c r="C373" s="1564" t="s">
        <v>265</v>
      </c>
      <c r="D373" s="1540">
        <v>40000000</v>
      </c>
      <c r="E373" s="1593">
        <v>0.05</v>
      </c>
      <c r="F373" s="1540">
        <f t="shared" si="24"/>
        <v>2000000</v>
      </c>
      <c r="G373" s="1540">
        <v>2000000</v>
      </c>
      <c r="H373" s="1540" t="s">
        <v>3680</v>
      </c>
      <c r="I373" s="21" t="s">
        <v>3688</v>
      </c>
      <c r="J373" s="1540">
        <f>G373</f>
        <v>2000000</v>
      </c>
      <c r="K373" s="1540">
        <f>F373-J373</f>
        <v>0</v>
      </c>
      <c r="L373" s="1594"/>
    </row>
    <row r="374" spans="1:15" ht="30" customHeight="1" x14ac:dyDescent="0.2">
      <c r="A374" s="1596">
        <v>256</v>
      </c>
      <c r="B374" s="1594" t="s">
        <v>116</v>
      </c>
      <c r="C374" s="1564" t="s">
        <v>379</v>
      </c>
      <c r="D374" s="1540">
        <v>100000000</v>
      </c>
      <c r="E374" s="1593">
        <v>0.05</v>
      </c>
      <c r="F374" s="1540">
        <f t="shared" si="24"/>
        <v>5000000</v>
      </c>
      <c r="G374" s="1540">
        <v>5000000</v>
      </c>
      <c r="H374" s="1540" t="s">
        <v>3696</v>
      </c>
      <c r="I374" s="21" t="s">
        <v>337</v>
      </c>
      <c r="J374" s="1540">
        <f>G374</f>
        <v>5000000</v>
      </c>
      <c r="K374" s="1540">
        <f>F374-J374</f>
        <v>0</v>
      </c>
      <c r="L374" s="1594"/>
    </row>
    <row r="375" spans="1:15" ht="30" customHeight="1" x14ac:dyDescent="0.2">
      <c r="A375" s="1596">
        <v>257</v>
      </c>
      <c r="B375" s="1594" t="s">
        <v>117</v>
      </c>
      <c r="C375" s="1564" t="s">
        <v>1347</v>
      </c>
      <c r="D375" s="1540">
        <v>30000000</v>
      </c>
      <c r="E375" s="1593">
        <v>0.05</v>
      </c>
      <c r="F375" s="1540">
        <f t="shared" si="24"/>
        <v>1500000</v>
      </c>
      <c r="G375" s="1540">
        <v>1500000</v>
      </c>
      <c r="H375" s="1540" t="s">
        <v>3708</v>
      </c>
      <c r="I375" s="24" t="s">
        <v>3120</v>
      </c>
      <c r="J375" s="1540">
        <f>G375</f>
        <v>1500000</v>
      </c>
      <c r="K375" s="1540">
        <f>F375-J375</f>
        <v>0</v>
      </c>
      <c r="L375" s="1594"/>
    </row>
    <row r="376" spans="1:15" ht="30" customHeight="1" x14ac:dyDescent="0.2">
      <c r="A376" s="1596">
        <v>258</v>
      </c>
      <c r="B376" s="1594" t="s">
        <v>876</v>
      </c>
      <c r="C376" s="1564" t="s">
        <v>265</v>
      </c>
      <c r="D376" s="1540">
        <v>12000000</v>
      </c>
      <c r="E376" s="1593">
        <v>0.05</v>
      </c>
      <c r="F376" s="1540">
        <f t="shared" si="24"/>
        <v>600000</v>
      </c>
      <c r="G376" s="2040">
        <v>1600000</v>
      </c>
      <c r="H376" s="2040" t="s">
        <v>3811</v>
      </c>
      <c r="I376" s="2168" t="s">
        <v>485</v>
      </c>
      <c r="J376" s="2040">
        <f>G376</f>
        <v>1600000</v>
      </c>
      <c r="K376" s="2040">
        <f>(F376+F377)-J376</f>
        <v>0</v>
      </c>
      <c r="L376" s="2101"/>
    </row>
    <row r="377" spans="1:15" ht="30" customHeight="1" x14ac:dyDescent="0.2">
      <c r="A377" s="1596">
        <v>259</v>
      </c>
      <c r="B377" s="1594" t="s">
        <v>159</v>
      </c>
      <c r="C377" s="1564" t="s">
        <v>265</v>
      </c>
      <c r="D377" s="1540">
        <v>20000000</v>
      </c>
      <c r="E377" s="1593">
        <v>0.05</v>
      </c>
      <c r="F377" s="1540">
        <f>D377*E377</f>
        <v>1000000</v>
      </c>
      <c r="G377" s="2042"/>
      <c r="H377" s="2042"/>
      <c r="I377" s="2169"/>
      <c r="J377" s="2042"/>
      <c r="K377" s="2042"/>
      <c r="L377" s="2102"/>
    </row>
    <row r="378" spans="1:15" ht="30" customHeight="1" x14ac:dyDescent="0.2">
      <c r="A378" s="2031">
        <v>261</v>
      </c>
      <c r="B378" s="2029" t="s">
        <v>120</v>
      </c>
      <c r="C378" s="1564" t="s">
        <v>1355</v>
      </c>
      <c r="D378" s="1540">
        <v>10500000</v>
      </c>
      <c r="E378" s="1593">
        <v>0.05</v>
      </c>
      <c r="F378" s="1540">
        <f t="shared" si="24"/>
        <v>525000</v>
      </c>
      <c r="G378" s="1736">
        <v>525000</v>
      </c>
      <c r="H378" s="1736" t="s">
        <v>3811</v>
      </c>
      <c r="I378" s="21" t="s">
        <v>3822</v>
      </c>
      <c r="J378" s="1736">
        <f>G378</f>
        <v>525000</v>
      </c>
      <c r="K378" s="1726">
        <f>F378-J378</f>
        <v>0</v>
      </c>
      <c r="L378" s="1750"/>
    </row>
    <row r="379" spans="1:15" ht="30" customHeight="1" x14ac:dyDescent="0.2">
      <c r="A379" s="2034"/>
      <c r="B379" s="2033"/>
      <c r="C379" s="1699" t="s">
        <v>3468</v>
      </c>
      <c r="D379" s="1698">
        <v>10000000</v>
      </c>
      <c r="E379" s="1701">
        <v>7.0000000000000007E-2</v>
      </c>
      <c r="F379" s="1698">
        <f>D379*E379</f>
        <v>700000.00000000012</v>
      </c>
      <c r="G379" s="1736">
        <v>3150000</v>
      </c>
      <c r="H379" s="1736" t="s">
        <v>3568</v>
      </c>
      <c r="I379" s="21" t="s">
        <v>423</v>
      </c>
      <c r="J379" s="1736">
        <f>G379</f>
        <v>3150000</v>
      </c>
      <c r="K379" s="1726"/>
      <c r="L379" s="1743" t="s">
        <v>3699</v>
      </c>
    </row>
    <row r="380" spans="1:15" ht="30" customHeight="1" x14ac:dyDescent="0.2">
      <c r="A380" s="2032"/>
      <c r="B380" s="2030"/>
      <c r="C380" s="1699" t="s">
        <v>265</v>
      </c>
      <c r="D380" s="1698">
        <v>5000000</v>
      </c>
      <c r="E380" s="1701">
        <v>7.0000000000000007E-2</v>
      </c>
      <c r="F380" s="1698">
        <f>D380*E380</f>
        <v>350000.00000000006</v>
      </c>
      <c r="G380" s="1736">
        <v>350000</v>
      </c>
      <c r="H380" s="1736" t="s">
        <v>3696</v>
      </c>
      <c r="I380" s="21" t="s">
        <v>423</v>
      </c>
      <c r="J380" s="1736">
        <f>G380</f>
        <v>350000</v>
      </c>
      <c r="K380" s="1726">
        <f>F380-J380</f>
        <v>0</v>
      </c>
      <c r="L380" s="1743" t="s">
        <v>3700</v>
      </c>
    </row>
    <row r="381" spans="1:15" ht="30" customHeight="1" x14ac:dyDescent="0.2">
      <c r="A381" s="1596">
        <v>263</v>
      </c>
      <c r="B381" s="22" t="s">
        <v>586</v>
      </c>
      <c r="C381" s="1595"/>
      <c r="D381" s="1673">
        <v>105000000</v>
      </c>
      <c r="E381" s="1682">
        <v>5.8000000000000003E-2</v>
      </c>
      <c r="F381" s="1673">
        <v>6000000</v>
      </c>
      <c r="G381" s="2154" t="s">
        <v>3626</v>
      </c>
      <c r="H381" s="2155"/>
      <c r="I381" s="2155"/>
      <c r="J381" s="2156"/>
      <c r="K381" s="1673"/>
      <c r="L381" s="1676" t="s">
        <v>3625</v>
      </c>
    </row>
    <row r="382" spans="1:15" ht="30" customHeight="1" x14ac:dyDescent="0.2">
      <c r="A382" s="1535">
        <v>264</v>
      </c>
      <c r="B382" s="1532" t="s">
        <v>122</v>
      </c>
      <c r="C382" s="1564" t="s">
        <v>265</v>
      </c>
      <c r="D382" s="1550">
        <v>100000000</v>
      </c>
      <c r="E382" s="1552">
        <f>F382/D382</f>
        <v>0.03</v>
      </c>
      <c r="F382" s="1540">
        <v>3000000</v>
      </c>
      <c r="G382" s="1540">
        <v>3000000</v>
      </c>
      <c r="H382" s="1540" t="s">
        <v>3708</v>
      </c>
      <c r="I382" s="28" t="s">
        <v>3713</v>
      </c>
      <c r="J382" s="1540">
        <f>G382</f>
        <v>3000000</v>
      </c>
      <c r="K382" s="1540">
        <f>F382-J382</f>
        <v>0</v>
      </c>
      <c r="L382" s="1565"/>
    </row>
    <row r="383" spans="1:15" ht="30" customHeight="1" x14ac:dyDescent="0.2">
      <c r="A383" s="2031">
        <v>265</v>
      </c>
      <c r="B383" s="2267" t="s">
        <v>124</v>
      </c>
      <c r="C383" s="2266" t="s">
        <v>265</v>
      </c>
      <c r="D383" s="2040">
        <v>1000000000</v>
      </c>
      <c r="E383" s="2037">
        <v>7.0000000000000007E-2</v>
      </c>
      <c r="F383" s="2040">
        <f>D383*E383</f>
        <v>70000000</v>
      </c>
      <c r="G383" s="247"/>
      <c r="H383" s="247"/>
      <c r="I383" s="247"/>
      <c r="J383" s="247"/>
      <c r="K383" s="1540"/>
      <c r="L383" s="1574" t="s">
        <v>3427</v>
      </c>
    </row>
    <row r="384" spans="1:15" ht="30" customHeight="1" x14ac:dyDescent="0.2">
      <c r="A384" s="2034"/>
      <c r="B384" s="2267"/>
      <c r="C384" s="2266"/>
      <c r="D384" s="2042"/>
      <c r="E384" s="2039"/>
      <c r="F384" s="2042"/>
      <c r="G384" s="1565"/>
      <c r="H384" s="1565"/>
      <c r="I384" s="1565"/>
      <c r="J384" s="1565"/>
      <c r="K384" s="1540"/>
      <c r="L384" s="1619" t="s">
        <v>3526</v>
      </c>
    </row>
    <row r="385" spans="1:12" ht="30" customHeight="1" x14ac:dyDescent="0.2">
      <c r="A385" s="1596">
        <v>266</v>
      </c>
      <c r="B385" s="1532" t="s">
        <v>2042</v>
      </c>
      <c r="C385" s="1564"/>
      <c r="D385" s="1540">
        <v>80000000</v>
      </c>
      <c r="E385" s="1537">
        <v>4.4999999999999998E-2</v>
      </c>
      <c r="F385" s="1540">
        <f t="shared" ref="F385:F451" si="37">D385*E385</f>
        <v>3600000</v>
      </c>
      <c r="G385" s="1540">
        <v>3600000</v>
      </c>
      <c r="H385" s="1540" t="s">
        <v>3733</v>
      </c>
      <c r="I385" s="21" t="s">
        <v>585</v>
      </c>
      <c r="J385" s="1540">
        <f>G385</f>
        <v>3600000</v>
      </c>
      <c r="K385" s="1540">
        <f>F385-J385</f>
        <v>0</v>
      </c>
      <c r="L385" s="1594"/>
    </row>
    <row r="386" spans="1:12" ht="30" customHeight="1" x14ac:dyDescent="0.2">
      <c r="A386" s="2031">
        <v>267</v>
      </c>
      <c r="B386" s="2029" t="s">
        <v>508</v>
      </c>
      <c r="C386" s="2149" t="s">
        <v>379</v>
      </c>
      <c r="D386" s="2040">
        <v>300000000</v>
      </c>
      <c r="E386" s="2037">
        <v>0.04</v>
      </c>
      <c r="F386" s="2040">
        <f>D386*E386</f>
        <v>12000000</v>
      </c>
      <c r="G386" s="2040">
        <v>12000000</v>
      </c>
      <c r="H386" s="2040" t="s">
        <v>3708</v>
      </c>
      <c r="I386" s="2040" t="s">
        <v>3729</v>
      </c>
      <c r="J386" s="2040">
        <f>G386</f>
        <v>12000000</v>
      </c>
      <c r="K386" s="2040">
        <f>F386-J386</f>
        <v>0</v>
      </c>
      <c r="L386" s="1574" t="s">
        <v>3035</v>
      </c>
    </row>
    <row r="387" spans="1:12" ht="30" customHeight="1" x14ac:dyDescent="0.2">
      <c r="A387" s="2032"/>
      <c r="B387" s="2030"/>
      <c r="C387" s="2150"/>
      <c r="D387" s="2042"/>
      <c r="E387" s="2039"/>
      <c r="F387" s="2042"/>
      <c r="G387" s="2042"/>
      <c r="H387" s="2042"/>
      <c r="I387" s="2042"/>
      <c r="J387" s="2042"/>
      <c r="K387" s="2042"/>
      <c r="L387" s="1574" t="s">
        <v>3527</v>
      </c>
    </row>
    <row r="388" spans="1:12" ht="30" customHeight="1" x14ac:dyDescent="0.2">
      <c r="A388" s="1596">
        <v>268</v>
      </c>
      <c r="B388" s="1594" t="s">
        <v>400</v>
      </c>
      <c r="C388" s="1564" t="s">
        <v>401</v>
      </c>
      <c r="D388" s="1540">
        <v>130000000</v>
      </c>
      <c r="E388" s="1593">
        <v>4.4999999999999998E-2</v>
      </c>
      <c r="F388" s="1540">
        <f t="shared" si="37"/>
        <v>5850000</v>
      </c>
      <c r="G388" s="1540">
        <v>5850000</v>
      </c>
      <c r="H388" s="1540" t="s">
        <v>3632</v>
      </c>
      <c r="I388" s="21" t="s">
        <v>3666</v>
      </c>
      <c r="J388" s="1540">
        <f>G388</f>
        <v>5850000</v>
      </c>
      <c r="K388" s="1540">
        <f>F388-J388</f>
        <v>0</v>
      </c>
      <c r="L388" s="1594"/>
    </row>
    <row r="389" spans="1:12" ht="30" customHeight="1" x14ac:dyDescent="0.2">
      <c r="A389" s="1596">
        <v>269</v>
      </c>
      <c r="B389" s="1594" t="s">
        <v>126</v>
      </c>
      <c r="C389" s="1564" t="s">
        <v>265</v>
      </c>
      <c r="D389" s="1540">
        <v>300000000</v>
      </c>
      <c r="E389" s="1593">
        <v>0.05</v>
      </c>
      <c r="F389" s="1540">
        <f t="shared" si="37"/>
        <v>15000000</v>
      </c>
      <c r="G389" s="1540">
        <v>15000000</v>
      </c>
      <c r="H389" s="1540" t="s">
        <v>3680</v>
      </c>
      <c r="I389" s="24" t="s">
        <v>3695</v>
      </c>
      <c r="J389" s="1540">
        <f>G389</f>
        <v>15000000</v>
      </c>
      <c r="K389" s="1540">
        <f>F389-J389</f>
        <v>0</v>
      </c>
      <c r="L389" s="1594"/>
    </row>
    <row r="390" spans="1:12" ht="30" customHeight="1" x14ac:dyDescent="0.2">
      <c r="A390" s="1596">
        <v>270</v>
      </c>
      <c r="B390" s="1594" t="s">
        <v>127</v>
      </c>
      <c r="C390" s="1564"/>
      <c r="D390" s="1540">
        <v>20000000</v>
      </c>
      <c r="E390" s="1593">
        <v>5.5E-2</v>
      </c>
      <c r="F390" s="1540">
        <f t="shared" si="37"/>
        <v>1100000</v>
      </c>
      <c r="G390" s="1540">
        <v>1100000</v>
      </c>
      <c r="H390" s="1540" t="s">
        <v>3708</v>
      </c>
      <c r="I390" s="24" t="s">
        <v>503</v>
      </c>
      <c r="J390" s="1540">
        <f>G390</f>
        <v>1100000</v>
      </c>
      <c r="K390" s="1540">
        <f>F390-J390</f>
        <v>0</v>
      </c>
      <c r="L390" s="1594"/>
    </row>
    <row r="391" spans="1:12" ht="30" customHeight="1" x14ac:dyDescent="0.2">
      <c r="A391" s="1596">
        <v>271</v>
      </c>
      <c r="B391" s="22" t="s">
        <v>128</v>
      </c>
      <c r="C391" s="1595" t="s">
        <v>367</v>
      </c>
      <c r="D391" s="1565">
        <v>40000000</v>
      </c>
      <c r="E391" s="1593">
        <v>5.5E-2</v>
      </c>
      <c r="F391" s="1565">
        <f t="shared" si="37"/>
        <v>2200000</v>
      </c>
      <c r="G391" s="1565">
        <v>2200000</v>
      </c>
      <c r="H391" s="1565" t="s">
        <v>3708</v>
      </c>
      <c r="I391" s="21" t="s">
        <v>3723</v>
      </c>
      <c r="J391" s="1565">
        <f>G391</f>
        <v>2200000</v>
      </c>
      <c r="K391" s="1565">
        <f>F391-J391</f>
        <v>0</v>
      </c>
      <c r="L391" s="1594"/>
    </row>
    <row r="392" spans="1:12" ht="30" customHeight="1" x14ac:dyDescent="0.2">
      <c r="A392" s="2031"/>
      <c r="B392" s="2029" t="s">
        <v>2666</v>
      </c>
      <c r="C392" s="2149" t="s">
        <v>1342</v>
      </c>
      <c r="D392" s="1602">
        <v>520000000</v>
      </c>
      <c r="E392" s="927">
        <v>5.5E-2</v>
      </c>
      <c r="F392" s="1602">
        <f>D392*E392</f>
        <v>28600000</v>
      </c>
      <c r="G392" s="2313" t="s">
        <v>3531</v>
      </c>
      <c r="H392" s="2313"/>
      <c r="I392" s="2313"/>
      <c r="J392" s="2313"/>
      <c r="K392" s="1689"/>
      <c r="L392" s="1307"/>
    </row>
    <row r="393" spans="1:12" ht="30" customHeight="1" x14ac:dyDescent="0.2">
      <c r="A393" s="2034"/>
      <c r="B393" s="2033"/>
      <c r="C393" s="2158"/>
      <c r="D393" s="1602">
        <v>65000000</v>
      </c>
      <c r="E393" s="927">
        <v>0.06</v>
      </c>
      <c r="F393" s="1602">
        <f>D393*E393</f>
        <v>3900000</v>
      </c>
      <c r="G393" s="2313"/>
      <c r="H393" s="2313"/>
      <c r="I393" s="2313"/>
      <c r="J393" s="2313"/>
      <c r="K393" s="1690"/>
      <c r="L393" s="1308"/>
    </row>
    <row r="394" spans="1:12" ht="30" customHeight="1" x14ac:dyDescent="0.2">
      <c r="A394" s="2034"/>
      <c r="B394" s="2033"/>
      <c r="C394" s="2158"/>
      <c r="D394" s="1602">
        <v>85000000</v>
      </c>
      <c r="E394" s="927">
        <v>0.06</v>
      </c>
      <c r="F394" s="1602">
        <f>D394*E394</f>
        <v>5100000</v>
      </c>
      <c r="G394" s="2313"/>
      <c r="H394" s="2313"/>
      <c r="I394" s="2313"/>
      <c r="J394" s="2313"/>
      <c r="K394" s="1690"/>
      <c r="L394" s="2310" t="s">
        <v>3528</v>
      </c>
    </row>
    <row r="395" spans="1:12" ht="30" customHeight="1" x14ac:dyDescent="0.2">
      <c r="A395" s="2034"/>
      <c r="B395" s="2033"/>
      <c r="C395" s="2158"/>
      <c r="D395" s="2277" t="s">
        <v>1903</v>
      </c>
      <c r="E395" s="2278"/>
      <c r="F395" s="1602">
        <v>1300000</v>
      </c>
      <c r="G395" s="2313"/>
      <c r="H395" s="2313"/>
      <c r="I395" s="2313"/>
      <c r="J395" s="2313"/>
      <c r="K395" s="1690"/>
      <c r="L395" s="2310"/>
    </row>
    <row r="396" spans="1:12" ht="30" customHeight="1" x14ac:dyDescent="0.2">
      <c r="A396" s="2034"/>
      <c r="B396" s="2033"/>
      <c r="C396" s="2158"/>
      <c r="D396" s="1602">
        <v>100000000</v>
      </c>
      <c r="E396" s="927">
        <v>0.06</v>
      </c>
      <c r="F396" s="1602">
        <f>D396*E396</f>
        <v>6000000</v>
      </c>
      <c r="G396" s="2313"/>
      <c r="H396" s="2313"/>
      <c r="I396" s="2313"/>
      <c r="J396" s="2313"/>
      <c r="K396" s="1691"/>
      <c r="L396" s="1308" t="s">
        <v>3529</v>
      </c>
    </row>
    <row r="397" spans="1:12" ht="30" customHeight="1" x14ac:dyDescent="0.2">
      <c r="A397" s="2034"/>
      <c r="B397" s="2033"/>
      <c r="C397" s="2158"/>
      <c r="D397" s="1784">
        <f>D392+D393+D394+D396</f>
        <v>770000000</v>
      </c>
      <c r="E397" s="1783"/>
      <c r="F397" s="1784">
        <f>F392+F393+F394+F395+F396</f>
        <v>44900000</v>
      </c>
      <c r="G397" s="1802">
        <v>13000000</v>
      </c>
      <c r="H397" s="2389" t="s">
        <v>3811</v>
      </c>
      <c r="I397" s="2389" t="s">
        <v>841</v>
      </c>
      <c r="J397" s="1795">
        <f>G397</f>
        <v>13000000</v>
      </c>
      <c r="K397" s="1784">
        <f>F397-11100000-J397</f>
        <v>20800000</v>
      </c>
      <c r="L397" s="1620" t="s">
        <v>3519</v>
      </c>
    </row>
    <row r="398" spans="1:12" ht="30" customHeight="1" x14ac:dyDescent="0.2">
      <c r="A398" s="2034"/>
      <c r="B398" s="2033"/>
      <c r="C398" s="2158"/>
      <c r="D398" s="2411" t="s">
        <v>3813</v>
      </c>
      <c r="E398" s="2412"/>
      <c r="F398" s="2413"/>
      <c r="G398" s="1802">
        <v>5000000</v>
      </c>
      <c r="H398" s="2390"/>
      <c r="I398" s="2390"/>
      <c r="J398" s="2389">
        <f>G398+G399</f>
        <v>25000000</v>
      </c>
      <c r="K398" s="2055">
        <f>F398-11100000-J398</f>
        <v>-36100000</v>
      </c>
      <c r="L398" s="2180"/>
    </row>
    <row r="399" spans="1:12" ht="30" customHeight="1" x14ac:dyDescent="0.2">
      <c r="A399" s="2034"/>
      <c r="B399" s="2033"/>
      <c r="C399" s="2158"/>
      <c r="D399" s="2414"/>
      <c r="E399" s="2415"/>
      <c r="F399" s="2416"/>
      <c r="G399" s="1802">
        <v>20000000</v>
      </c>
      <c r="H399" s="1802" t="s">
        <v>3811</v>
      </c>
      <c r="I399" s="1802" t="s">
        <v>841</v>
      </c>
      <c r="J399" s="2390"/>
      <c r="K399" s="2056"/>
      <c r="L399" s="2181"/>
    </row>
    <row r="400" spans="1:12" ht="30" customHeight="1" x14ac:dyDescent="0.2">
      <c r="A400" s="2034"/>
      <c r="B400" s="2033"/>
      <c r="C400" s="2158"/>
      <c r="D400" s="1820">
        <v>21000000</v>
      </c>
      <c r="E400" s="1825">
        <v>0.06</v>
      </c>
      <c r="F400" s="1820">
        <f>D400*E400</f>
        <v>1260000</v>
      </c>
      <c r="G400" s="2408" t="s">
        <v>3823</v>
      </c>
      <c r="H400" s="2409"/>
      <c r="I400" s="2409"/>
      <c r="J400" s="2410"/>
      <c r="K400" s="1812"/>
      <c r="L400" s="1815"/>
    </row>
    <row r="401" spans="1:12" ht="30" customHeight="1" x14ac:dyDescent="0.2">
      <c r="A401" s="2032"/>
      <c r="B401" s="2030"/>
      <c r="C401" s="2150"/>
      <c r="D401" s="1576">
        <v>40000000</v>
      </c>
      <c r="E401" s="1585">
        <v>0.06</v>
      </c>
      <c r="F401" s="1576">
        <f>D401*E401</f>
        <v>2400000</v>
      </c>
      <c r="G401" s="2408" t="s">
        <v>3530</v>
      </c>
      <c r="H401" s="2409"/>
      <c r="I401" s="2409"/>
      <c r="J401" s="2410"/>
      <c r="K401" s="1576"/>
      <c r="L401" s="1091" t="s">
        <v>3500</v>
      </c>
    </row>
    <row r="402" spans="1:12" ht="30" customHeight="1" x14ac:dyDescent="0.2">
      <c r="A402" s="2031"/>
      <c r="B402" s="2267" t="s">
        <v>2666</v>
      </c>
      <c r="C402" s="2149" t="s">
        <v>1342</v>
      </c>
      <c r="D402" s="1827">
        <v>495000000</v>
      </c>
      <c r="E402" s="1828">
        <v>5.5E-2</v>
      </c>
      <c r="F402" s="1827">
        <f>D402*E402</f>
        <v>27225000</v>
      </c>
      <c r="G402" s="2452" t="s">
        <v>3824</v>
      </c>
      <c r="H402" s="2452"/>
      <c r="I402" s="2452"/>
      <c r="J402" s="2452"/>
      <c r="K402" s="2397"/>
      <c r="L402" s="2399"/>
    </row>
    <row r="403" spans="1:12" ht="30" customHeight="1" x14ac:dyDescent="0.2">
      <c r="A403" s="2034"/>
      <c r="B403" s="2267"/>
      <c r="C403" s="2158"/>
      <c r="D403" s="1827">
        <v>65000000</v>
      </c>
      <c r="E403" s="1828">
        <v>0.06</v>
      </c>
      <c r="F403" s="1827">
        <f>D403*E403</f>
        <v>3900000</v>
      </c>
      <c r="G403" s="2452"/>
      <c r="H403" s="2452"/>
      <c r="I403" s="2452"/>
      <c r="J403" s="2452"/>
      <c r="K403" s="2453"/>
      <c r="L403" s="2417"/>
    </row>
    <row r="404" spans="1:12" ht="30" customHeight="1" x14ac:dyDescent="0.2">
      <c r="A404" s="2034"/>
      <c r="B404" s="2267"/>
      <c r="C404" s="2158"/>
      <c r="D404" s="1827">
        <v>246000000</v>
      </c>
      <c r="E404" s="1828">
        <v>0.06</v>
      </c>
      <c r="F404" s="1827">
        <f>D404*E404</f>
        <v>14760000</v>
      </c>
      <c r="G404" s="2452"/>
      <c r="H404" s="2452"/>
      <c r="I404" s="2452"/>
      <c r="J404" s="2452"/>
      <c r="K404" s="2453"/>
      <c r="L404" s="2417"/>
    </row>
    <row r="405" spans="1:12" ht="30" customHeight="1" x14ac:dyDescent="0.2">
      <c r="A405" s="2034"/>
      <c r="B405" s="2267"/>
      <c r="C405" s="2158"/>
      <c r="D405" s="2457" t="s">
        <v>1903</v>
      </c>
      <c r="E405" s="2458"/>
      <c r="F405" s="1827">
        <v>1300000</v>
      </c>
      <c r="G405" s="2452"/>
      <c r="H405" s="2452"/>
      <c r="I405" s="2452"/>
      <c r="J405" s="2452"/>
      <c r="K405" s="2453"/>
      <c r="L405" s="2417"/>
    </row>
    <row r="406" spans="1:12" ht="30" customHeight="1" x14ac:dyDescent="0.2">
      <c r="A406" s="2034"/>
      <c r="B406" s="2267"/>
      <c r="C406" s="2158"/>
      <c r="D406" s="1812">
        <f>D402+D403+D404</f>
        <v>806000000</v>
      </c>
      <c r="E406" s="1813"/>
      <c r="F406" s="1812">
        <f>F402+F403+F404+F405</f>
        <v>47185000</v>
      </c>
      <c r="G406" s="1841"/>
      <c r="H406" s="1842"/>
      <c r="I406" s="1842"/>
      <c r="J406" s="1843"/>
      <c r="K406" s="2398"/>
      <c r="L406" s="2400"/>
    </row>
    <row r="407" spans="1:12" ht="30" customHeight="1" x14ac:dyDescent="0.2">
      <c r="A407" s="1596">
        <v>273</v>
      </c>
      <c r="B407" s="1594" t="s">
        <v>130</v>
      </c>
      <c r="C407" s="1821" t="s">
        <v>1346</v>
      </c>
      <c r="D407" s="1540">
        <v>20000000</v>
      </c>
      <c r="E407" s="1593">
        <v>0.05</v>
      </c>
      <c r="F407" s="1540">
        <f t="shared" si="37"/>
        <v>1000000</v>
      </c>
      <c r="G407" s="1540">
        <v>1000000</v>
      </c>
      <c r="H407" s="1540" t="s">
        <v>3811</v>
      </c>
      <c r="I407" s="24" t="s">
        <v>3814</v>
      </c>
      <c r="J407" s="1540">
        <f>G407</f>
        <v>1000000</v>
      </c>
      <c r="K407" s="1540">
        <f>F407-J407</f>
        <v>0</v>
      </c>
      <c r="L407" s="1594"/>
    </row>
    <row r="408" spans="1:12" ht="30" customHeight="1" x14ac:dyDescent="0.2">
      <c r="A408" s="2031">
        <v>274</v>
      </c>
      <c r="B408" s="1591" t="s">
        <v>131</v>
      </c>
      <c r="C408" s="385"/>
      <c r="D408" s="1540">
        <v>50000000</v>
      </c>
      <c r="E408" s="1593">
        <v>0.05</v>
      </c>
      <c r="F408" s="1540">
        <f>D408*E408</f>
        <v>2500000</v>
      </c>
      <c r="G408" s="1540">
        <v>2500000</v>
      </c>
      <c r="H408" s="1540" t="s">
        <v>2609</v>
      </c>
      <c r="I408" s="24" t="s">
        <v>397</v>
      </c>
      <c r="J408" s="1540">
        <f>G408</f>
        <v>2500000</v>
      </c>
      <c r="K408" s="1540">
        <f>F408-J408</f>
        <v>0</v>
      </c>
      <c r="L408" s="171"/>
    </row>
    <row r="409" spans="1:12" ht="30" customHeight="1" x14ac:dyDescent="0.2">
      <c r="A409" s="2032"/>
      <c r="B409" s="1592"/>
      <c r="C409" s="759"/>
      <c r="D409" s="1540">
        <v>50000000</v>
      </c>
      <c r="E409" s="1593">
        <v>0.05</v>
      </c>
      <c r="F409" s="1540">
        <f>D409*E409</f>
        <v>2500000</v>
      </c>
      <c r="G409" s="247"/>
      <c r="H409" s="247"/>
      <c r="I409" s="247"/>
      <c r="J409" s="247"/>
      <c r="K409" s="1540"/>
      <c r="L409" s="103" t="s">
        <v>3532</v>
      </c>
    </row>
    <row r="410" spans="1:12" ht="30" customHeight="1" x14ac:dyDescent="0.2">
      <c r="A410" s="1596">
        <v>275</v>
      </c>
      <c r="B410" s="1594" t="s">
        <v>132</v>
      </c>
      <c r="C410" s="1564" t="s">
        <v>1346</v>
      </c>
      <c r="D410" s="1540">
        <v>130000000</v>
      </c>
      <c r="E410" s="1593">
        <v>0.05</v>
      </c>
      <c r="F410" s="1540">
        <f t="shared" si="37"/>
        <v>6500000</v>
      </c>
      <c r="G410" s="1540">
        <v>6500000</v>
      </c>
      <c r="H410" s="1540" t="s">
        <v>3827</v>
      </c>
      <c r="I410" s="24" t="s">
        <v>2314</v>
      </c>
      <c r="J410" s="1540">
        <f>G410</f>
        <v>6500000</v>
      </c>
      <c r="K410" s="1540">
        <f>F410-J410</f>
        <v>0</v>
      </c>
      <c r="L410" s="1594"/>
    </row>
    <row r="411" spans="1:12" ht="30" customHeight="1" x14ac:dyDescent="0.2">
      <c r="A411" s="1596">
        <v>276</v>
      </c>
      <c r="B411" s="1594" t="s">
        <v>133</v>
      </c>
      <c r="C411" s="1564"/>
      <c r="D411" s="1540">
        <v>95000000</v>
      </c>
      <c r="E411" s="1593">
        <v>5.2999999999999999E-2</v>
      </c>
      <c r="F411" s="1540">
        <v>5000000</v>
      </c>
      <c r="G411" s="1540">
        <v>5000000</v>
      </c>
      <c r="H411" s="1540" t="s">
        <v>3867</v>
      </c>
      <c r="I411" s="24" t="s">
        <v>3650</v>
      </c>
      <c r="J411" s="1540">
        <f>G411</f>
        <v>5000000</v>
      </c>
      <c r="K411" s="1540">
        <f>F411-J411</f>
        <v>0</v>
      </c>
      <c r="L411" s="1594"/>
    </row>
    <row r="412" spans="1:12" ht="30" customHeight="1" x14ac:dyDescent="0.2">
      <c r="A412" s="1596">
        <v>277</v>
      </c>
      <c r="B412" s="1594" t="s">
        <v>134</v>
      </c>
      <c r="C412" s="1564"/>
      <c r="D412" s="1540">
        <v>200000000</v>
      </c>
      <c r="E412" s="1593">
        <v>0.05</v>
      </c>
      <c r="F412" s="1540">
        <f t="shared" si="37"/>
        <v>10000000</v>
      </c>
      <c r="G412" s="1540">
        <v>10000000</v>
      </c>
      <c r="H412" s="1540" t="s">
        <v>3827</v>
      </c>
      <c r="I412" s="24" t="s">
        <v>3878</v>
      </c>
      <c r="J412" s="1540">
        <f>G412</f>
        <v>10000000</v>
      </c>
      <c r="K412" s="1540">
        <f>F412-J412</f>
        <v>0</v>
      </c>
      <c r="L412" s="1594"/>
    </row>
    <row r="413" spans="1:12" ht="30" customHeight="1" x14ac:dyDescent="0.2">
      <c r="A413" s="2031">
        <v>278</v>
      </c>
      <c r="B413" s="2029" t="s">
        <v>634</v>
      </c>
      <c r="C413" s="2149" t="s">
        <v>3151</v>
      </c>
      <c r="D413" s="1540">
        <v>30000000</v>
      </c>
      <c r="E413" s="1593">
        <v>4.4999999999999998E-2</v>
      </c>
      <c r="F413" s="1540">
        <f>D413*E413</f>
        <v>1350000</v>
      </c>
      <c r="G413" s="2040">
        <v>1750000</v>
      </c>
      <c r="H413" s="2040" t="s">
        <v>3827</v>
      </c>
      <c r="I413" s="2128" t="s">
        <v>3836</v>
      </c>
      <c r="J413" s="2040">
        <f>G413</f>
        <v>1750000</v>
      </c>
      <c r="K413" s="2040">
        <f>(F413+F414)-J413</f>
        <v>0</v>
      </c>
      <c r="L413" s="2101"/>
    </row>
    <row r="414" spans="1:12" ht="30" customHeight="1" x14ac:dyDescent="0.2">
      <c r="A414" s="2032"/>
      <c r="B414" s="2030"/>
      <c r="C414" s="2150"/>
      <c r="D414" s="1540">
        <v>10000000</v>
      </c>
      <c r="E414" s="1593">
        <v>0.04</v>
      </c>
      <c r="F414" s="1540">
        <f>D414*E414</f>
        <v>400000</v>
      </c>
      <c r="G414" s="2042"/>
      <c r="H414" s="2042"/>
      <c r="I414" s="2129"/>
      <c r="J414" s="2042"/>
      <c r="K414" s="2042"/>
      <c r="L414" s="2102"/>
    </row>
    <row r="415" spans="1:12" ht="30" customHeight="1" x14ac:dyDescent="0.2">
      <c r="A415" s="1596">
        <v>279</v>
      </c>
      <c r="B415" s="1594" t="s">
        <v>135</v>
      </c>
      <c r="C415" s="1564"/>
      <c r="D415" s="1540">
        <v>11000000</v>
      </c>
      <c r="E415" s="1593">
        <v>4.4999999999999998E-2</v>
      </c>
      <c r="F415" s="1540">
        <v>500000</v>
      </c>
      <c r="G415" s="1540">
        <v>500000</v>
      </c>
      <c r="H415" s="1540" t="s">
        <v>3811</v>
      </c>
      <c r="I415" s="24" t="s">
        <v>3821</v>
      </c>
      <c r="J415" s="1540">
        <f>G415</f>
        <v>500000</v>
      </c>
      <c r="K415" s="1540">
        <f>F415-J415</f>
        <v>0</v>
      </c>
      <c r="L415" s="1594"/>
    </row>
    <row r="416" spans="1:12" ht="30" customHeight="1" x14ac:dyDescent="0.2">
      <c r="A416" s="1596">
        <v>280</v>
      </c>
      <c r="B416" s="1591" t="s">
        <v>468</v>
      </c>
      <c r="C416" s="421"/>
      <c r="D416" s="1565">
        <v>20000000</v>
      </c>
      <c r="E416" s="1593">
        <v>0.05</v>
      </c>
      <c r="F416" s="1565">
        <f t="shared" si="37"/>
        <v>1000000</v>
      </c>
      <c r="G416" s="1899">
        <v>1000000</v>
      </c>
      <c r="H416" s="1899" t="s">
        <v>1232</v>
      </c>
      <c r="I416" s="1899" t="s">
        <v>3909</v>
      </c>
      <c r="J416" s="1899">
        <f>G416</f>
        <v>1000000</v>
      </c>
      <c r="K416" s="1899">
        <f>F416-J416</f>
        <v>0</v>
      </c>
      <c r="L416" s="1089" t="s">
        <v>3241</v>
      </c>
    </row>
    <row r="417" spans="1:12" ht="30" customHeight="1" x14ac:dyDescent="0.2">
      <c r="A417" s="1535">
        <v>281</v>
      </c>
      <c r="B417" s="1591" t="s">
        <v>136</v>
      </c>
      <c r="C417" s="1564" t="s">
        <v>1345</v>
      </c>
      <c r="D417" s="1540">
        <v>40000000</v>
      </c>
      <c r="E417" s="1537">
        <v>0.05</v>
      </c>
      <c r="F417" s="1540">
        <f t="shared" si="37"/>
        <v>2000000</v>
      </c>
      <c r="G417" s="1540">
        <v>2000000</v>
      </c>
      <c r="H417" s="1540" t="s">
        <v>3827</v>
      </c>
      <c r="I417" s="1810" t="s">
        <v>3830</v>
      </c>
      <c r="J417" s="1540">
        <f>G417</f>
        <v>2000000</v>
      </c>
      <c r="K417" s="1540">
        <f>F417-J417</f>
        <v>0</v>
      </c>
      <c r="L417" s="1822"/>
    </row>
    <row r="418" spans="1:12" ht="30" customHeight="1" x14ac:dyDescent="0.2">
      <c r="A418" s="1596">
        <v>282</v>
      </c>
      <c r="B418" s="1594" t="s">
        <v>1054</v>
      </c>
      <c r="C418" s="1564"/>
      <c r="D418" s="1540">
        <v>20000000</v>
      </c>
      <c r="E418" s="1593">
        <v>0.04</v>
      </c>
      <c r="F418" s="1540">
        <f t="shared" si="37"/>
        <v>800000</v>
      </c>
      <c r="G418" s="1540">
        <v>800000</v>
      </c>
      <c r="H418" s="1540" t="s">
        <v>3844</v>
      </c>
      <c r="I418" s="1586" t="s">
        <v>2589</v>
      </c>
      <c r="J418" s="1540">
        <f>G418</f>
        <v>800000</v>
      </c>
      <c r="K418" s="1540">
        <f>F418-J418</f>
        <v>0</v>
      </c>
      <c r="L418" s="1594"/>
    </row>
    <row r="419" spans="1:12" ht="30" customHeight="1" x14ac:dyDescent="0.2">
      <c r="A419" s="2031"/>
      <c r="B419" s="2101" t="s">
        <v>137</v>
      </c>
      <c r="C419" s="2149" t="s">
        <v>1349</v>
      </c>
      <c r="D419" s="1540">
        <v>40823000</v>
      </c>
      <c r="E419" s="1537">
        <v>0.05</v>
      </c>
      <c r="F419" s="1540">
        <f>D419*E419</f>
        <v>2041150</v>
      </c>
      <c r="G419" s="1849">
        <v>2041150</v>
      </c>
      <c r="H419" s="1849" t="s">
        <v>3844</v>
      </c>
      <c r="I419" s="1849" t="s">
        <v>646</v>
      </c>
      <c r="J419" s="1538">
        <f>G419</f>
        <v>2041150</v>
      </c>
      <c r="K419" s="1538">
        <f>F419-J419</f>
        <v>0</v>
      </c>
      <c r="L419" s="823" t="s">
        <v>3533</v>
      </c>
    </row>
    <row r="420" spans="1:12" ht="30" customHeight="1" x14ac:dyDescent="0.2">
      <c r="A420" s="2032"/>
      <c r="B420" s="2102"/>
      <c r="C420" s="2150"/>
      <c r="D420" s="1807">
        <f>40823000+3800000</f>
        <v>44623000</v>
      </c>
      <c r="E420" s="1806">
        <v>0.05</v>
      </c>
      <c r="F420" s="1807">
        <f>D420*E420</f>
        <v>2231150</v>
      </c>
      <c r="G420" s="2200" t="s">
        <v>3818</v>
      </c>
      <c r="H420" s="2201"/>
      <c r="I420" s="2201"/>
      <c r="J420" s="2202"/>
      <c r="K420" s="1804"/>
      <c r="L420" s="823"/>
    </row>
    <row r="421" spans="1:12" ht="30" customHeight="1" x14ac:dyDescent="0.2">
      <c r="A421" s="2031">
        <v>284</v>
      </c>
      <c r="B421" s="2029" t="s">
        <v>1197</v>
      </c>
      <c r="C421" s="2149" t="s">
        <v>379</v>
      </c>
      <c r="D421" s="1621">
        <v>110000000</v>
      </c>
      <c r="E421" s="1622">
        <v>4.4999999999999998E-2</v>
      </c>
      <c r="F421" s="1621">
        <f t="shared" si="37"/>
        <v>4950000</v>
      </c>
      <c r="G421" s="2040">
        <v>94500000</v>
      </c>
      <c r="H421" s="2040" t="s">
        <v>3827</v>
      </c>
      <c r="I421" s="2128" t="s">
        <v>3835</v>
      </c>
      <c r="J421" s="2040">
        <v>9450000</v>
      </c>
      <c r="K421" s="2040">
        <f>(F421+F422+F423)-J421</f>
        <v>0</v>
      </c>
      <c r="L421" s="2068"/>
    </row>
    <row r="422" spans="1:12" ht="30" customHeight="1" x14ac:dyDescent="0.2">
      <c r="A422" s="2034"/>
      <c r="B422" s="2033"/>
      <c r="C422" s="2158"/>
      <c r="D422" s="1621">
        <v>60000000</v>
      </c>
      <c r="E422" s="1623">
        <v>0.05</v>
      </c>
      <c r="F422" s="1621">
        <f t="shared" si="37"/>
        <v>3000000</v>
      </c>
      <c r="G422" s="2041"/>
      <c r="H422" s="2041"/>
      <c r="I422" s="2237"/>
      <c r="J422" s="2041"/>
      <c r="K422" s="2041"/>
      <c r="L422" s="2391"/>
    </row>
    <row r="423" spans="1:12" ht="30" customHeight="1" x14ac:dyDescent="0.2">
      <c r="A423" s="2032"/>
      <c r="B423" s="2030"/>
      <c r="C423" s="2150"/>
      <c r="D423" s="1621">
        <v>30000000</v>
      </c>
      <c r="E423" s="1623">
        <v>0.05</v>
      </c>
      <c r="F423" s="1621">
        <f t="shared" si="37"/>
        <v>1500000</v>
      </c>
      <c r="G423" s="2042"/>
      <c r="H423" s="2042"/>
      <c r="I423" s="2129"/>
      <c r="J423" s="2042"/>
      <c r="K423" s="2042"/>
      <c r="L423" s="1547" t="s">
        <v>3037</v>
      </c>
    </row>
    <row r="424" spans="1:12" ht="30" customHeight="1" x14ac:dyDescent="0.2">
      <c r="A424" s="2031"/>
      <c r="B424" s="2029" t="s">
        <v>1197</v>
      </c>
      <c r="C424" s="2149"/>
      <c r="D424" s="1621">
        <v>100000000</v>
      </c>
      <c r="E424" s="1623">
        <v>4.4999999999999998E-2</v>
      </c>
      <c r="F424" s="1621">
        <f t="shared" si="37"/>
        <v>4500000</v>
      </c>
      <c r="G424" s="2462" t="s">
        <v>3932</v>
      </c>
      <c r="H424" s="2463"/>
      <c r="I424" s="2463"/>
      <c r="J424" s="2464"/>
      <c r="K424" s="2040"/>
      <c r="L424" s="823" t="s">
        <v>3937</v>
      </c>
    </row>
    <row r="425" spans="1:12" ht="30" customHeight="1" x14ac:dyDescent="0.2">
      <c r="A425" s="2034"/>
      <c r="B425" s="2033"/>
      <c r="C425" s="2158"/>
      <c r="D425" s="1621">
        <v>60000000</v>
      </c>
      <c r="E425" s="1623">
        <v>0.05</v>
      </c>
      <c r="F425" s="1621">
        <f t="shared" si="37"/>
        <v>3000000</v>
      </c>
      <c r="G425" s="2465"/>
      <c r="H425" s="2466"/>
      <c r="I425" s="2466"/>
      <c r="J425" s="2467"/>
      <c r="K425" s="2041"/>
      <c r="L425" s="1408"/>
    </row>
    <row r="426" spans="1:12" ht="30" customHeight="1" x14ac:dyDescent="0.2">
      <c r="A426" s="2034"/>
      <c r="B426" s="2033"/>
      <c r="C426" s="2158"/>
      <c r="D426" s="1621">
        <v>30000000</v>
      </c>
      <c r="E426" s="1623">
        <v>0.05</v>
      </c>
      <c r="F426" s="1621">
        <f t="shared" si="37"/>
        <v>1500000</v>
      </c>
      <c r="G426" s="2468"/>
      <c r="H426" s="2469"/>
      <c r="I426" s="2469"/>
      <c r="J426" s="2470"/>
      <c r="K426" s="2041"/>
      <c r="L426" s="823" t="s">
        <v>3934</v>
      </c>
    </row>
    <row r="427" spans="1:12" ht="30" customHeight="1" x14ac:dyDescent="0.2">
      <c r="A427" s="2032"/>
      <c r="B427" s="2030"/>
      <c r="C427" s="2150"/>
      <c r="D427" s="1621">
        <v>40000000</v>
      </c>
      <c r="E427" s="1623">
        <v>0.05</v>
      </c>
      <c r="F427" s="1621">
        <f t="shared" si="37"/>
        <v>2000000</v>
      </c>
      <c r="G427" s="1947" t="s">
        <v>3933</v>
      </c>
      <c r="H427" s="1948"/>
      <c r="I427" s="1948"/>
      <c r="J427" s="1949"/>
      <c r="K427" s="2042"/>
      <c r="L427" s="569"/>
    </row>
    <row r="428" spans="1:12" ht="30" customHeight="1" x14ac:dyDescent="0.2">
      <c r="A428" s="1596">
        <v>285</v>
      </c>
      <c r="B428" s="1594" t="s">
        <v>138</v>
      </c>
      <c r="C428" s="1564" t="s">
        <v>2413</v>
      </c>
      <c r="D428" s="1540">
        <v>100000000</v>
      </c>
      <c r="E428" s="1593">
        <v>7.0000000000000007E-2</v>
      </c>
      <c r="F428" s="1540">
        <f t="shared" si="37"/>
        <v>7000000.0000000009</v>
      </c>
      <c r="G428" s="1540">
        <v>7000000</v>
      </c>
      <c r="H428" s="1540" t="s">
        <v>3827</v>
      </c>
      <c r="I428" s="24" t="s">
        <v>2340</v>
      </c>
      <c r="J428" s="1540">
        <f>G428</f>
        <v>7000000</v>
      </c>
      <c r="K428" s="1540">
        <f>F428-J428</f>
        <v>0</v>
      </c>
      <c r="L428" s="1594"/>
    </row>
    <row r="429" spans="1:12" ht="30" customHeight="1" x14ac:dyDescent="0.2">
      <c r="A429" s="1533">
        <v>286</v>
      </c>
      <c r="B429" s="1591" t="s">
        <v>1719</v>
      </c>
      <c r="C429" s="1595"/>
      <c r="D429" s="1565">
        <v>35000000</v>
      </c>
      <c r="E429" s="1092">
        <v>0.04</v>
      </c>
      <c r="F429" s="1565">
        <f t="shared" si="37"/>
        <v>1400000</v>
      </c>
      <c r="G429" s="1565">
        <v>1700000</v>
      </c>
      <c r="H429" s="1565" t="s">
        <v>3581</v>
      </c>
      <c r="I429" s="21" t="s">
        <v>312</v>
      </c>
      <c r="J429" s="1565">
        <f>G429</f>
        <v>1700000</v>
      </c>
      <c r="K429" s="1641">
        <f>F429-J429</f>
        <v>-300000</v>
      </c>
      <c r="L429" s="1643" t="s">
        <v>2209</v>
      </c>
    </row>
    <row r="430" spans="1:12" ht="30" customHeight="1" x14ac:dyDescent="0.2">
      <c r="A430" s="2031">
        <v>287</v>
      </c>
      <c r="B430" s="2029" t="s">
        <v>140</v>
      </c>
      <c r="C430" s="2149"/>
      <c r="D430" s="1540">
        <v>15000000</v>
      </c>
      <c r="E430" s="1537">
        <v>0.05</v>
      </c>
      <c r="F430" s="1540">
        <f t="shared" si="37"/>
        <v>750000</v>
      </c>
      <c r="G430" s="2040">
        <v>3000000</v>
      </c>
      <c r="H430" s="2040" t="s">
        <v>3827</v>
      </c>
      <c r="I430" s="2128" t="s">
        <v>3123</v>
      </c>
      <c r="J430" s="2040">
        <f>G430+G431</f>
        <v>3000000</v>
      </c>
      <c r="K430" s="2040">
        <f>(F430+F431)-J430</f>
        <v>0</v>
      </c>
      <c r="L430" s="2046"/>
    </row>
    <row r="431" spans="1:12" ht="30" customHeight="1" x14ac:dyDescent="0.2">
      <c r="A431" s="2032"/>
      <c r="B431" s="2030"/>
      <c r="C431" s="2150"/>
      <c r="D431" s="1540">
        <v>45000000</v>
      </c>
      <c r="E431" s="1537">
        <v>0.05</v>
      </c>
      <c r="F431" s="1540">
        <f t="shared" si="37"/>
        <v>2250000</v>
      </c>
      <c r="G431" s="2042"/>
      <c r="H431" s="2042"/>
      <c r="I431" s="2129"/>
      <c r="J431" s="2042"/>
      <c r="K431" s="2042"/>
      <c r="L431" s="2048"/>
    </row>
    <row r="432" spans="1:12" ht="30" customHeight="1" x14ac:dyDescent="0.2">
      <c r="A432" s="1596">
        <v>288</v>
      </c>
      <c r="B432" s="1594" t="s">
        <v>141</v>
      </c>
      <c r="C432" s="1564" t="s">
        <v>1344</v>
      </c>
      <c r="D432" s="1540">
        <v>50000000</v>
      </c>
      <c r="E432" s="1593">
        <v>4.4999999999999998E-2</v>
      </c>
      <c r="F432" s="1540">
        <f t="shared" si="37"/>
        <v>2250000</v>
      </c>
      <c r="G432" s="1540">
        <v>2250000</v>
      </c>
      <c r="H432" s="1540" t="s">
        <v>3827</v>
      </c>
      <c r="I432" s="24" t="s">
        <v>2213</v>
      </c>
      <c r="J432" s="1540">
        <f t="shared" ref="J432:J437" si="38">G432</f>
        <v>2250000</v>
      </c>
      <c r="K432" s="1540">
        <f>F432-J432</f>
        <v>0</v>
      </c>
      <c r="L432" s="1594"/>
    </row>
    <row r="433" spans="1:12" ht="30" customHeight="1" x14ac:dyDescent="0.2">
      <c r="A433" s="1596">
        <v>289</v>
      </c>
      <c r="B433" s="1594" t="s">
        <v>653</v>
      </c>
      <c r="C433" s="1564" t="s">
        <v>1354</v>
      </c>
      <c r="D433" s="1540">
        <v>25000000</v>
      </c>
      <c r="E433" s="1593">
        <v>5.3999999999999999E-2</v>
      </c>
      <c r="F433" s="1540">
        <f t="shared" si="37"/>
        <v>1350000</v>
      </c>
      <c r="G433" s="1540">
        <v>1350000</v>
      </c>
      <c r="H433" s="1540" t="s">
        <v>3844</v>
      </c>
      <c r="I433" s="21" t="s">
        <v>3851</v>
      </c>
      <c r="J433" s="1540">
        <f t="shared" si="38"/>
        <v>1350000</v>
      </c>
      <c r="K433" s="1540">
        <f>F433-J433</f>
        <v>0</v>
      </c>
      <c r="L433" s="1594"/>
    </row>
    <row r="434" spans="1:12" ht="30" customHeight="1" x14ac:dyDescent="0.2">
      <c r="A434" s="1596">
        <v>290</v>
      </c>
      <c r="B434" s="1594" t="s">
        <v>652</v>
      </c>
      <c r="C434" s="1564" t="s">
        <v>1343</v>
      </c>
      <c r="D434" s="1540">
        <v>800000000</v>
      </c>
      <c r="E434" s="1593">
        <v>5.5E-2</v>
      </c>
      <c r="F434" s="1540">
        <f t="shared" si="37"/>
        <v>44000000</v>
      </c>
      <c r="G434" s="1540"/>
      <c r="H434" s="1540"/>
      <c r="I434" s="24"/>
      <c r="J434" s="1540">
        <f t="shared" si="38"/>
        <v>0</v>
      </c>
      <c r="K434" s="1540">
        <f>F434-J434</f>
        <v>44000000</v>
      </c>
      <c r="L434" s="171" t="s">
        <v>639</v>
      </c>
    </row>
    <row r="435" spans="1:12" ht="30" customHeight="1" x14ac:dyDescent="0.2">
      <c r="A435" s="1596">
        <v>292</v>
      </c>
      <c r="B435" s="1594" t="s">
        <v>143</v>
      </c>
      <c r="C435" s="1595" t="s">
        <v>1354</v>
      </c>
      <c r="D435" s="1540">
        <v>100000000</v>
      </c>
      <c r="E435" s="1593">
        <v>0.05</v>
      </c>
      <c r="F435" s="1540">
        <f t="shared" si="37"/>
        <v>5000000</v>
      </c>
      <c r="G435" s="1540">
        <v>5000000</v>
      </c>
      <c r="H435" s="1540" t="s">
        <v>3844</v>
      </c>
      <c r="I435" s="70" t="s">
        <v>2709</v>
      </c>
      <c r="J435" s="1540">
        <f t="shared" si="38"/>
        <v>5000000</v>
      </c>
      <c r="K435" s="1540">
        <f>F435-J435</f>
        <v>0</v>
      </c>
      <c r="L435" s="1594"/>
    </row>
    <row r="436" spans="1:12" ht="30" customHeight="1" x14ac:dyDescent="0.2">
      <c r="A436" s="1596">
        <v>293</v>
      </c>
      <c r="B436" s="1594" t="s">
        <v>144</v>
      </c>
      <c r="C436" s="1564" t="s">
        <v>1354</v>
      </c>
      <c r="D436" s="1540">
        <v>75000000</v>
      </c>
      <c r="E436" s="1593">
        <v>0.04</v>
      </c>
      <c r="F436" s="1540">
        <f>D436*E436</f>
        <v>3000000</v>
      </c>
      <c r="G436" s="1540">
        <v>3000000</v>
      </c>
      <c r="H436" s="1540" t="s">
        <v>3844</v>
      </c>
      <c r="I436" s="21" t="s">
        <v>2311</v>
      </c>
      <c r="J436" s="1540">
        <f t="shared" si="38"/>
        <v>3000000</v>
      </c>
      <c r="K436" s="1540">
        <f>F436-J436</f>
        <v>0</v>
      </c>
      <c r="L436" s="1594"/>
    </row>
    <row r="437" spans="1:12" ht="30" customHeight="1" x14ac:dyDescent="0.2">
      <c r="A437" s="2031">
        <v>295</v>
      </c>
      <c r="B437" s="1591" t="s">
        <v>145</v>
      </c>
      <c r="C437" s="2149" t="s">
        <v>1354</v>
      </c>
      <c r="D437" s="1540">
        <v>100000000</v>
      </c>
      <c r="E437" s="1593">
        <v>0.05</v>
      </c>
      <c r="F437" s="1540">
        <f t="shared" si="37"/>
        <v>5000000</v>
      </c>
      <c r="G437" s="2040">
        <v>5500000</v>
      </c>
      <c r="H437" s="2040" t="s">
        <v>3844</v>
      </c>
      <c r="I437" s="2040" t="s">
        <v>3854</v>
      </c>
      <c r="J437" s="2040">
        <f t="shared" si="38"/>
        <v>5500000</v>
      </c>
      <c r="K437" s="2040">
        <f>(F437+F438)-G437</f>
        <v>0</v>
      </c>
      <c r="L437" s="2068"/>
    </row>
    <row r="438" spans="1:12" ht="30" customHeight="1" x14ac:dyDescent="0.2">
      <c r="A438" s="2032"/>
      <c r="B438" s="1594" t="s">
        <v>727</v>
      </c>
      <c r="C438" s="2150"/>
      <c r="D438" s="1540">
        <v>10000000</v>
      </c>
      <c r="E438" s="1593">
        <v>0.05</v>
      </c>
      <c r="F438" s="1540">
        <f>D438*E438</f>
        <v>500000</v>
      </c>
      <c r="G438" s="2042"/>
      <c r="H438" s="2042"/>
      <c r="I438" s="2042"/>
      <c r="J438" s="2042"/>
      <c r="K438" s="2042"/>
      <c r="L438" s="2069"/>
    </row>
    <row r="439" spans="1:12" ht="30" customHeight="1" x14ac:dyDescent="0.2">
      <c r="A439" s="1596">
        <v>296</v>
      </c>
      <c r="B439" s="1594" t="s">
        <v>146</v>
      </c>
      <c r="C439" s="1564" t="s">
        <v>1378</v>
      </c>
      <c r="D439" s="1540">
        <v>35000000</v>
      </c>
      <c r="E439" s="1593">
        <v>0.04</v>
      </c>
      <c r="F439" s="1540">
        <f t="shared" si="37"/>
        <v>1400000</v>
      </c>
      <c r="G439" s="1540">
        <v>1400000</v>
      </c>
      <c r="H439" s="1540" t="s">
        <v>2741</v>
      </c>
      <c r="I439" s="24" t="s">
        <v>1140</v>
      </c>
      <c r="J439" s="1540">
        <f>G439</f>
        <v>1400000</v>
      </c>
      <c r="K439" s="1540">
        <f>F439-J439</f>
        <v>0</v>
      </c>
      <c r="L439" s="1594"/>
    </row>
    <row r="440" spans="1:12" ht="30" customHeight="1" x14ac:dyDescent="0.2">
      <c r="A440" s="1596">
        <v>298</v>
      </c>
      <c r="B440" s="1594" t="s">
        <v>148</v>
      </c>
      <c r="C440" s="1564" t="s">
        <v>1165</v>
      </c>
      <c r="D440" s="1540">
        <v>40000000</v>
      </c>
      <c r="E440" s="1593">
        <v>5.1999999999999998E-2</v>
      </c>
      <c r="F440" s="1540">
        <v>2000000</v>
      </c>
      <c r="G440" s="1540">
        <v>2000000</v>
      </c>
      <c r="H440" s="1540" t="s">
        <v>1232</v>
      </c>
      <c r="I440" s="24" t="s">
        <v>1010</v>
      </c>
      <c r="J440" s="1540">
        <f>G440</f>
        <v>2000000</v>
      </c>
      <c r="K440" s="1540">
        <f>F440-J440</f>
        <v>0</v>
      </c>
      <c r="L440" s="1594"/>
    </row>
    <row r="441" spans="1:12" ht="30" customHeight="1" x14ac:dyDescent="0.2">
      <c r="A441" s="1596">
        <v>300</v>
      </c>
      <c r="B441" s="1591" t="s">
        <v>150</v>
      </c>
      <c r="C441" s="1595" t="s">
        <v>917</v>
      </c>
      <c r="D441" s="1565">
        <v>178000000</v>
      </c>
      <c r="E441" s="1593">
        <v>5.8999999999999997E-2</v>
      </c>
      <c r="F441" s="1565">
        <v>10500000</v>
      </c>
      <c r="G441" s="1892">
        <v>10500000</v>
      </c>
      <c r="H441" s="1892" t="s">
        <v>1232</v>
      </c>
      <c r="I441" s="24" t="s">
        <v>3616</v>
      </c>
      <c r="J441" s="1892">
        <f>G441</f>
        <v>10500000</v>
      </c>
      <c r="K441" s="1565">
        <f>F441-J441</f>
        <v>0</v>
      </c>
      <c r="L441" s="1594"/>
    </row>
    <row r="442" spans="1:12" ht="30" customHeight="1" x14ac:dyDescent="0.2">
      <c r="A442" s="1596">
        <v>301</v>
      </c>
      <c r="B442" s="1594" t="s">
        <v>2482</v>
      </c>
      <c r="C442" s="1564"/>
      <c r="D442" s="1540">
        <v>10000000</v>
      </c>
      <c r="E442" s="1537">
        <v>0.04</v>
      </c>
      <c r="F442" s="1540">
        <f>D442*E442</f>
        <v>400000</v>
      </c>
      <c r="G442" s="1540">
        <v>400000</v>
      </c>
      <c r="H442" s="1540" t="s">
        <v>1232</v>
      </c>
      <c r="I442" s="1566" t="s">
        <v>744</v>
      </c>
      <c r="J442" s="1540">
        <f>G442</f>
        <v>400000</v>
      </c>
      <c r="K442" s="1540">
        <f>F442-J442</f>
        <v>0</v>
      </c>
      <c r="L442" s="103"/>
    </row>
    <row r="443" spans="1:12" ht="30" customHeight="1" x14ac:dyDescent="0.2">
      <c r="A443" s="1596">
        <v>302</v>
      </c>
      <c r="B443" s="1594" t="s">
        <v>152</v>
      </c>
      <c r="C443" s="1564" t="s">
        <v>1351</v>
      </c>
      <c r="D443" s="1540">
        <v>60000000</v>
      </c>
      <c r="E443" s="1593">
        <v>4.4999999999999998E-2</v>
      </c>
      <c r="F443" s="1540">
        <f t="shared" si="37"/>
        <v>2700000</v>
      </c>
      <c r="G443" s="1540">
        <v>2700000</v>
      </c>
      <c r="H443" s="1540" t="s">
        <v>3844</v>
      </c>
      <c r="I443" s="24" t="s">
        <v>1162</v>
      </c>
      <c r="J443" s="1540">
        <f>G443</f>
        <v>2700000</v>
      </c>
      <c r="K443" s="1540">
        <f>F443-J443</f>
        <v>0</v>
      </c>
      <c r="L443" s="1594"/>
    </row>
    <row r="444" spans="1:12" ht="30" customHeight="1" x14ac:dyDescent="0.2">
      <c r="A444" s="2031"/>
      <c r="B444" s="2029" t="s">
        <v>153</v>
      </c>
      <c r="C444" s="2149" t="s">
        <v>1913</v>
      </c>
      <c r="D444" s="2157">
        <v>1846000000</v>
      </c>
      <c r="E444" s="2262">
        <f>F444/D444</f>
        <v>7.3174431202600212E-2</v>
      </c>
      <c r="F444" s="2157">
        <v>135080000</v>
      </c>
      <c r="G444" s="1899"/>
      <c r="H444" s="1899"/>
      <c r="I444" s="1899"/>
      <c r="J444" s="1899"/>
      <c r="K444" s="1899"/>
      <c r="L444" s="1457" t="s">
        <v>3460</v>
      </c>
    </row>
    <row r="445" spans="1:12" ht="30" customHeight="1" x14ac:dyDescent="0.2">
      <c r="A445" s="2034"/>
      <c r="B445" s="2033"/>
      <c r="C445" s="2158"/>
      <c r="D445" s="2157"/>
      <c r="E445" s="2262"/>
      <c r="F445" s="2157"/>
      <c r="G445" s="247"/>
      <c r="H445" s="247"/>
      <c r="I445" s="247"/>
      <c r="J445" s="247"/>
      <c r="K445" s="1899"/>
      <c r="L445" s="1457" t="s">
        <v>3480</v>
      </c>
    </row>
    <row r="446" spans="1:12" ht="30" customHeight="1" x14ac:dyDescent="0.2">
      <c r="A446" s="2034"/>
      <c r="B446" s="2033"/>
      <c r="C446" s="2158"/>
      <c r="D446" s="1661">
        <v>1916000000</v>
      </c>
      <c r="E446" s="1682"/>
      <c r="F446" s="1673"/>
      <c r="G446" s="2154" t="s">
        <v>3600</v>
      </c>
      <c r="H446" s="2155"/>
      <c r="I446" s="2155"/>
      <c r="J446" s="2156"/>
      <c r="K446" s="1899"/>
      <c r="L446" s="1457" t="s">
        <v>3601</v>
      </c>
    </row>
    <row r="447" spans="1:12" ht="30" customHeight="1" x14ac:dyDescent="0.2">
      <c r="A447" s="2032"/>
      <c r="B447" s="2030"/>
      <c r="C447" s="2150"/>
      <c r="D447" s="1893"/>
      <c r="E447" s="480"/>
      <c r="F447" s="1888"/>
      <c r="G447" s="1888">
        <v>50000000</v>
      </c>
      <c r="H447" s="1888" t="s">
        <v>3924</v>
      </c>
      <c r="I447" s="1888" t="s">
        <v>2596</v>
      </c>
      <c r="J447" s="1888">
        <f>G447</f>
        <v>50000000</v>
      </c>
      <c r="K447" s="1891">
        <f>138440000-J447</f>
        <v>88440000</v>
      </c>
      <c r="L447" s="1457"/>
    </row>
    <row r="448" spans="1:12" ht="30" customHeight="1" x14ac:dyDescent="0.2">
      <c r="A448" s="2031">
        <v>305</v>
      </c>
      <c r="B448" s="2029" t="s">
        <v>155</v>
      </c>
      <c r="C448" s="2266"/>
      <c r="D448" s="2040">
        <v>750000000</v>
      </c>
      <c r="E448" s="2262">
        <v>6.5000000000000002E-2</v>
      </c>
      <c r="F448" s="2157">
        <v>48000000</v>
      </c>
      <c r="G448" s="1540">
        <v>16000000</v>
      </c>
      <c r="H448" s="1540" t="s">
        <v>3508</v>
      </c>
      <c r="I448" s="24" t="s">
        <v>2529</v>
      </c>
      <c r="J448" s="1644">
        <f>G448</f>
        <v>16000000</v>
      </c>
      <c r="K448" s="1644">
        <f>38000000-22000000-J448</f>
        <v>0</v>
      </c>
      <c r="L448" s="385" t="s">
        <v>3135</v>
      </c>
    </row>
    <row r="449" spans="1:12" ht="30" customHeight="1" x14ac:dyDescent="0.2">
      <c r="A449" s="2032"/>
      <c r="B449" s="2030"/>
      <c r="C449" s="2266"/>
      <c r="D449" s="2042"/>
      <c r="E449" s="2262"/>
      <c r="F449" s="2157"/>
      <c r="G449" s="1540">
        <v>10000000</v>
      </c>
      <c r="H449" s="1540" t="s">
        <v>3924</v>
      </c>
      <c r="I449" s="24" t="s">
        <v>3925</v>
      </c>
      <c r="J449" s="1892">
        <f>G449</f>
        <v>10000000</v>
      </c>
      <c r="K449" s="1892">
        <f>38000000-J449</f>
        <v>28000000</v>
      </c>
      <c r="L449" s="385" t="s">
        <v>3496</v>
      </c>
    </row>
    <row r="450" spans="1:12" ht="30" customHeight="1" x14ac:dyDescent="0.2">
      <c r="A450" s="1596">
        <v>307</v>
      </c>
      <c r="B450" s="1594" t="s">
        <v>157</v>
      </c>
      <c r="C450" s="1564" t="s">
        <v>1378</v>
      </c>
      <c r="D450" s="1540">
        <v>260000000</v>
      </c>
      <c r="E450" s="1593">
        <v>0.05</v>
      </c>
      <c r="F450" s="1540">
        <f t="shared" si="37"/>
        <v>13000000</v>
      </c>
      <c r="G450" s="1540">
        <v>13000000</v>
      </c>
      <c r="H450" s="1540" t="s">
        <v>2741</v>
      </c>
      <c r="I450" s="24" t="s">
        <v>2544</v>
      </c>
      <c r="J450" s="1540">
        <f>G450</f>
        <v>13000000</v>
      </c>
      <c r="K450" s="1540">
        <f>F450-J450</f>
        <v>0</v>
      </c>
      <c r="L450" s="1594"/>
    </row>
    <row r="451" spans="1:12" ht="30" customHeight="1" x14ac:dyDescent="0.2">
      <c r="A451" s="1533">
        <v>308</v>
      </c>
      <c r="B451" s="1591" t="s">
        <v>158</v>
      </c>
      <c r="C451" s="1595" t="s">
        <v>1349</v>
      </c>
      <c r="D451" s="1565">
        <v>300000000</v>
      </c>
      <c r="E451" s="1593">
        <v>0.05</v>
      </c>
      <c r="F451" s="1565">
        <f t="shared" si="37"/>
        <v>15000000</v>
      </c>
      <c r="G451" s="2040">
        <v>30000000</v>
      </c>
      <c r="H451" s="2040" t="s">
        <v>3610</v>
      </c>
      <c r="I451" s="2168" t="s">
        <v>3614</v>
      </c>
      <c r="J451" s="2040">
        <f>G451</f>
        <v>30000000</v>
      </c>
      <c r="K451" s="2040">
        <f>(F451+F452)-J451</f>
        <v>-6000000</v>
      </c>
      <c r="L451" s="2212" t="s">
        <v>3653</v>
      </c>
    </row>
    <row r="452" spans="1:12" ht="30" customHeight="1" x14ac:dyDescent="0.2">
      <c r="A452" s="1596">
        <v>309</v>
      </c>
      <c r="B452" s="1591" t="s">
        <v>1998</v>
      </c>
      <c r="C452" s="1595" t="s">
        <v>380</v>
      </c>
      <c r="D452" s="1540">
        <v>180000000</v>
      </c>
      <c r="E452" s="1537">
        <v>0.05</v>
      </c>
      <c r="F452" s="1540">
        <f>D452*E452</f>
        <v>9000000</v>
      </c>
      <c r="G452" s="2042"/>
      <c r="H452" s="2042"/>
      <c r="I452" s="2169"/>
      <c r="J452" s="2042"/>
      <c r="K452" s="2042"/>
      <c r="L452" s="2213"/>
    </row>
    <row r="453" spans="1:12" ht="30" customHeight="1" x14ac:dyDescent="0.2">
      <c r="A453" s="1533">
        <v>310</v>
      </c>
      <c r="B453" s="1594" t="s">
        <v>160</v>
      </c>
      <c r="C453" s="1564" t="s">
        <v>401</v>
      </c>
      <c r="D453" s="1540">
        <v>100000000</v>
      </c>
      <c r="E453" s="1537">
        <v>0.05</v>
      </c>
      <c r="F453" s="1540">
        <f t="shared" ref="F453:F472" si="39">D453*E453</f>
        <v>5000000</v>
      </c>
      <c r="G453" s="1540">
        <v>5000000</v>
      </c>
      <c r="H453" s="1540" t="s">
        <v>3632</v>
      </c>
      <c r="I453" s="24" t="s">
        <v>3667</v>
      </c>
      <c r="J453" s="1540">
        <f>G453</f>
        <v>5000000</v>
      </c>
      <c r="K453" s="1540">
        <f t="shared" ref="K453:K462" si="40">F453-J453</f>
        <v>0</v>
      </c>
      <c r="L453" s="1594"/>
    </row>
    <row r="454" spans="1:12" ht="30" customHeight="1" x14ac:dyDescent="0.2">
      <c r="A454" s="2031">
        <v>311</v>
      </c>
      <c r="B454" s="2101" t="s">
        <v>161</v>
      </c>
      <c r="C454" s="2149" t="s">
        <v>916</v>
      </c>
      <c r="D454" s="1540">
        <v>55000000</v>
      </c>
      <c r="E454" s="1593">
        <v>0.05</v>
      </c>
      <c r="F454" s="1540">
        <f t="shared" si="39"/>
        <v>2750000</v>
      </c>
      <c r="G454" s="1540"/>
      <c r="H454" s="1540"/>
      <c r="I454" s="1567"/>
      <c r="J454" s="1540">
        <f>G454</f>
        <v>0</v>
      </c>
      <c r="K454" s="1540">
        <f t="shared" si="40"/>
        <v>2750000</v>
      </c>
      <c r="L454" s="169"/>
    </row>
    <row r="455" spans="1:12" ht="30" customHeight="1" x14ac:dyDescent="0.2">
      <c r="A455" s="2032"/>
      <c r="B455" s="2102"/>
      <c r="C455" s="2150"/>
      <c r="D455" s="1663">
        <v>85000000</v>
      </c>
      <c r="E455" s="1682">
        <v>0.05</v>
      </c>
      <c r="F455" s="1663">
        <f t="shared" si="39"/>
        <v>4250000</v>
      </c>
      <c r="G455" s="1947" t="s">
        <v>3599</v>
      </c>
      <c r="H455" s="1948"/>
      <c r="I455" s="1948"/>
      <c r="J455" s="1949"/>
      <c r="K455" s="1663"/>
      <c r="L455" s="169"/>
    </row>
    <row r="456" spans="1:12" ht="30" customHeight="1" x14ac:dyDescent="0.2">
      <c r="A456" s="1533">
        <v>312</v>
      </c>
      <c r="B456" s="1594" t="s">
        <v>162</v>
      </c>
      <c r="C456" s="1564"/>
      <c r="D456" s="1550"/>
      <c r="E456" s="44"/>
      <c r="F456" s="1550">
        <f t="shared" si="39"/>
        <v>0</v>
      </c>
      <c r="G456" s="1540"/>
      <c r="H456" s="1540"/>
      <c r="I456" s="24"/>
      <c r="J456" s="1540">
        <f>G456</f>
        <v>0</v>
      </c>
      <c r="K456" s="1550">
        <f t="shared" si="40"/>
        <v>0</v>
      </c>
      <c r="L456" s="1594"/>
    </row>
    <row r="457" spans="1:12" ht="30" customHeight="1" x14ac:dyDescent="0.2">
      <c r="A457" s="2031">
        <v>313</v>
      </c>
      <c r="B457" s="2029" t="s">
        <v>164</v>
      </c>
      <c r="C457" s="2149"/>
      <c r="D457" s="2040">
        <v>152000000</v>
      </c>
      <c r="E457" s="2037">
        <v>0.05</v>
      </c>
      <c r="F457" s="2040">
        <f>D457*E457</f>
        <v>7600000</v>
      </c>
      <c r="G457" s="1540">
        <v>5600000</v>
      </c>
      <c r="H457" s="1540" t="s">
        <v>3610</v>
      </c>
      <c r="I457" s="24" t="s">
        <v>3615</v>
      </c>
      <c r="J457" s="2040">
        <f>G457+G458</f>
        <v>7600000</v>
      </c>
      <c r="K457" s="2040">
        <f t="shared" si="40"/>
        <v>0</v>
      </c>
      <c r="L457" s="2101"/>
    </row>
    <row r="458" spans="1:12" ht="30" customHeight="1" x14ac:dyDescent="0.2">
      <c r="A458" s="2032"/>
      <c r="B458" s="2030"/>
      <c r="C458" s="2150"/>
      <c r="D458" s="2042"/>
      <c r="E458" s="2039"/>
      <c r="F458" s="2042"/>
      <c r="G458" s="1726">
        <v>2000000</v>
      </c>
      <c r="H458" s="1726" t="s">
        <v>3708</v>
      </c>
      <c r="I458" s="24" t="s">
        <v>3710</v>
      </c>
      <c r="J458" s="2042"/>
      <c r="K458" s="2042"/>
      <c r="L458" s="2102"/>
    </row>
    <row r="459" spans="1:12" ht="30" customHeight="1" x14ac:dyDescent="0.2">
      <c r="A459" s="1533">
        <v>314</v>
      </c>
      <c r="B459" s="1532" t="s">
        <v>165</v>
      </c>
      <c r="C459" s="1564"/>
      <c r="D459" s="1540">
        <v>20000000</v>
      </c>
      <c r="E459" s="1593">
        <v>0.04</v>
      </c>
      <c r="F459" s="1540">
        <f t="shared" si="39"/>
        <v>800000</v>
      </c>
      <c r="G459" s="1540"/>
      <c r="H459" s="1540"/>
      <c r="I459" s="24"/>
      <c r="J459" s="1540"/>
      <c r="K459" s="1540">
        <f t="shared" si="40"/>
        <v>800000</v>
      </c>
      <c r="L459" s="103" t="s">
        <v>749</v>
      </c>
    </row>
    <row r="460" spans="1:12" ht="30" customHeight="1" x14ac:dyDescent="0.2">
      <c r="A460" s="1533">
        <v>315</v>
      </c>
      <c r="B460" s="22" t="s">
        <v>166</v>
      </c>
      <c r="C460" s="1595" t="s">
        <v>1219</v>
      </c>
      <c r="D460" s="1565">
        <v>400000000</v>
      </c>
      <c r="E460" s="1593">
        <v>6.3E-2</v>
      </c>
      <c r="F460" s="1565">
        <v>25000000</v>
      </c>
      <c r="G460" s="1565">
        <v>25000000</v>
      </c>
      <c r="H460" s="1565" t="s">
        <v>3632</v>
      </c>
      <c r="I460" s="1590" t="s">
        <v>1923</v>
      </c>
      <c r="J460" s="1673">
        <f t="shared" ref="J460:J470" si="41">G460</f>
        <v>25000000</v>
      </c>
      <c r="K460" s="1565">
        <f t="shared" si="40"/>
        <v>0</v>
      </c>
      <c r="L460" s="1557"/>
    </row>
    <row r="461" spans="1:12" ht="30" customHeight="1" x14ac:dyDescent="0.2">
      <c r="A461" s="1596">
        <v>316</v>
      </c>
      <c r="B461" s="1532" t="s">
        <v>167</v>
      </c>
      <c r="C461" s="1564"/>
      <c r="D461" s="1540">
        <v>35000000</v>
      </c>
      <c r="E461" s="1537">
        <v>0.04</v>
      </c>
      <c r="F461" s="1540">
        <f>D461*E461</f>
        <v>1400000</v>
      </c>
      <c r="G461" s="1540">
        <v>1400000</v>
      </c>
      <c r="H461" s="1540" t="s">
        <v>3708</v>
      </c>
      <c r="I461" s="1568" t="s">
        <v>293</v>
      </c>
      <c r="J461" s="1540">
        <f t="shared" si="41"/>
        <v>1400000</v>
      </c>
      <c r="K461" s="1540">
        <f t="shared" si="40"/>
        <v>0</v>
      </c>
      <c r="L461" s="1594"/>
    </row>
    <row r="462" spans="1:12" ht="30" customHeight="1" x14ac:dyDescent="0.2">
      <c r="A462" s="2031">
        <v>317</v>
      </c>
      <c r="B462" s="2029" t="s">
        <v>168</v>
      </c>
      <c r="C462" s="1564" t="s">
        <v>367</v>
      </c>
      <c r="D462" s="1540">
        <v>100000000</v>
      </c>
      <c r="E462" s="1593">
        <v>0.05</v>
      </c>
      <c r="F462" s="1540">
        <f>D462*E462</f>
        <v>5000000</v>
      </c>
      <c r="G462" s="1540">
        <v>5000000</v>
      </c>
      <c r="H462" s="1540" t="s">
        <v>3733</v>
      </c>
      <c r="I462" s="24" t="s">
        <v>3734</v>
      </c>
      <c r="J462" s="1540">
        <f t="shared" si="41"/>
        <v>5000000</v>
      </c>
      <c r="K462" s="1540">
        <f t="shared" si="40"/>
        <v>0</v>
      </c>
      <c r="L462" s="103" t="s">
        <v>2850</v>
      </c>
    </row>
    <row r="463" spans="1:12" ht="30" customHeight="1" x14ac:dyDescent="0.2">
      <c r="A463" s="2034"/>
      <c r="B463" s="2033"/>
      <c r="C463" s="1564" t="s">
        <v>1342</v>
      </c>
      <c r="D463" s="1540">
        <v>210000000</v>
      </c>
      <c r="E463" s="1593">
        <v>0.05</v>
      </c>
      <c r="F463" s="1540">
        <f>D463*E463</f>
        <v>10500000</v>
      </c>
      <c r="G463" s="1810">
        <v>10000000</v>
      </c>
      <c r="H463" s="1810" t="s">
        <v>3811</v>
      </c>
      <c r="I463" s="24" t="s">
        <v>3140</v>
      </c>
      <c r="J463" s="2040">
        <f>G463+G464</f>
        <v>17000000</v>
      </c>
      <c r="K463" s="2040">
        <f>17000000-J463</f>
        <v>0</v>
      </c>
      <c r="L463" s="103" t="s">
        <v>2851</v>
      </c>
    </row>
    <row r="464" spans="1:12" ht="30" customHeight="1" x14ac:dyDescent="0.2">
      <c r="A464" s="2032"/>
      <c r="B464" s="2030"/>
      <c r="C464" s="1564"/>
      <c r="D464" s="1540"/>
      <c r="E464" s="1593"/>
      <c r="F464" s="1540"/>
      <c r="G464" s="1810">
        <v>7000000</v>
      </c>
      <c r="H464" s="1810" t="s">
        <v>3827</v>
      </c>
      <c r="I464" s="24" t="s">
        <v>3734</v>
      </c>
      <c r="J464" s="2042"/>
      <c r="K464" s="2042"/>
      <c r="L464" s="103" t="s">
        <v>3436</v>
      </c>
    </row>
    <row r="465" spans="1:12" ht="30" customHeight="1" x14ac:dyDescent="0.2">
      <c r="A465" s="1596">
        <v>318</v>
      </c>
      <c r="B465" s="1594" t="s">
        <v>170</v>
      </c>
      <c r="C465" s="1564"/>
      <c r="D465" s="1540">
        <v>80000000</v>
      </c>
      <c r="E465" s="1593">
        <v>0.05</v>
      </c>
      <c r="F465" s="1540">
        <f t="shared" si="39"/>
        <v>4000000</v>
      </c>
      <c r="G465" s="1540">
        <v>4000000</v>
      </c>
      <c r="H465" s="1540" t="s">
        <v>3696</v>
      </c>
      <c r="I465" s="21" t="s">
        <v>1931</v>
      </c>
      <c r="J465" s="1540">
        <f t="shared" si="41"/>
        <v>4000000</v>
      </c>
      <c r="K465" s="1540">
        <f>F465-J465</f>
        <v>0</v>
      </c>
      <c r="L465" s="1594"/>
    </row>
    <row r="466" spans="1:12" ht="30" customHeight="1" x14ac:dyDescent="0.2">
      <c r="A466" s="1596">
        <v>319</v>
      </c>
      <c r="B466" s="1594" t="s">
        <v>171</v>
      </c>
      <c r="C466" s="1564" t="s">
        <v>1342</v>
      </c>
      <c r="D466" s="1540">
        <v>200000000</v>
      </c>
      <c r="E466" s="1593">
        <v>5.5E-2</v>
      </c>
      <c r="F466" s="1540">
        <f t="shared" si="39"/>
        <v>11000000</v>
      </c>
      <c r="G466" s="1540">
        <v>11000000</v>
      </c>
      <c r="H466" s="1540" t="s">
        <v>3827</v>
      </c>
      <c r="I466" s="24" t="s">
        <v>3875</v>
      </c>
      <c r="J466" s="1540">
        <f t="shared" si="41"/>
        <v>11000000</v>
      </c>
      <c r="K466" s="1540">
        <f>F466-J466</f>
        <v>0</v>
      </c>
      <c r="L466" s="103"/>
    </row>
    <row r="467" spans="1:12" ht="30" customHeight="1" x14ac:dyDescent="0.2">
      <c r="A467" s="2031">
        <v>320</v>
      </c>
      <c r="B467" s="2029" t="s">
        <v>172</v>
      </c>
      <c r="C467" s="2149" t="s">
        <v>2413</v>
      </c>
      <c r="D467" s="1540">
        <v>135000000</v>
      </c>
      <c r="E467" s="1593">
        <v>0.06</v>
      </c>
      <c r="F467" s="1540">
        <v>8000000</v>
      </c>
      <c r="G467" s="2040">
        <v>9750000</v>
      </c>
      <c r="H467" s="2040" t="s">
        <v>3827</v>
      </c>
      <c r="I467" s="2128" t="s">
        <v>3829</v>
      </c>
      <c r="J467" s="2040">
        <f t="shared" si="41"/>
        <v>9750000</v>
      </c>
      <c r="K467" s="2040">
        <f>(F467+F468)-J467</f>
        <v>0</v>
      </c>
      <c r="L467" s="103"/>
    </row>
    <row r="468" spans="1:12" ht="30" customHeight="1" x14ac:dyDescent="0.2">
      <c r="A468" s="2032"/>
      <c r="B468" s="2030"/>
      <c r="C468" s="2150"/>
      <c r="D468" s="1663">
        <v>35000000</v>
      </c>
      <c r="E468" s="1682">
        <v>0.05</v>
      </c>
      <c r="F468" s="1663">
        <f>D468*E468</f>
        <v>1750000</v>
      </c>
      <c r="G468" s="2042"/>
      <c r="H468" s="2042"/>
      <c r="I468" s="2129"/>
      <c r="J468" s="2042"/>
      <c r="K468" s="2042"/>
      <c r="L468" s="103" t="s">
        <v>3605</v>
      </c>
    </row>
    <row r="469" spans="1:12" ht="30" customHeight="1" x14ac:dyDescent="0.2">
      <c r="A469" s="1596">
        <v>321</v>
      </c>
      <c r="B469" s="1594" t="s">
        <v>174</v>
      </c>
      <c r="C469" s="1564"/>
      <c r="D469" s="1540">
        <v>5000000</v>
      </c>
      <c r="E469" s="1593">
        <v>0.04</v>
      </c>
      <c r="F469" s="1540">
        <f t="shared" si="39"/>
        <v>200000</v>
      </c>
      <c r="G469" s="1540"/>
      <c r="H469" s="1540"/>
      <c r="I469" s="24"/>
      <c r="J469" s="1540">
        <f t="shared" si="41"/>
        <v>0</v>
      </c>
      <c r="K469" s="1540">
        <f>F469-J469</f>
        <v>200000</v>
      </c>
      <c r="L469" s="1594"/>
    </row>
    <row r="470" spans="1:12" ht="30" customHeight="1" x14ac:dyDescent="0.2">
      <c r="A470" s="2031">
        <v>322</v>
      </c>
      <c r="B470" s="2029" t="s">
        <v>1450</v>
      </c>
      <c r="C470" s="2149" t="s">
        <v>1112</v>
      </c>
      <c r="D470" s="1540">
        <v>10000000</v>
      </c>
      <c r="E470" s="1593">
        <v>0.05</v>
      </c>
      <c r="F470" s="1540">
        <f t="shared" si="39"/>
        <v>500000</v>
      </c>
      <c r="G470" s="1540">
        <v>500000</v>
      </c>
      <c r="H470" s="1540" t="s">
        <v>3581</v>
      </c>
      <c r="I470" s="1586" t="s">
        <v>1448</v>
      </c>
      <c r="J470" s="1540">
        <f t="shared" si="41"/>
        <v>500000</v>
      </c>
      <c r="K470" s="1540">
        <f>F470-J470</f>
        <v>0</v>
      </c>
      <c r="L470" s="1089" t="s">
        <v>3586</v>
      </c>
    </row>
    <row r="471" spans="1:12" ht="30" customHeight="1" x14ac:dyDescent="0.2">
      <c r="A471" s="2032"/>
      <c r="B471" s="2030"/>
      <c r="C471" s="2150"/>
      <c r="D471" s="1540">
        <v>10000000</v>
      </c>
      <c r="E471" s="1593">
        <v>0.05</v>
      </c>
      <c r="F471" s="1540">
        <f t="shared" si="39"/>
        <v>500000</v>
      </c>
      <c r="G471" s="1540"/>
      <c r="H471" s="1540"/>
      <c r="I471" s="1586"/>
      <c r="J471" s="1540"/>
      <c r="K471" s="1540"/>
      <c r="L471" s="1594"/>
    </row>
    <row r="472" spans="1:12" ht="30" customHeight="1" x14ac:dyDescent="0.2">
      <c r="A472" s="1596">
        <v>323</v>
      </c>
      <c r="B472" s="1594" t="s">
        <v>175</v>
      </c>
      <c r="C472" s="1564"/>
      <c r="D472" s="1540">
        <v>60000000</v>
      </c>
      <c r="E472" s="1593">
        <v>4.4999999999999998E-2</v>
      </c>
      <c r="F472" s="1540">
        <f t="shared" si="39"/>
        <v>2700000</v>
      </c>
      <c r="G472" s="1540"/>
      <c r="H472" s="1540"/>
      <c r="I472" s="1566"/>
      <c r="J472" s="1540">
        <f>G472</f>
        <v>0</v>
      </c>
      <c r="K472" s="1540">
        <f>F472-J472</f>
        <v>2700000</v>
      </c>
      <c r="L472" s="1594"/>
    </row>
    <row r="473" spans="1:12" ht="30" customHeight="1" x14ac:dyDescent="0.2">
      <c r="A473" s="1596">
        <v>324</v>
      </c>
      <c r="B473" s="1594" t="s">
        <v>176</v>
      </c>
      <c r="C473" s="1564" t="s">
        <v>916</v>
      </c>
      <c r="D473" s="1540">
        <v>20000000</v>
      </c>
      <c r="E473" s="1593">
        <v>0.05</v>
      </c>
      <c r="F473" s="1540">
        <f>D473*E473</f>
        <v>1000000</v>
      </c>
      <c r="G473" s="1540">
        <v>1000000</v>
      </c>
      <c r="H473" s="1540" t="s">
        <v>3696</v>
      </c>
      <c r="I473" s="24" t="s">
        <v>1843</v>
      </c>
      <c r="J473" s="1540">
        <f>G473</f>
        <v>1000000</v>
      </c>
      <c r="K473" s="1540">
        <f>F473-J473</f>
        <v>0</v>
      </c>
      <c r="L473" s="1594"/>
    </row>
    <row r="474" spans="1:12" ht="30" customHeight="1" x14ac:dyDescent="0.2">
      <c r="A474" s="2031">
        <v>325</v>
      </c>
      <c r="B474" s="2029" t="s">
        <v>273</v>
      </c>
      <c r="C474" s="2149"/>
      <c r="D474" s="1540">
        <v>300000000</v>
      </c>
      <c r="E474" s="1593">
        <v>0.1</v>
      </c>
      <c r="F474" s="1540">
        <v>30750000</v>
      </c>
      <c r="G474" s="2040">
        <v>40550000</v>
      </c>
      <c r="H474" s="2040" t="s">
        <v>3733</v>
      </c>
      <c r="I474" s="2128" t="s">
        <v>3071</v>
      </c>
      <c r="J474" s="2040">
        <f>G474</f>
        <v>40550000</v>
      </c>
      <c r="K474" s="2040">
        <f>(F474+F475)-J474</f>
        <v>0</v>
      </c>
      <c r="L474" s="2149"/>
    </row>
    <row r="475" spans="1:12" ht="30" customHeight="1" x14ac:dyDescent="0.2">
      <c r="A475" s="2032"/>
      <c r="B475" s="2030"/>
      <c r="C475" s="2150"/>
      <c r="D475" s="1540">
        <v>140000000</v>
      </c>
      <c r="E475" s="1593">
        <v>7.0000000000000007E-2</v>
      </c>
      <c r="F475" s="1540">
        <v>9800000</v>
      </c>
      <c r="G475" s="2042"/>
      <c r="H475" s="2042"/>
      <c r="I475" s="2129"/>
      <c r="J475" s="2042"/>
      <c r="K475" s="2042"/>
      <c r="L475" s="2150"/>
    </row>
    <row r="476" spans="1:12" ht="30" customHeight="1" x14ac:dyDescent="0.2">
      <c r="A476" s="2031">
        <v>326</v>
      </c>
      <c r="B476" s="2267" t="s">
        <v>179</v>
      </c>
      <c r="C476" s="2266"/>
      <c r="D476" s="2157">
        <v>500000000</v>
      </c>
      <c r="E476" s="2262">
        <v>0.05</v>
      </c>
      <c r="F476" s="2157">
        <f>D476*E476</f>
        <v>25000000</v>
      </c>
      <c r="G476" s="247"/>
      <c r="H476" s="247"/>
      <c r="I476" s="247"/>
      <c r="J476" s="247"/>
      <c r="K476" s="1565">
        <f>F476-J476</f>
        <v>25000000</v>
      </c>
      <c r="L476" s="2068" t="s">
        <v>3534</v>
      </c>
    </row>
    <row r="477" spans="1:12" ht="30" customHeight="1" x14ac:dyDescent="0.2">
      <c r="A477" s="2032"/>
      <c r="B477" s="2267"/>
      <c r="C477" s="2266"/>
      <c r="D477" s="2157"/>
      <c r="E477" s="2262"/>
      <c r="F477" s="2157"/>
      <c r="G477" s="247"/>
      <c r="H477" s="247"/>
      <c r="I477" s="247"/>
      <c r="J477" s="247"/>
      <c r="K477" s="1540"/>
      <c r="L477" s="2069"/>
    </row>
    <row r="478" spans="1:12" ht="30" customHeight="1" x14ac:dyDescent="0.2">
      <c r="A478" s="1596">
        <v>327</v>
      </c>
      <c r="B478" s="1624" t="s">
        <v>1280</v>
      </c>
      <c r="C478" s="1004"/>
      <c r="D478" s="1005">
        <v>60000000</v>
      </c>
      <c r="E478" s="1625">
        <v>0.05</v>
      </c>
      <c r="F478" s="1005">
        <f t="shared" ref="F478:F483" si="42">D478*E478</f>
        <v>3000000</v>
      </c>
      <c r="G478" s="1005"/>
      <c r="H478" s="1005"/>
      <c r="I478" s="1008"/>
      <c r="J478" s="1005">
        <f>G478</f>
        <v>0</v>
      </c>
      <c r="K478" s="1005">
        <f>F478-J478</f>
        <v>3000000</v>
      </c>
      <c r="L478" s="103"/>
    </row>
    <row r="479" spans="1:12" ht="30" customHeight="1" x14ac:dyDescent="0.2">
      <c r="A479" s="2031">
        <v>328</v>
      </c>
      <c r="B479" s="2029" t="s">
        <v>2817</v>
      </c>
      <c r="C479" s="2149" t="s">
        <v>971</v>
      </c>
      <c r="D479" s="1673">
        <v>745000000</v>
      </c>
      <c r="E479" s="1682">
        <v>0.06</v>
      </c>
      <c r="F479" s="1673">
        <f>D479*E479</f>
        <v>44700000</v>
      </c>
      <c r="G479" s="1637">
        <v>44700000</v>
      </c>
      <c r="H479" s="1637" t="s">
        <v>3564</v>
      </c>
      <c r="I479" s="24" t="s">
        <v>1506</v>
      </c>
      <c r="J479" s="1637">
        <f>G479</f>
        <v>44700000</v>
      </c>
      <c r="K479" s="1540">
        <f>F479-J479</f>
        <v>0</v>
      </c>
      <c r="L479" s="103"/>
    </row>
    <row r="480" spans="1:12" ht="30" customHeight="1" x14ac:dyDescent="0.2">
      <c r="A480" s="2034"/>
      <c r="B480" s="2033"/>
      <c r="C480" s="2158"/>
      <c r="D480" s="2097" t="s">
        <v>3591</v>
      </c>
      <c r="E480" s="2195"/>
      <c r="F480" s="2098"/>
      <c r="G480" s="1540">
        <v>50000000</v>
      </c>
      <c r="H480" s="1540" t="s">
        <v>3574</v>
      </c>
      <c r="I480" s="24" t="s">
        <v>1506</v>
      </c>
      <c r="J480" s="2040">
        <f>G480+G481</f>
        <v>60000000</v>
      </c>
      <c r="K480" s="2040">
        <f>60000000-J480</f>
        <v>0</v>
      </c>
      <c r="L480" s="2043" t="s">
        <v>3575</v>
      </c>
    </row>
    <row r="481" spans="1:12" ht="30" customHeight="1" x14ac:dyDescent="0.2">
      <c r="A481" s="2032"/>
      <c r="B481" s="2030"/>
      <c r="C481" s="2150"/>
      <c r="D481" s="2099"/>
      <c r="E481" s="2196"/>
      <c r="F481" s="2100"/>
      <c r="G481" s="1663">
        <v>10000000</v>
      </c>
      <c r="H481" s="1663" t="s">
        <v>3587</v>
      </c>
      <c r="I481" s="24" t="s">
        <v>3590</v>
      </c>
      <c r="J481" s="2042"/>
      <c r="K481" s="2042"/>
      <c r="L481" s="2045"/>
    </row>
    <row r="482" spans="1:12" ht="30" customHeight="1" x14ac:dyDescent="0.2">
      <c r="A482" s="1658"/>
      <c r="B482" s="1655" t="s">
        <v>2817</v>
      </c>
      <c r="C482" s="1672" t="s">
        <v>971</v>
      </c>
      <c r="D482" s="1673">
        <v>685000000</v>
      </c>
      <c r="E482" s="1682">
        <v>0.06</v>
      </c>
      <c r="F482" s="1673">
        <f>D482*E482</f>
        <v>41100000</v>
      </c>
      <c r="G482" s="2154" t="s">
        <v>3592</v>
      </c>
      <c r="H482" s="2155"/>
      <c r="I482" s="2155"/>
      <c r="J482" s="2156"/>
      <c r="K482" s="1663"/>
      <c r="L482" s="1664"/>
    </row>
    <row r="483" spans="1:12" ht="30" customHeight="1" x14ac:dyDescent="0.2">
      <c r="A483" s="1533">
        <v>329</v>
      </c>
      <c r="B483" s="1591" t="s">
        <v>184</v>
      </c>
      <c r="C483" s="421"/>
      <c r="D483" s="1554"/>
      <c r="E483" s="44"/>
      <c r="F483" s="1554">
        <f t="shared" si="42"/>
        <v>0</v>
      </c>
      <c r="G483" s="1565"/>
      <c r="H483" s="1565"/>
      <c r="I483" s="1590"/>
      <c r="J483" s="1565"/>
      <c r="K483" s="1554">
        <f>F483-J483</f>
        <v>0</v>
      </c>
      <c r="L483" s="1557"/>
    </row>
    <row r="484" spans="1:12" ht="30" customHeight="1" x14ac:dyDescent="0.2">
      <c r="A484" s="1596">
        <v>330</v>
      </c>
      <c r="B484" s="1594" t="s">
        <v>1211</v>
      </c>
      <c r="C484" s="1564" t="s">
        <v>1175</v>
      </c>
      <c r="D484" s="1540">
        <v>30000000</v>
      </c>
      <c r="E484" s="1537">
        <f>F484/D484</f>
        <v>0.05</v>
      </c>
      <c r="F484" s="1540">
        <v>1500000</v>
      </c>
      <c r="G484" s="1540"/>
      <c r="H484" s="1540"/>
      <c r="I484" s="24"/>
      <c r="J484" s="1540">
        <f>G484</f>
        <v>0</v>
      </c>
      <c r="K484" s="1540">
        <f>F484-J484</f>
        <v>1500000</v>
      </c>
      <c r="L484" s="1594"/>
    </row>
    <row r="485" spans="1:12" ht="30" customHeight="1" x14ac:dyDescent="0.2">
      <c r="A485" s="426">
        <v>331</v>
      </c>
      <c r="B485" s="1594" t="s">
        <v>345</v>
      </c>
      <c r="C485" s="1595" t="s">
        <v>379</v>
      </c>
      <c r="D485" s="1565">
        <v>290000000</v>
      </c>
      <c r="E485" s="1593">
        <v>0.06</v>
      </c>
      <c r="F485" s="1565">
        <f t="shared" ref="F485" si="43">D485*E485</f>
        <v>17400000</v>
      </c>
      <c r="G485" s="1736">
        <v>17400000</v>
      </c>
      <c r="H485" s="1736" t="s">
        <v>3708</v>
      </c>
      <c r="I485" s="1736" t="s">
        <v>2956</v>
      </c>
      <c r="J485" s="1736">
        <f>G485</f>
        <v>17400000</v>
      </c>
      <c r="K485" s="1565">
        <f>F485-J485</f>
        <v>0</v>
      </c>
      <c r="L485" s="103" t="s">
        <v>2954</v>
      </c>
    </row>
    <row r="486" spans="1:12" ht="30" customHeight="1" x14ac:dyDescent="0.2">
      <c r="A486" s="1596">
        <v>332</v>
      </c>
      <c r="B486" s="1532" t="s">
        <v>378</v>
      </c>
      <c r="C486" s="1564" t="s">
        <v>379</v>
      </c>
      <c r="D486" s="1540">
        <v>30000000</v>
      </c>
      <c r="E486" s="1537">
        <v>0.05</v>
      </c>
      <c r="F486" s="1540">
        <f t="shared" ref="F486:F491" si="44">D486*E486</f>
        <v>1500000</v>
      </c>
      <c r="G486" s="1540">
        <v>1500000</v>
      </c>
      <c r="H486" s="1540" t="s">
        <v>3708</v>
      </c>
      <c r="I486" s="24" t="s">
        <v>3725</v>
      </c>
      <c r="J486" s="1539">
        <f>G486</f>
        <v>1500000</v>
      </c>
      <c r="K486" s="1539">
        <f>F486-J486</f>
        <v>0</v>
      </c>
      <c r="L486" s="1594"/>
    </row>
    <row r="487" spans="1:12" ht="30" customHeight="1" x14ac:dyDescent="0.2">
      <c r="A487" s="2031">
        <v>333</v>
      </c>
      <c r="B487" s="2029" t="s">
        <v>915</v>
      </c>
      <c r="C487" s="1564" t="s">
        <v>916</v>
      </c>
      <c r="D487" s="1540">
        <v>320000000</v>
      </c>
      <c r="E487" s="1593">
        <v>0.05</v>
      </c>
      <c r="F487" s="1540">
        <f t="shared" si="44"/>
        <v>16000000</v>
      </c>
      <c r="G487" s="2040">
        <v>21000000</v>
      </c>
      <c r="H487" s="2040" t="s">
        <v>3646</v>
      </c>
      <c r="I487" s="2128" t="s">
        <v>3650</v>
      </c>
      <c r="J487" s="2157">
        <f>G487</f>
        <v>21000000</v>
      </c>
      <c r="K487" s="2157">
        <f>(F487+F488)-J487</f>
        <v>0</v>
      </c>
      <c r="L487" s="2212" t="s">
        <v>3651</v>
      </c>
    </row>
    <row r="488" spans="1:12" ht="30" customHeight="1" x14ac:dyDescent="0.2">
      <c r="A488" s="2032"/>
      <c r="B488" s="2030"/>
      <c r="C488" s="1564" t="s">
        <v>917</v>
      </c>
      <c r="D488" s="1540">
        <v>100000000</v>
      </c>
      <c r="E488" s="1593">
        <v>0.05</v>
      </c>
      <c r="F488" s="1540">
        <f t="shared" si="44"/>
        <v>5000000</v>
      </c>
      <c r="G488" s="2042"/>
      <c r="H488" s="2042"/>
      <c r="I488" s="2129"/>
      <c r="J488" s="2157"/>
      <c r="K488" s="2157"/>
      <c r="L488" s="2213"/>
    </row>
    <row r="489" spans="1:12" ht="30" customHeight="1" x14ac:dyDescent="0.2">
      <c r="A489" s="1596">
        <v>334</v>
      </c>
      <c r="B489" s="1532" t="s">
        <v>1312</v>
      </c>
      <c r="C489" s="1564" t="s">
        <v>916</v>
      </c>
      <c r="D489" s="1540">
        <v>100000000</v>
      </c>
      <c r="E489" s="1593">
        <v>0.05</v>
      </c>
      <c r="F489" s="1540">
        <f t="shared" si="44"/>
        <v>5000000</v>
      </c>
      <c r="G489" s="1540"/>
      <c r="H489" s="1540"/>
      <c r="I489" s="24"/>
      <c r="J489" s="1540">
        <f>G489</f>
        <v>0</v>
      </c>
      <c r="K489" s="1540">
        <f>F489-J489</f>
        <v>5000000</v>
      </c>
      <c r="L489" s="1594"/>
    </row>
    <row r="490" spans="1:12" ht="30" customHeight="1" x14ac:dyDescent="0.2">
      <c r="A490" s="2031">
        <v>335</v>
      </c>
      <c r="B490" s="2029" t="s">
        <v>1328</v>
      </c>
      <c r="C490" s="2149" t="s">
        <v>916</v>
      </c>
      <c r="D490" s="1540">
        <v>10000000</v>
      </c>
      <c r="E490" s="1593">
        <v>0.05</v>
      </c>
      <c r="F490" s="1540">
        <f t="shared" si="44"/>
        <v>500000</v>
      </c>
      <c r="G490" s="1540">
        <v>500000</v>
      </c>
      <c r="H490" s="1540" t="s">
        <v>3508</v>
      </c>
      <c r="I490" s="24" t="s">
        <v>3557</v>
      </c>
      <c r="J490" s="1540">
        <f>G490</f>
        <v>500000</v>
      </c>
      <c r="K490" s="1540">
        <f>F490-J490</f>
        <v>0</v>
      </c>
      <c r="L490" s="1594"/>
    </row>
    <row r="491" spans="1:12" ht="30" customHeight="1" x14ac:dyDescent="0.2">
      <c r="A491" s="2032"/>
      <c r="B491" s="2030"/>
      <c r="C491" s="2150"/>
      <c r="D491" s="1540">
        <v>15000000</v>
      </c>
      <c r="E491" s="1593">
        <v>0.05</v>
      </c>
      <c r="F491" s="1540">
        <f t="shared" si="44"/>
        <v>750000</v>
      </c>
      <c r="G491" s="2274" t="s">
        <v>3535</v>
      </c>
      <c r="H491" s="2275"/>
      <c r="I491" s="2275"/>
      <c r="J491" s="2276"/>
      <c r="K491" s="1540"/>
      <c r="L491" s="1594"/>
    </row>
    <row r="492" spans="1:12" ht="30" customHeight="1" x14ac:dyDescent="0.2">
      <c r="A492" s="1596">
        <v>336</v>
      </c>
      <c r="B492" s="1532" t="s">
        <v>2718</v>
      </c>
      <c r="C492" s="1564" t="s">
        <v>916</v>
      </c>
      <c r="D492" s="1540">
        <v>210000000</v>
      </c>
      <c r="E492" s="1593">
        <v>0.05</v>
      </c>
      <c r="F492" s="1540">
        <f>D492*E492</f>
        <v>10500000</v>
      </c>
      <c r="G492" s="1540">
        <v>10500000</v>
      </c>
      <c r="H492" s="1540" t="s">
        <v>3508</v>
      </c>
      <c r="I492" s="24" t="s">
        <v>3555</v>
      </c>
      <c r="J492" s="1540">
        <f>G492</f>
        <v>10500000</v>
      </c>
      <c r="K492" s="1540">
        <f>F492-J492</f>
        <v>0</v>
      </c>
      <c r="L492" s="1594"/>
    </row>
    <row r="493" spans="1:12" ht="30" customHeight="1" x14ac:dyDescent="0.2">
      <c r="A493" s="1596">
        <v>337</v>
      </c>
      <c r="B493" s="1532" t="s">
        <v>1376</v>
      </c>
      <c r="C493" s="1564" t="s">
        <v>916</v>
      </c>
      <c r="D493" s="1540">
        <v>80000000</v>
      </c>
      <c r="E493" s="1593">
        <v>7.0000000000000007E-2</v>
      </c>
      <c r="F493" s="1540">
        <f t="shared" ref="F493:F515" si="45">D493*E493</f>
        <v>5600000.0000000009</v>
      </c>
      <c r="G493" s="1540">
        <v>5600000</v>
      </c>
      <c r="H493" s="1540" t="s">
        <v>3587</v>
      </c>
      <c r="I493" s="24" t="s">
        <v>3596</v>
      </c>
      <c r="J493" s="1540">
        <f>G493</f>
        <v>5600000</v>
      </c>
      <c r="K493" s="1540">
        <f>G493-J493</f>
        <v>0</v>
      </c>
      <c r="L493" s="1594"/>
    </row>
    <row r="494" spans="1:12" ht="30" customHeight="1" x14ac:dyDescent="0.2">
      <c r="A494" s="2031">
        <v>338</v>
      </c>
      <c r="B494" s="2070" t="s">
        <v>1780</v>
      </c>
      <c r="C494" s="2180" t="s">
        <v>916</v>
      </c>
      <c r="D494" s="1544">
        <v>235500000</v>
      </c>
      <c r="E494" s="1593">
        <v>0.05</v>
      </c>
      <c r="F494" s="1540">
        <f t="shared" si="45"/>
        <v>11775000</v>
      </c>
      <c r="G494" s="2040">
        <v>40265000</v>
      </c>
      <c r="H494" s="2040" t="s">
        <v>3632</v>
      </c>
      <c r="I494" s="2040" t="s">
        <v>3672</v>
      </c>
      <c r="J494" s="2040">
        <f>G494</f>
        <v>40265000</v>
      </c>
      <c r="K494" s="2040">
        <f>F502-J494</f>
        <v>0</v>
      </c>
      <c r="L494" s="2188" t="s">
        <v>3483</v>
      </c>
    </row>
    <row r="495" spans="1:12" ht="30" customHeight="1" x14ac:dyDescent="0.2">
      <c r="A495" s="2034"/>
      <c r="B495" s="2303"/>
      <c r="C495" s="2302"/>
      <c r="D495" s="1540">
        <v>300000000</v>
      </c>
      <c r="E495" s="1593">
        <v>7.0000000000000007E-2</v>
      </c>
      <c r="F495" s="1540">
        <f t="shared" si="45"/>
        <v>21000000.000000004</v>
      </c>
      <c r="G495" s="2041"/>
      <c r="H495" s="2041"/>
      <c r="I495" s="2041"/>
      <c r="J495" s="2041"/>
      <c r="K495" s="2041"/>
      <c r="L495" s="2189"/>
    </row>
    <row r="496" spans="1:12" ht="30" customHeight="1" x14ac:dyDescent="0.2">
      <c r="A496" s="2034"/>
      <c r="B496" s="2303"/>
      <c r="C496" s="2302"/>
      <c r="D496" s="1540">
        <v>30000000</v>
      </c>
      <c r="E496" s="1593">
        <v>7.0000000000000007E-2</v>
      </c>
      <c r="F496" s="1540">
        <f t="shared" si="45"/>
        <v>2100000</v>
      </c>
      <c r="G496" s="2041"/>
      <c r="H496" s="2041"/>
      <c r="I496" s="2041"/>
      <c r="J496" s="2041"/>
      <c r="K496" s="2041"/>
      <c r="L496" s="2189"/>
    </row>
    <row r="497" spans="1:12" ht="30" customHeight="1" x14ac:dyDescent="0.2">
      <c r="A497" s="2034"/>
      <c r="B497" s="2303"/>
      <c r="C497" s="2302"/>
      <c r="D497" s="1565">
        <v>20000000</v>
      </c>
      <c r="E497" s="1536">
        <v>7.0000000000000007E-2</v>
      </c>
      <c r="F497" s="1565">
        <f>D497*E497</f>
        <v>1400000.0000000002</v>
      </c>
      <c r="G497" s="2041"/>
      <c r="H497" s="2041"/>
      <c r="I497" s="2041"/>
      <c r="J497" s="2041"/>
      <c r="K497" s="2041"/>
      <c r="L497" s="2189"/>
    </row>
    <row r="498" spans="1:12" ht="30" customHeight="1" x14ac:dyDescent="0.2">
      <c r="A498" s="2034"/>
      <c r="B498" s="2303"/>
      <c r="C498" s="2302"/>
      <c r="D498" s="1565">
        <v>12000000</v>
      </c>
      <c r="E498" s="1536">
        <v>7.0000000000000007E-2</v>
      </c>
      <c r="F498" s="1565">
        <f>D498*E498</f>
        <v>840000.00000000012</v>
      </c>
      <c r="G498" s="2041"/>
      <c r="H498" s="2041"/>
      <c r="I498" s="2041"/>
      <c r="J498" s="2041"/>
      <c r="K498" s="2041"/>
      <c r="L498" s="2189"/>
    </row>
    <row r="499" spans="1:12" ht="30" customHeight="1" x14ac:dyDescent="0.2">
      <c r="A499" s="2034"/>
      <c r="B499" s="2303"/>
      <c r="C499" s="2302"/>
      <c r="D499" s="1529">
        <f>SUM(D495:D498)</f>
        <v>362000000</v>
      </c>
      <c r="E499" s="1536">
        <v>7.0000000000000007E-2</v>
      </c>
      <c r="F499" s="1565">
        <f>D499*E499</f>
        <v>25340000.000000004</v>
      </c>
      <c r="G499" s="2041"/>
      <c r="H499" s="2041"/>
      <c r="I499" s="2041"/>
      <c r="J499" s="2041"/>
      <c r="K499" s="2041"/>
      <c r="L499" s="2189"/>
    </row>
    <row r="500" spans="1:12" ht="30" customHeight="1" x14ac:dyDescent="0.2">
      <c r="A500" s="2034"/>
      <c r="B500" s="2303"/>
      <c r="C500" s="2302"/>
      <c r="D500" s="1989">
        <f>D494+D499</f>
        <v>597500000</v>
      </c>
      <c r="E500" s="2304"/>
      <c r="F500" s="1529">
        <f>F494+F499</f>
        <v>37115000</v>
      </c>
      <c r="G500" s="2041"/>
      <c r="H500" s="2041"/>
      <c r="I500" s="2041"/>
      <c r="J500" s="2041"/>
      <c r="K500" s="2041"/>
      <c r="L500" s="2189"/>
    </row>
    <row r="501" spans="1:12" ht="30" customHeight="1" x14ac:dyDescent="0.2">
      <c r="A501" s="2034"/>
      <c r="B501" s="2303"/>
      <c r="C501" s="2302"/>
      <c r="D501" s="1529">
        <v>45000000</v>
      </c>
      <c r="E501" s="1543">
        <v>7.0000000000000007E-2</v>
      </c>
      <c r="F501" s="1529">
        <f>D501*E501</f>
        <v>3150000.0000000005</v>
      </c>
      <c r="G501" s="2042"/>
      <c r="H501" s="2042"/>
      <c r="I501" s="2042"/>
      <c r="J501" s="2042"/>
      <c r="K501" s="2042"/>
      <c r="L501" s="2189"/>
    </row>
    <row r="502" spans="1:12" ht="30" customHeight="1" x14ac:dyDescent="0.2">
      <c r="A502" s="2032"/>
      <c r="B502" s="2071"/>
      <c r="C502" s="2181"/>
      <c r="D502" s="1989">
        <f>D500+D501</f>
        <v>642500000</v>
      </c>
      <c r="E502" s="2304"/>
      <c r="F502" s="1529">
        <f>F500+F501</f>
        <v>40265000</v>
      </c>
      <c r="G502" s="1989" t="s">
        <v>3459</v>
      </c>
      <c r="H502" s="1990"/>
      <c r="I502" s="1990"/>
      <c r="J502" s="1990"/>
      <c r="K502" s="2304"/>
      <c r="L502" s="2190"/>
    </row>
    <row r="503" spans="1:12" ht="30" customHeight="1" x14ac:dyDescent="0.2">
      <c r="A503" s="2031"/>
      <c r="B503" s="2029" t="s">
        <v>1780</v>
      </c>
      <c r="C503" s="2149" t="s">
        <v>916</v>
      </c>
      <c r="D503" s="1927">
        <v>235500000</v>
      </c>
      <c r="E503" s="1925">
        <v>0.05</v>
      </c>
      <c r="F503" s="1920">
        <f t="shared" ref="F503:F505" si="46">D503*E503</f>
        <v>11775000</v>
      </c>
      <c r="G503" s="1911"/>
      <c r="H503" s="1912"/>
      <c r="I503" s="1912"/>
      <c r="J503" s="1912"/>
      <c r="K503" s="1688"/>
      <c r="L503" s="1926"/>
    </row>
    <row r="504" spans="1:12" ht="30" customHeight="1" x14ac:dyDescent="0.2">
      <c r="A504" s="2034"/>
      <c r="B504" s="2033"/>
      <c r="C504" s="2158"/>
      <c r="D504" s="1920">
        <v>300000000</v>
      </c>
      <c r="E504" s="1925">
        <v>7.0000000000000007E-2</v>
      </c>
      <c r="F504" s="1920">
        <f t="shared" si="46"/>
        <v>21000000.000000004</v>
      </c>
      <c r="G504" s="1911"/>
      <c r="H504" s="1912"/>
      <c r="I504" s="1912"/>
      <c r="J504" s="1912"/>
      <c r="K504" s="1688"/>
      <c r="L504" s="1926"/>
    </row>
    <row r="505" spans="1:12" ht="30" customHeight="1" x14ac:dyDescent="0.2">
      <c r="A505" s="2034"/>
      <c r="B505" s="2033"/>
      <c r="C505" s="2158"/>
      <c r="D505" s="1920">
        <v>30000000</v>
      </c>
      <c r="E505" s="1925">
        <v>7.0000000000000007E-2</v>
      </c>
      <c r="F505" s="1920">
        <f t="shared" si="46"/>
        <v>2100000</v>
      </c>
      <c r="G505" s="1911"/>
      <c r="H505" s="1912"/>
      <c r="I505" s="1912"/>
      <c r="J505" s="1912"/>
      <c r="K505" s="1688"/>
      <c r="L505" s="1926"/>
    </row>
    <row r="506" spans="1:12" ht="30" customHeight="1" x14ac:dyDescent="0.2">
      <c r="A506" s="2034"/>
      <c r="B506" s="2033"/>
      <c r="C506" s="2158"/>
      <c r="D506" s="1924">
        <v>20000000</v>
      </c>
      <c r="E506" s="1918">
        <v>7.0000000000000007E-2</v>
      </c>
      <c r="F506" s="1924">
        <f>D506*E506</f>
        <v>1400000.0000000002</v>
      </c>
      <c r="G506" s="1911"/>
      <c r="H506" s="1912"/>
      <c r="I506" s="1912"/>
      <c r="J506" s="1912"/>
      <c r="K506" s="1688"/>
      <c r="L506" s="1926"/>
    </row>
    <row r="507" spans="1:12" ht="30" customHeight="1" x14ac:dyDescent="0.2">
      <c r="A507" s="2034"/>
      <c r="B507" s="2033"/>
      <c r="C507" s="2158"/>
      <c r="D507" s="1924">
        <v>12000000</v>
      </c>
      <c r="E507" s="1918">
        <v>7.0000000000000007E-2</v>
      </c>
      <c r="F507" s="1924">
        <f>D507*E507</f>
        <v>840000.00000000012</v>
      </c>
      <c r="G507" s="1911"/>
      <c r="H507" s="1912"/>
      <c r="I507" s="1912"/>
      <c r="J507" s="1912"/>
      <c r="K507" s="1688"/>
      <c r="L507" s="1926"/>
    </row>
    <row r="508" spans="1:12" ht="30" customHeight="1" x14ac:dyDescent="0.2">
      <c r="A508" s="2034"/>
      <c r="B508" s="2033"/>
      <c r="C508" s="2158"/>
      <c r="D508" s="2489">
        <f>SUM(D504:D507)</f>
        <v>362000000</v>
      </c>
      <c r="E508" s="1918">
        <v>7.0000000000000007E-2</v>
      </c>
      <c r="F508" s="1924">
        <f>D508*E508</f>
        <v>25340000.000000004</v>
      </c>
      <c r="G508" s="1911"/>
      <c r="H508" s="1912"/>
      <c r="I508" s="1912"/>
      <c r="J508" s="1912"/>
      <c r="K508" s="1688"/>
      <c r="L508" s="1926"/>
    </row>
    <row r="509" spans="1:12" ht="30" customHeight="1" x14ac:dyDescent="0.2">
      <c r="A509" s="2034"/>
      <c r="B509" s="2033"/>
      <c r="C509" s="2158"/>
      <c r="D509" s="2457">
        <f>D503+D508</f>
        <v>597500000</v>
      </c>
      <c r="E509" s="2458"/>
      <c r="F509" s="2489">
        <f>F503+F508</f>
        <v>37115000</v>
      </c>
      <c r="G509" s="1911"/>
      <c r="H509" s="1912"/>
      <c r="I509" s="1912"/>
      <c r="J509" s="1912"/>
      <c r="K509" s="1688"/>
      <c r="L509" s="1926"/>
    </row>
    <row r="510" spans="1:12" ht="30" customHeight="1" x14ac:dyDescent="0.2">
      <c r="A510" s="2034"/>
      <c r="B510" s="2033"/>
      <c r="C510" s="2158"/>
      <c r="D510" s="2489">
        <v>45000000</v>
      </c>
      <c r="E510" s="1928">
        <v>7.0000000000000007E-2</v>
      </c>
      <c r="F510" s="2489">
        <f>D510*E510</f>
        <v>3150000.0000000005</v>
      </c>
      <c r="G510" s="1911"/>
      <c r="H510" s="1912"/>
      <c r="I510" s="1912"/>
      <c r="J510" s="1912"/>
      <c r="K510" s="1688"/>
      <c r="L510" s="1926"/>
    </row>
    <row r="511" spans="1:12" ht="30" customHeight="1" x14ac:dyDescent="0.2">
      <c r="A511" s="2034"/>
      <c r="B511" s="2033"/>
      <c r="C511" s="2158"/>
      <c r="D511" s="2489">
        <v>100000000</v>
      </c>
      <c r="E511" s="1928">
        <v>7.0000000000000007E-2</v>
      </c>
      <c r="F511" s="2489">
        <f>D511*E511</f>
        <v>7000000.0000000009</v>
      </c>
      <c r="G511" s="2154" t="s">
        <v>3946</v>
      </c>
      <c r="H511" s="2155"/>
      <c r="I511" s="2155"/>
      <c r="J511" s="2155"/>
      <c r="K511" s="2156"/>
      <c r="L511" s="1926"/>
    </row>
    <row r="512" spans="1:12" ht="30" customHeight="1" x14ac:dyDescent="0.2">
      <c r="A512" s="2034"/>
      <c r="B512" s="2033"/>
      <c r="C512" s="2158"/>
      <c r="D512" s="2489">
        <v>80000000</v>
      </c>
      <c r="E512" s="1928">
        <v>7.0000000000000007E-2</v>
      </c>
      <c r="F512" s="2489">
        <f t="shared" ref="F512:F513" si="47">D512*E512</f>
        <v>5600000.0000000009</v>
      </c>
      <c r="G512" s="2154" t="s">
        <v>3947</v>
      </c>
      <c r="H512" s="2155"/>
      <c r="I512" s="2155"/>
      <c r="J512" s="2155"/>
      <c r="K512" s="2156"/>
      <c r="L512" s="1926"/>
    </row>
    <row r="513" spans="1:17" ht="30" customHeight="1" x14ac:dyDescent="0.2">
      <c r="A513" s="2034"/>
      <c r="B513" s="2033"/>
      <c r="C513" s="2158"/>
      <c r="D513" s="2489">
        <v>55000000</v>
      </c>
      <c r="E513" s="1928">
        <v>7.0000000000000007E-2</v>
      </c>
      <c r="F513" s="2489">
        <f t="shared" si="47"/>
        <v>3850000.0000000005</v>
      </c>
      <c r="G513" s="2154" t="s">
        <v>3948</v>
      </c>
      <c r="H513" s="2155"/>
      <c r="I513" s="2155"/>
      <c r="J513" s="2155"/>
      <c r="K513" s="2156"/>
      <c r="L513" s="1926"/>
    </row>
    <row r="514" spans="1:17" ht="30" customHeight="1" x14ac:dyDescent="0.2">
      <c r="A514" s="2032"/>
      <c r="B514" s="2030"/>
      <c r="C514" s="2150"/>
      <c r="D514" s="2457">
        <f>D509+D510+D511+D512+D513</f>
        <v>877500000</v>
      </c>
      <c r="E514" s="2458"/>
      <c r="F514" s="2489">
        <f>F509+F510+F511+F512+F513</f>
        <v>56715000</v>
      </c>
      <c r="G514" s="2490" t="s">
        <v>3824</v>
      </c>
      <c r="H514" s="2491"/>
      <c r="I514" s="2491"/>
      <c r="J514" s="2491"/>
      <c r="K514" s="2492"/>
      <c r="L514" s="1926"/>
    </row>
    <row r="515" spans="1:17" ht="30" customHeight="1" x14ac:dyDescent="0.2">
      <c r="A515" s="1088">
        <v>339</v>
      </c>
      <c r="B515" s="1592" t="s">
        <v>173</v>
      </c>
      <c r="C515" s="1564" t="s">
        <v>1378</v>
      </c>
      <c r="D515" s="1565">
        <v>200000000</v>
      </c>
      <c r="E515" s="1593">
        <v>7.0000000000000007E-2</v>
      </c>
      <c r="F515" s="1565">
        <f t="shared" si="45"/>
        <v>14000000.000000002</v>
      </c>
      <c r="G515" s="247"/>
      <c r="H515" s="247"/>
      <c r="I515" s="1460"/>
      <c r="J515" s="247"/>
      <c r="K515" s="430"/>
      <c r="L515" s="428"/>
      <c r="M515" s="429"/>
      <c r="N515" s="429"/>
      <c r="O515" s="429"/>
      <c r="P515" s="429"/>
      <c r="Q515" s="429"/>
    </row>
    <row r="516" spans="1:17" ht="30" customHeight="1" x14ac:dyDescent="0.2">
      <c r="A516" s="1088">
        <v>340</v>
      </c>
      <c r="B516" s="22" t="s">
        <v>68</v>
      </c>
      <c r="C516" s="421" t="s">
        <v>1175</v>
      </c>
      <c r="D516" s="1540">
        <v>60000000</v>
      </c>
      <c r="E516" s="1593">
        <v>0.05</v>
      </c>
      <c r="F516" s="1540">
        <f>D516*E516</f>
        <v>3000000</v>
      </c>
      <c r="G516" s="1565"/>
      <c r="H516" s="1565"/>
      <c r="I516" s="1590"/>
      <c r="J516" s="1565">
        <f t="shared" ref="J516:J524" si="48">G516</f>
        <v>0</v>
      </c>
      <c r="K516" s="1528">
        <f>F516-J516</f>
        <v>3000000</v>
      </c>
      <c r="L516" s="1578" t="s">
        <v>3416</v>
      </c>
      <c r="M516" s="429"/>
      <c r="N516" s="429"/>
      <c r="O516" s="429"/>
      <c r="P516" s="429"/>
      <c r="Q516" s="429"/>
    </row>
    <row r="517" spans="1:17" ht="30" customHeight="1" x14ac:dyDescent="0.2">
      <c r="A517" s="1535">
        <v>341</v>
      </c>
      <c r="B517" s="1532" t="s">
        <v>1429</v>
      </c>
      <c r="C517" s="1564"/>
      <c r="D517" s="1540">
        <v>75000000</v>
      </c>
      <c r="E517" s="1593">
        <v>4.4999999999999998E-2</v>
      </c>
      <c r="F517" s="1540">
        <v>3500000</v>
      </c>
      <c r="G517" s="1540">
        <v>3500000</v>
      </c>
      <c r="H517" s="1540" t="s">
        <v>3508</v>
      </c>
      <c r="I517" s="1555" t="s">
        <v>3554</v>
      </c>
      <c r="J517" s="1540">
        <f t="shared" si="48"/>
        <v>3500000</v>
      </c>
      <c r="K517" s="1582">
        <f>G517-J517</f>
        <v>0</v>
      </c>
      <c r="L517" s="428"/>
      <c r="M517" s="429"/>
      <c r="N517" s="429"/>
      <c r="O517" s="429"/>
      <c r="P517" s="429"/>
      <c r="Q517" s="429"/>
    </row>
    <row r="518" spans="1:17" ht="30" customHeight="1" x14ac:dyDescent="0.2">
      <c r="A518" s="1535">
        <v>342</v>
      </c>
      <c r="B518" s="1532" t="s">
        <v>72</v>
      </c>
      <c r="C518" s="1564" t="s">
        <v>2498</v>
      </c>
      <c r="D518" s="1540">
        <v>110000000</v>
      </c>
      <c r="E518" s="1593">
        <v>0.05</v>
      </c>
      <c r="F518" s="1540">
        <f>D518*E518</f>
        <v>5500000</v>
      </c>
      <c r="G518" s="1540">
        <v>5500000</v>
      </c>
      <c r="H518" s="1540" t="s">
        <v>3508</v>
      </c>
      <c r="I518" s="1555" t="s">
        <v>3560</v>
      </c>
      <c r="J518" s="1540">
        <f t="shared" si="48"/>
        <v>5500000</v>
      </c>
      <c r="K518" s="1582">
        <f>F518-J518</f>
        <v>0</v>
      </c>
      <c r="L518" s="428" t="s">
        <v>3561</v>
      </c>
      <c r="M518" s="429"/>
      <c r="N518" s="429"/>
      <c r="O518" s="429"/>
      <c r="P518" s="429"/>
      <c r="Q518" s="429"/>
    </row>
    <row r="519" spans="1:17" ht="30" customHeight="1" x14ac:dyDescent="0.2">
      <c r="A519" s="1093">
        <v>343</v>
      </c>
      <c r="B519" s="22" t="s">
        <v>1437</v>
      </c>
      <c r="C519" s="1595" t="s">
        <v>1913</v>
      </c>
      <c r="D519" s="1565">
        <v>8000000</v>
      </c>
      <c r="E519" s="1593">
        <v>0.04</v>
      </c>
      <c r="F519" s="1565">
        <f>D519*E519</f>
        <v>320000</v>
      </c>
      <c r="G519" s="1565"/>
      <c r="H519" s="1565"/>
      <c r="I519" s="1565"/>
      <c r="J519" s="1565">
        <f t="shared" si="48"/>
        <v>0</v>
      </c>
      <c r="K519" s="1528">
        <f>F519-J519</f>
        <v>320000</v>
      </c>
      <c r="L519" s="1581"/>
      <c r="M519" s="429"/>
      <c r="N519" s="429"/>
      <c r="O519" s="429"/>
      <c r="P519" s="429"/>
      <c r="Q519" s="429"/>
    </row>
    <row r="520" spans="1:17" ht="30" customHeight="1" x14ac:dyDescent="0.2">
      <c r="A520" s="1535">
        <v>344</v>
      </c>
      <c r="B520" s="1532" t="s">
        <v>1445</v>
      </c>
      <c r="C520" s="1564"/>
      <c r="D520" s="1550"/>
      <c r="E520" s="1552"/>
      <c r="F520" s="1550"/>
      <c r="G520" s="1540">
        <v>6500000</v>
      </c>
      <c r="H520" s="1540" t="s">
        <v>3574</v>
      </c>
      <c r="I520" s="1555" t="s">
        <v>3576</v>
      </c>
      <c r="J520" s="1540">
        <f t="shared" si="48"/>
        <v>6500000</v>
      </c>
      <c r="K520" s="1587">
        <f>F520-J520</f>
        <v>-6500000</v>
      </c>
      <c r="L520" s="428"/>
      <c r="M520" s="429"/>
      <c r="N520" s="429"/>
      <c r="O520" s="429"/>
      <c r="P520" s="429"/>
      <c r="Q520" s="429"/>
    </row>
    <row r="521" spans="1:17" ht="30" customHeight="1" x14ac:dyDescent="0.2">
      <c r="A521" s="1535">
        <v>345</v>
      </c>
      <c r="B521" s="1532" t="s">
        <v>2210</v>
      </c>
      <c r="C521" s="1564" t="s">
        <v>1354</v>
      </c>
      <c r="D521" s="1540">
        <v>60000000</v>
      </c>
      <c r="E521" s="1593">
        <v>7.0000000000000007E-2</v>
      </c>
      <c r="F521" s="1540">
        <f>D521*E521</f>
        <v>4200000</v>
      </c>
      <c r="G521" s="1540">
        <v>4200000</v>
      </c>
      <c r="H521" s="1540" t="s">
        <v>3844</v>
      </c>
      <c r="I521" s="1555" t="s">
        <v>2211</v>
      </c>
      <c r="J521" s="1540">
        <f t="shared" si="48"/>
        <v>4200000</v>
      </c>
      <c r="K521" s="1582">
        <f>G521-J521</f>
        <v>0</v>
      </c>
      <c r="L521" s="428"/>
      <c r="M521" s="429"/>
      <c r="N521" s="429"/>
      <c r="O521" s="429"/>
      <c r="P521" s="429"/>
      <c r="Q521" s="429"/>
    </row>
    <row r="522" spans="1:17" ht="30" customHeight="1" x14ac:dyDescent="0.2">
      <c r="A522" s="1535">
        <v>346</v>
      </c>
      <c r="B522" s="1532" t="s">
        <v>1452</v>
      </c>
      <c r="C522" s="1564"/>
      <c r="D522" s="1550"/>
      <c r="E522" s="44"/>
      <c r="F522" s="1550"/>
      <c r="G522" s="1540"/>
      <c r="H522" s="1540"/>
      <c r="I522" s="1555"/>
      <c r="J522" s="1540">
        <f t="shared" si="48"/>
        <v>0</v>
      </c>
      <c r="K522" s="1587">
        <f t="shared" ref="K522:K530" si="49">F522-J522</f>
        <v>0</v>
      </c>
      <c r="L522" s="428"/>
      <c r="M522" s="429"/>
      <c r="N522" s="429"/>
      <c r="O522" s="429"/>
      <c r="P522" s="429"/>
      <c r="Q522" s="429"/>
    </row>
    <row r="523" spans="1:17" ht="30" customHeight="1" x14ac:dyDescent="0.2">
      <c r="A523" s="1535">
        <v>347</v>
      </c>
      <c r="B523" s="1532" t="s">
        <v>181</v>
      </c>
      <c r="C523" s="1564" t="s">
        <v>1913</v>
      </c>
      <c r="D523" s="1540">
        <v>130000000</v>
      </c>
      <c r="E523" s="1593">
        <v>0.05</v>
      </c>
      <c r="F523" s="1540">
        <f>D523*E523</f>
        <v>6500000</v>
      </c>
      <c r="G523" s="1540"/>
      <c r="H523" s="1540"/>
      <c r="I523" s="1555"/>
      <c r="J523" s="1540">
        <f t="shared" si="48"/>
        <v>0</v>
      </c>
      <c r="K523" s="1582">
        <f t="shared" si="49"/>
        <v>6500000</v>
      </c>
      <c r="L523" s="428"/>
      <c r="M523" s="429"/>
      <c r="N523" s="429"/>
      <c r="O523" s="429"/>
      <c r="P523" s="429"/>
      <c r="Q523" s="429"/>
    </row>
    <row r="524" spans="1:17" ht="30" customHeight="1" x14ac:dyDescent="0.2">
      <c r="A524" s="1596">
        <v>348</v>
      </c>
      <c r="B524" s="22" t="s">
        <v>1480</v>
      </c>
      <c r="C524" s="1595" t="s">
        <v>1378</v>
      </c>
      <c r="D524" s="1565">
        <v>50000000</v>
      </c>
      <c r="E524" s="1593">
        <v>0.04</v>
      </c>
      <c r="F524" s="1565">
        <f>D524*E524</f>
        <v>2000000</v>
      </c>
      <c r="G524" s="1565"/>
      <c r="H524" s="1565"/>
      <c r="I524" s="1555"/>
      <c r="J524" s="1540">
        <f t="shared" si="48"/>
        <v>0</v>
      </c>
      <c r="K524" s="1582">
        <f t="shared" si="49"/>
        <v>2000000</v>
      </c>
      <c r="L524" s="428"/>
      <c r="M524" s="429"/>
      <c r="N524" s="429"/>
      <c r="O524" s="429"/>
      <c r="P524" s="429"/>
      <c r="Q524" s="429"/>
    </row>
    <row r="525" spans="1:17" ht="30" customHeight="1" x14ac:dyDescent="0.2">
      <c r="A525" s="1535">
        <v>349</v>
      </c>
      <c r="B525" s="1532" t="s">
        <v>1619</v>
      </c>
      <c r="C525" s="1564"/>
      <c r="D525" s="1540">
        <v>80000000</v>
      </c>
      <c r="E525" s="1537">
        <v>0.04</v>
      </c>
      <c r="F525" s="1540">
        <f>D525*E525</f>
        <v>3200000</v>
      </c>
      <c r="G525" s="1540"/>
      <c r="H525" s="1540"/>
      <c r="I525" s="1555"/>
      <c r="J525" s="1540"/>
      <c r="K525" s="1582">
        <f t="shared" si="49"/>
        <v>3200000</v>
      </c>
      <c r="L525" s="428"/>
      <c r="M525" s="429"/>
      <c r="N525" s="429"/>
      <c r="O525" s="429"/>
      <c r="P525" s="429"/>
      <c r="Q525" s="429"/>
    </row>
    <row r="526" spans="1:17" ht="30" customHeight="1" x14ac:dyDescent="0.2">
      <c r="A526" s="1535">
        <v>350</v>
      </c>
      <c r="B526" s="1532" t="s">
        <v>1650</v>
      </c>
      <c r="C526" s="1564"/>
      <c r="D526" s="1540">
        <v>110000000</v>
      </c>
      <c r="E526" s="2308" t="s">
        <v>1652</v>
      </c>
      <c r="F526" s="2309"/>
      <c r="G526" s="1540">
        <v>4400000</v>
      </c>
      <c r="H526" s="1540" t="s">
        <v>3610</v>
      </c>
      <c r="I526" s="1555" t="s">
        <v>3616</v>
      </c>
      <c r="J526" s="1540">
        <f t="shared" ref="J526:J533" si="50">G526</f>
        <v>4400000</v>
      </c>
      <c r="K526" s="1587">
        <f t="shared" si="49"/>
        <v>-4400000</v>
      </c>
      <c r="L526" s="428"/>
      <c r="M526" s="429"/>
      <c r="N526" s="429"/>
      <c r="O526" s="429"/>
      <c r="P526" s="429"/>
      <c r="Q526" s="429"/>
    </row>
    <row r="527" spans="1:17" ht="30" customHeight="1" x14ac:dyDescent="0.2">
      <c r="A527" s="1596"/>
      <c r="B527" s="22" t="s">
        <v>1654</v>
      </c>
      <c r="C527" s="1595" t="s">
        <v>1215</v>
      </c>
      <c r="D527" s="1565">
        <v>680000000</v>
      </c>
      <c r="E527" s="1593">
        <v>7.0000000000000007E-2</v>
      </c>
      <c r="F527" s="1565">
        <f t="shared" ref="F527:F532" si="51">D527*E527</f>
        <v>47600000.000000007</v>
      </c>
      <c r="G527" s="1736">
        <v>47600000</v>
      </c>
      <c r="H527" s="1736" t="s">
        <v>3733</v>
      </c>
      <c r="I527" s="1736" t="s">
        <v>2596</v>
      </c>
      <c r="J527" s="1736">
        <f t="shared" si="50"/>
        <v>47600000</v>
      </c>
      <c r="K527" s="1742">
        <f t="shared" si="49"/>
        <v>0</v>
      </c>
      <c r="L527" s="961" t="s">
        <v>2874</v>
      </c>
      <c r="M527" s="429"/>
      <c r="N527" s="429"/>
      <c r="O527" s="429"/>
      <c r="P527" s="429"/>
      <c r="Q527" s="429"/>
    </row>
    <row r="528" spans="1:17" ht="30" customHeight="1" x14ac:dyDescent="0.2">
      <c r="A528" s="1535">
        <v>352</v>
      </c>
      <c r="B528" s="1532" t="s">
        <v>1657</v>
      </c>
      <c r="C528" s="1564"/>
      <c r="D528" s="1540">
        <v>50000000</v>
      </c>
      <c r="E528" s="1537">
        <v>7.0000000000000007E-2</v>
      </c>
      <c r="F528" s="1540">
        <f t="shared" si="51"/>
        <v>3500000.0000000005</v>
      </c>
      <c r="G528" s="1540">
        <v>3500000</v>
      </c>
      <c r="H528" s="1540" t="s">
        <v>3632</v>
      </c>
      <c r="I528" s="24" t="s">
        <v>3665</v>
      </c>
      <c r="J528" s="1540">
        <f t="shared" si="50"/>
        <v>3500000</v>
      </c>
      <c r="K528" s="1582">
        <f t="shared" si="49"/>
        <v>0</v>
      </c>
      <c r="L528" s="428"/>
      <c r="M528" s="429"/>
      <c r="N528" s="429"/>
      <c r="O528" s="429"/>
      <c r="P528" s="429"/>
      <c r="Q528" s="429"/>
    </row>
    <row r="529" spans="1:17" ht="30" customHeight="1" x14ac:dyDescent="0.2">
      <c r="A529" s="2268">
        <v>353</v>
      </c>
      <c r="B529" s="2267" t="s">
        <v>1661</v>
      </c>
      <c r="C529" s="1595" t="s">
        <v>1215</v>
      </c>
      <c r="D529" s="1540">
        <v>50000000</v>
      </c>
      <c r="E529" s="1593">
        <v>0.05</v>
      </c>
      <c r="F529" s="1540">
        <f t="shared" si="51"/>
        <v>2500000</v>
      </c>
      <c r="G529" s="1540">
        <v>2500000</v>
      </c>
      <c r="H529" s="1540" t="s">
        <v>3610</v>
      </c>
      <c r="I529" s="1555" t="s">
        <v>2989</v>
      </c>
      <c r="J529" s="1540">
        <f t="shared" si="50"/>
        <v>2500000</v>
      </c>
      <c r="K529" s="1582">
        <f t="shared" si="49"/>
        <v>0</v>
      </c>
      <c r="L529" s="428"/>
      <c r="M529" s="429"/>
      <c r="N529" s="429"/>
      <c r="O529" s="429"/>
      <c r="P529" s="429"/>
      <c r="Q529" s="429"/>
    </row>
    <row r="530" spans="1:17" ht="30" customHeight="1" x14ac:dyDescent="0.2">
      <c r="A530" s="2268"/>
      <c r="B530" s="2267"/>
      <c r="C530" s="1595" t="s">
        <v>1354</v>
      </c>
      <c r="D530" s="1540">
        <v>20000000</v>
      </c>
      <c r="E530" s="1593">
        <v>0.05</v>
      </c>
      <c r="F530" s="1540">
        <f t="shared" si="51"/>
        <v>1000000</v>
      </c>
      <c r="G530" s="1527">
        <v>1000000</v>
      </c>
      <c r="H530" s="1527" t="s">
        <v>2741</v>
      </c>
      <c r="I530" s="1527" t="s">
        <v>3870</v>
      </c>
      <c r="J530" s="1527">
        <f t="shared" si="50"/>
        <v>1000000</v>
      </c>
      <c r="K530" s="1582">
        <f t="shared" si="49"/>
        <v>0</v>
      </c>
      <c r="L530" s="428" t="s">
        <v>3053</v>
      </c>
      <c r="M530" s="429"/>
      <c r="N530" s="429"/>
      <c r="O530" s="429"/>
      <c r="P530" s="429"/>
      <c r="Q530" s="429"/>
    </row>
    <row r="531" spans="1:17" ht="30" customHeight="1" x14ac:dyDescent="0.2">
      <c r="A531" s="1535">
        <v>354</v>
      </c>
      <c r="B531" s="1532" t="s">
        <v>1674</v>
      </c>
      <c r="C531" s="1564"/>
      <c r="D531" s="1540">
        <v>70000000</v>
      </c>
      <c r="E531" s="1593">
        <v>0.04</v>
      </c>
      <c r="F531" s="1540">
        <f t="shared" si="51"/>
        <v>2800000</v>
      </c>
      <c r="G531" s="1540"/>
      <c r="H531" s="1540"/>
      <c r="I531" s="1604"/>
      <c r="J531" s="1540">
        <f t="shared" si="50"/>
        <v>0</v>
      </c>
      <c r="K531" s="1582">
        <f>F531-J531</f>
        <v>2800000</v>
      </c>
      <c r="L531" s="428"/>
      <c r="M531" s="429"/>
      <c r="N531" s="429"/>
      <c r="O531" s="429"/>
      <c r="P531" s="429"/>
      <c r="Q531" s="429"/>
    </row>
    <row r="532" spans="1:17" ht="30" customHeight="1" x14ac:dyDescent="0.2">
      <c r="A532" s="1535">
        <v>355</v>
      </c>
      <c r="B532" s="1532" t="s">
        <v>1679</v>
      </c>
      <c r="C532" s="1564" t="s">
        <v>2786</v>
      </c>
      <c r="D532" s="1540">
        <v>115000000</v>
      </c>
      <c r="E532" s="1593">
        <v>0.05</v>
      </c>
      <c r="F532" s="1540">
        <f t="shared" si="51"/>
        <v>5750000</v>
      </c>
      <c r="G532" s="1540">
        <v>5750000</v>
      </c>
      <c r="H532" s="1540" t="s">
        <v>3508</v>
      </c>
      <c r="I532" s="518" t="s">
        <v>3558</v>
      </c>
      <c r="J532" s="1540">
        <f t="shared" si="50"/>
        <v>5750000</v>
      </c>
      <c r="K532" s="1582">
        <f>F532-J532</f>
        <v>0</v>
      </c>
      <c r="L532" s="428"/>
      <c r="M532" s="429"/>
      <c r="N532" s="429"/>
      <c r="O532" s="429"/>
      <c r="P532" s="429"/>
      <c r="Q532" s="429"/>
    </row>
    <row r="533" spans="1:17" ht="30" customHeight="1" x14ac:dyDescent="0.2">
      <c r="A533" s="1535">
        <v>356</v>
      </c>
      <c r="B533" s="1532" t="s">
        <v>1687</v>
      </c>
      <c r="C533" s="1564"/>
      <c r="D533" s="1550"/>
      <c r="E533" s="44"/>
      <c r="F533" s="1550"/>
      <c r="G533" s="1540">
        <v>2800000</v>
      </c>
      <c r="H533" s="1540" t="s">
        <v>3610</v>
      </c>
      <c r="I533" s="518" t="s">
        <v>3611</v>
      </c>
      <c r="J533" s="1540">
        <f t="shared" si="50"/>
        <v>2800000</v>
      </c>
      <c r="K533" s="1587">
        <f>F533-J533</f>
        <v>-2800000</v>
      </c>
      <c r="L533" s="428"/>
      <c r="M533" s="429"/>
      <c r="N533" s="429"/>
      <c r="O533" s="429"/>
      <c r="P533" s="429"/>
      <c r="Q533" s="429"/>
    </row>
    <row r="534" spans="1:17" ht="30" customHeight="1" x14ac:dyDescent="0.2">
      <c r="A534" s="1535">
        <v>357</v>
      </c>
      <c r="B534" s="1532" t="s">
        <v>1689</v>
      </c>
      <c r="C534" s="1564"/>
      <c r="D534" s="1540">
        <v>70000000</v>
      </c>
      <c r="E534" s="44"/>
      <c r="F534" s="1550"/>
      <c r="G534" s="1540"/>
      <c r="H534" s="1540"/>
      <c r="I534" s="518"/>
      <c r="J534" s="1540"/>
      <c r="K534" s="1587"/>
      <c r="L534" s="428" t="s">
        <v>1690</v>
      </c>
      <c r="M534" s="429"/>
      <c r="N534" s="429"/>
      <c r="O534" s="429"/>
      <c r="P534" s="429"/>
      <c r="Q534" s="429"/>
    </row>
    <row r="535" spans="1:17" ht="30" customHeight="1" x14ac:dyDescent="0.2">
      <c r="A535" s="2031">
        <v>358</v>
      </c>
      <c r="B535" s="2029" t="s">
        <v>1694</v>
      </c>
      <c r="C535" s="2149"/>
      <c r="D535" s="2080"/>
      <c r="E535" s="2082"/>
      <c r="F535" s="2080"/>
      <c r="G535" s="1540">
        <v>50000000</v>
      </c>
      <c r="H535" s="1540" t="s">
        <v>3708</v>
      </c>
      <c r="I535" s="518" t="s">
        <v>3732</v>
      </c>
      <c r="J535" s="2040">
        <f>G535+G536</f>
        <v>105000000</v>
      </c>
      <c r="K535" s="2238">
        <f>F535-J535</f>
        <v>-105000000</v>
      </c>
      <c r="L535" s="2210"/>
      <c r="M535" s="429"/>
      <c r="N535" s="429"/>
      <c r="O535" s="429"/>
      <c r="P535" s="429"/>
      <c r="Q535" s="429"/>
    </row>
    <row r="536" spans="1:17" ht="30" customHeight="1" x14ac:dyDescent="0.2">
      <c r="A536" s="2032"/>
      <c r="B536" s="2030"/>
      <c r="C536" s="2150"/>
      <c r="D536" s="2081"/>
      <c r="E536" s="2083"/>
      <c r="F536" s="2081"/>
      <c r="G536" s="1765">
        <v>55000000</v>
      </c>
      <c r="H536" s="1765" t="s">
        <v>3745</v>
      </c>
      <c r="I536" s="518" t="s">
        <v>2797</v>
      </c>
      <c r="J536" s="2042"/>
      <c r="K536" s="2239"/>
      <c r="L536" s="2211"/>
      <c r="M536" s="429"/>
      <c r="N536" s="429"/>
      <c r="O536" s="429"/>
      <c r="P536" s="429"/>
      <c r="Q536" s="429"/>
    </row>
    <row r="537" spans="1:17" ht="30" customHeight="1" x14ac:dyDescent="0.2">
      <c r="A537" s="2031">
        <v>359</v>
      </c>
      <c r="B537" s="2029" t="s">
        <v>1696</v>
      </c>
      <c r="C537" s="2149"/>
      <c r="D537" s="2080"/>
      <c r="E537" s="2082"/>
      <c r="F537" s="2080"/>
      <c r="G537" s="1540"/>
      <c r="H537" s="1540"/>
      <c r="I537" s="518"/>
      <c r="J537" s="2040">
        <f>G537+G538</f>
        <v>0</v>
      </c>
      <c r="K537" s="2238">
        <f>F537-J537</f>
        <v>0</v>
      </c>
      <c r="L537" s="2210"/>
      <c r="M537" s="429"/>
      <c r="N537" s="429"/>
      <c r="O537" s="429"/>
      <c r="P537" s="429"/>
      <c r="Q537" s="429"/>
    </row>
    <row r="538" spans="1:17" ht="30" customHeight="1" x14ac:dyDescent="0.2">
      <c r="A538" s="2032"/>
      <c r="B538" s="2030"/>
      <c r="C538" s="2150"/>
      <c r="D538" s="2081"/>
      <c r="E538" s="2083"/>
      <c r="F538" s="2081"/>
      <c r="G538" s="1540"/>
      <c r="H538" s="1540"/>
      <c r="I538" s="518"/>
      <c r="J538" s="2042"/>
      <c r="K538" s="2239"/>
      <c r="L538" s="2211"/>
      <c r="M538" s="429"/>
      <c r="N538" s="429"/>
      <c r="O538" s="429"/>
      <c r="P538" s="429"/>
      <c r="Q538" s="429"/>
    </row>
    <row r="539" spans="1:17" ht="30" customHeight="1" x14ac:dyDescent="0.2">
      <c r="A539" s="2031">
        <v>360</v>
      </c>
      <c r="B539" s="2029" t="s">
        <v>1711</v>
      </c>
      <c r="C539" s="2149" t="s">
        <v>916</v>
      </c>
      <c r="D539" s="1565">
        <v>290000000</v>
      </c>
      <c r="E539" s="1593">
        <v>0.05</v>
      </c>
      <c r="F539" s="1565">
        <f>D539*E539</f>
        <v>14500000</v>
      </c>
      <c r="G539" s="2040">
        <v>27100000</v>
      </c>
      <c r="H539" s="2040" t="s">
        <v>3581</v>
      </c>
      <c r="I539" s="2297" t="s">
        <v>1708</v>
      </c>
      <c r="J539" s="2040">
        <f>G539+G540</f>
        <v>27100000</v>
      </c>
      <c r="K539" s="2210">
        <f>(F539+F540)-G539</f>
        <v>0</v>
      </c>
      <c r="L539" s="2210"/>
      <c r="M539" s="429"/>
      <c r="N539" s="429"/>
      <c r="O539" s="429"/>
      <c r="P539" s="429"/>
      <c r="Q539" s="429"/>
    </row>
    <row r="540" spans="1:17" ht="30" customHeight="1" x14ac:dyDescent="0.2">
      <c r="A540" s="2032"/>
      <c r="B540" s="2030"/>
      <c r="C540" s="2150"/>
      <c r="D540" s="1565">
        <v>210000000</v>
      </c>
      <c r="E540" s="1593">
        <v>0.06</v>
      </c>
      <c r="F540" s="1565">
        <f>D540*E540</f>
        <v>12600000</v>
      </c>
      <c r="G540" s="2042"/>
      <c r="H540" s="2042"/>
      <c r="I540" s="2298"/>
      <c r="J540" s="2042"/>
      <c r="K540" s="2211"/>
      <c r="L540" s="2211"/>
      <c r="M540" s="429"/>
      <c r="N540" s="429"/>
      <c r="O540" s="429"/>
      <c r="P540" s="429"/>
      <c r="Q540" s="429"/>
    </row>
    <row r="541" spans="1:17" ht="30" customHeight="1" x14ac:dyDescent="0.2">
      <c r="A541" s="2031">
        <v>361</v>
      </c>
      <c r="B541" s="2029" t="s">
        <v>1709</v>
      </c>
      <c r="C541" s="2149"/>
      <c r="D541" s="2040">
        <v>3045000000</v>
      </c>
      <c r="E541" s="2037"/>
      <c r="F541" s="2040">
        <v>103600000</v>
      </c>
      <c r="G541" s="1540">
        <v>9600000</v>
      </c>
      <c r="H541" s="1540" t="s">
        <v>3508</v>
      </c>
      <c r="I541" s="518" t="s">
        <v>1710</v>
      </c>
      <c r="J541" s="1636">
        <f>G541</f>
        <v>9600000</v>
      </c>
      <c r="K541" s="1646">
        <f>103600000-94000000-J541</f>
        <v>0</v>
      </c>
      <c r="L541" s="1577" t="s">
        <v>3135</v>
      </c>
      <c r="M541" s="429"/>
      <c r="N541" s="429"/>
      <c r="O541" s="429"/>
      <c r="P541" s="429"/>
      <c r="Q541" s="429"/>
    </row>
    <row r="542" spans="1:17" ht="30" customHeight="1" x14ac:dyDescent="0.2">
      <c r="A542" s="2034"/>
      <c r="B542" s="2033"/>
      <c r="C542" s="2158"/>
      <c r="D542" s="2041"/>
      <c r="E542" s="2038"/>
      <c r="F542" s="2041"/>
      <c r="G542" s="1540">
        <v>50000000</v>
      </c>
      <c r="H542" s="1540"/>
      <c r="I542" s="518"/>
      <c r="J542" s="2157">
        <f>G542+G543+G544+G545+G546+G547+G548+G549+G550+G551</f>
        <v>103600000</v>
      </c>
      <c r="K542" s="1936">
        <f>F541-J542</f>
        <v>0</v>
      </c>
      <c r="L542" s="1598" t="s">
        <v>3022</v>
      </c>
      <c r="M542" s="429"/>
      <c r="N542" s="429"/>
      <c r="O542" s="429"/>
      <c r="P542" s="429"/>
      <c r="Q542" s="429"/>
    </row>
    <row r="543" spans="1:17" ht="30" customHeight="1" x14ac:dyDescent="0.2">
      <c r="A543" s="2034"/>
      <c r="B543" s="2033"/>
      <c r="C543" s="2158"/>
      <c r="D543" s="2041"/>
      <c r="E543" s="2038"/>
      <c r="F543" s="2041"/>
      <c r="G543" s="1540">
        <v>2000000</v>
      </c>
      <c r="H543" s="1540" t="s">
        <v>3564</v>
      </c>
      <c r="I543" s="518" t="s">
        <v>2603</v>
      </c>
      <c r="J543" s="2157"/>
      <c r="K543" s="1936"/>
      <c r="L543" s="908"/>
      <c r="M543" s="429"/>
      <c r="N543" s="429"/>
      <c r="O543" s="429"/>
      <c r="P543" s="429"/>
      <c r="Q543" s="429"/>
    </row>
    <row r="544" spans="1:17" ht="30" customHeight="1" x14ac:dyDescent="0.2">
      <c r="A544" s="2034"/>
      <c r="B544" s="2033"/>
      <c r="C544" s="2158"/>
      <c r="D544" s="2041"/>
      <c r="E544" s="2038"/>
      <c r="F544" s="2041"/>
      <c r="G544" s="1540">
        <v>11600000</v>
      </c>
      <c r="H544" s="1540" t="s">
        <v>3708</v>
      </c>
      <c r="I544" s="518" t="s">
        <v>1710</v>
      </c>
      <c r="J544" s="2157"/>
      <c r="K544" s="1936"/>
      <c r="L544" s="908"/>
      <c r="M544" s="429"/>
      <c r="N544" s="429"/>
      <c r="O544" s="429"/>
      <c r="P544" s="429"/>
      <c r="Q544" s="429"/>
    </row>
    <row r="545" spans="1:17" ht="30" customHeight="1" x14ac:dyDescent="0.2">
      <c r="A545" s="2034"/>
      <c r="B545" s="2033"/>
      <c r="C545" s="2158"/>
      <c r="D545" s="2041"/>
      <c r="E545" s="2038"/>
      <c r="F545" s="2041"/>
      <c r="G545" s="1540">
        <v>40000000</v>
      </c>
      <c r="H545" s="1540" t="s">
        <v>3827</v>
      </c>
      <c r="I545" s="518" t="s">
        <v>1710</v>
      </c>
      <c r="J545" s="2157"/>
      <c r="K545" s="1936"/>
      <c r="L545" s="908"/>
      <c r="M545" s="429"/>
      <c r="N545" s="429"/>
      <c r="O545" s="429"/>
      <c r="P545" s="429"/>
      <c r="Q545" s="429"/>
    </row>
    <row r="546" spans="1:17" ht="30" customHeight="1" x14ac:dyDescent="0.2">
      <c r="A546" s="2034"/>
      <c r="B546" s="2033"/>
      <c r="C546" s="2158"/>
      <c r="D546" s="2041"/>
      <c r="E546" s="2038"/>
      <c r="F546" s="2041"/>
      <c r="G546" s="1540"/>
      <c r="H546" s="1540"/>
      <c r="I546" s="518"/>
      <c r="J546" s="2157"/>
      <c r="K546" s="1936"/>
      <c r="L546" s="908"/>
      <c r="M546" s="429"/>
      <c r="N546" s="429"/>
      <c r="O546" s="429"/>
      <c r="P546" s="429"/>
      <c r="Q546" s="429"/>
    </row>
    <row r="547" spans="1:17" ht="30" customHeight="1" x14ac:dyDescent="0.2">
      <c r="A547" s="2034"/>
      <c r="B547" s="2033"/>
      <c r="C547" s="2158"/>
      <c r="D547" s="2041"/>
      <c r="E547" s="2038"/>
      <c r="F547" s="2041"/>
      <c r="G547" s="1540"/>
      <c r="H547" s="1540"/>
      <c r="I547" s="518"/>
      <c r="J547" s="2157"/>
      <c r="K547" s="1936"/>
      <c r="L547" s="908"/>
      <c r="M547" s="429"/>
      <c r="N547" s="429"/>
      <c r="O547" s="429"/>
      <c r="P547" s="429"/>
      <c r="Q547" s="429"/>
    </row>
    <row r="548" spans="1:17" ht="30" customHeight="1" x14ac:dyDescent="0.2">
      <c r="A548" s="2034"/>
      <c r="B548" s="2033"/>
      <c r="C548" s="2158"/>
      <c r="D548" s="2041"/>
      <c r="E548" s="2038"/>
      <c r="F548" s="2041"/>
      <c r="G548" s="1540"/>
      <c r="H548" s="1540"/>
      <c r="I548" s="518"/>
      <c r="J548" s="2157"/>
      <c r="K548" s="1936"/>
      <c r="L548" s="908"/>
      <c r="M548" s="429"/>
      <c r="N548" s="429"/>
      <c r="O548" s="429"/>
      <c r="P548" s="429"/>
      <c r="Q548" s="429"/>
    </row>
    <row r="549" spans="1:17" ht="30" customHeight="1" x14ac:dyDescent="0.2">
      <c r="A549" s="2034"/>
      <c r="B549" s="2033"/>
      <c r="C549" s="2158"/>
      <c r="D549" s="2041"/>
      <c r="E549" s="2038"/>
      <c r="F549" s="2041"/>
      <c r="G549" s="1540"/>
      <c r="H549" s="1540"/>
      <c r="I549" s="518"/>
      <c r="J549" s="2157"/>
      <c r="K549" s="1936"/>
      <c r="L549" s="908"/>
      <c r="M549" s="429"/>
      <c r="N549" s="429"/>
      <c r="O549" s="429"/>
      <c r="P549" s="429"/>
      <c r="Q549" s="429"/>
    </row>
    <row r="550" spans="1:17" ht="30" customHeight="1" x14ac:dyDescent="0.2">
      <c r="A550" s="2034"/>
      <c r="B550" s="2033"/>
      <c r="C550" s="2158"/>
      <c r="D550" s="2041"/>
      <c r="E550" s="2038"/>
      <c r="F550" s="2041"/>
      <c r="G550" s="1540"/>
      <c r="H550" s="1540"/>
      <c r="I550" s="518"/>
      <c r="J550" s="2157"/>
      <c r="K550" s="1936"/>
      <c r="L550" s="908"/>
      <c r="M550" s="429"/>
      <c r="N550" s="429"/>
      <c r="O550" s="429"/>
      <c r="P550" s="429"/>
      <c r="Q550" s="429"/>
    </row>
    <row r="551" spans="1:17" ht="30" customHeight="1" x14ac:dyDescent="0.2">
      <c r="A551" s="2032"/>
      <c r="B551" s="2030"/>
      <c r="C551" s="2150"/>
      <c r="D551" s="2042"/>
      <c r="E551" s="2039"/>
      <c r="F551" s="2042"/>
      <c r="G551" s="1540"/>
      <c r="H551" s="1540"/>
      <c r="I551" s="518"/>
      <c r="J551" s="2157"/>
      <c r="K551" s="1936"/>
      <c r="L551" s="961"/>
      <c r="M551" s="429"/>
      <c r="N551" s="429"/>
      <c r="O551" s="429"/>
      <c r="P551" s="429"/>
      <c r="Q551" s="429"/>
    </row>
    <row r="552" spans="1:17" ht="30" customHeight="1" x14ac:dyDescent="0.2">
      <c r="A552" s="2031">
        <v>362</v>
      </c>
      <c r="B552" s="2101" t="s">
        <v>1716</v>
      </c>
      <c r="C552" s="2149" t="s">
        <v>1750</v>
      </c>
      <c r="D552" s="1540">
        <v>300000000</v>
      </c>
      <c r="E552" s="1593">
        <v>4.4999999999999998E-2</v>
      </c>
      <c r="F552" s="1540">
        <f>D552*E552</f>
        <v>13500000</v>
      </c>
      <c r="G552" s="1540">
        <v>13500000</v>
      </c>
      <c r="H552" s="1540" t="s">
        <v>3581</v>
      </c>
      <c r="I552" s="518" t="s">
        <v>1717</v>
      </c>
      <c r="J552" s="1540">
        <f>G552</f>
        <v>13500000</v>
      </c>
      <c r="K552" s="1582">
        <f>F552-J552</f>
        <v>0</v>
      </c>
      <c r="L552" s="428"/>
      <c r="M552" s="429"/>
      <c r="N552" s="429"/>
      <c r="O552" s="429"/>
      <c r="P552" s="429"/>
      <c r="Q552" s="429"/>
    </row>
    <row r="553" spans="1:17" ht="30" customHeight="1" x14ac:dyDescent="0.2">
      <c r="A553" s="2032"/>
      <c r="B553" s="2102"/>
      <c r="C553" s="2150"/>
      <c r="D553" s="1663">
        <v>360000000</v>
      </c>
      <c r="E553" s="1682">
        <v>4.4999999999999998E-2</v>
      </c>
      <c r="F553" s="1663">
        <v>16500000</v>
      </c>
      <c r="G553" s="2154" t="s">
        <v>3598</v>
      </c>
      <c r="H553" s="2155"/>
      <c r="I553" s="2155"/>
      <c r="J553" s="2156"/>
      <c r="K553" s="1679"/>
      <c r="L553" s="428"/>
      <c r="M553" s="429"/>
      <c r="N553" s="429"/>
      <c r="O553" s="429"/>
      <c r="P553" s="429"/>
      <c r="Q553" s="429"/>
    </row>
    <row r="554" spans="1:17" ht="30" customHeight="1" x14ac:dyDescent="0.2">
      <c r="A554" s="1535">
        <v>363</v>
      </c>
      <c r="B554" s="1532" t="s">
        <v>1738</v>
      </c>
      <c r="C554" s="1564"/>
      <c r="D554" s="1550"/>
      <c r="E554" s="44"/>
      <c r="F554" s="1550"/>
      <c r="G554" s="1540">
        <v>1175000</v>
      </c>
      <c r="H554" s="1540" t="s">
        <v>3581</v>
      </c>
      <c r="I554" s="518" t="s">
        <v>1718</v>
      </c>
      <c r="J554" s="1540">
        <f>G554</f>
        <v>1175000</v>
      </c>
      <c r="K554" s="1582">
        <f>F554-J554</f>
        <v>-1175000</v>
      </c>
      <c r="L554" s="428"/>
      <c r="M554" s="429"/>
      <c r="N554" s="429"/>
      <c r="O554" s="429"/>
      <c r="P554" s="429"/>
      <c r="Q554" s="429"/>
    </row>
    <row r="555" spans="1:17" ht="30" customHeight="1" x14ac:dyDescent="0.2">
      <c r="A555" s="1535">
        <v>364</v>
      </c>
      <c r="B555" s="1532" t="s">
        <v>1734</v>
      </c>
      <c r="C555" s="1564"/>
      <c r="D555" s="1550"/>
      <c r="E555" s="44"/>
      <c r="F555" s="1550"/>
      <c r="G555" s="1540">
        <v>6600000</v>
      </c>
      <c r="H555" s="1540" t="s">
        <v>3574</v>
      </c>
      <c r="I555" s="518" t="s">
        <v>2918</v>
      </c>
      <c r="J555" s="1540">
        <f>G555</f>
        <v>6600000</v>
      </c>
      <c r="K555" s="1587">
        <f>F555-J555</f>
        <v>-6600000</v>
      </c>
      <c r="L555" s="428"/>
      <c r="M555" s="429"/>
      <c r="N555" s="429"/>
      <c r="O555" s="429"/>
      <c r="P555" s="429"/>
      <c r="Q555" s="429"/>
    </row>
    <row r="556" spans="1:17" ht="30" customHeight="1" x14ac:dyDescent="0.2">
      <c r="A556" s="1596">
        <v>365</v>
      </c>
      <c r="B556" s="1594" t="s">
        <v>1736</v>
      </c>
      <c r="C556" s="1595" t="s">
        <v>1821</v>
      </c>
      <c r="D556" s="1540">
        <v>250000000</v>
      </c>
      <c r="E556" s="1593">
        <v>0.05</v>
      </c>
      <c r="F556" s="1540">
        <f>D556*E556</f>
        <v>12500000</v>
      </c>
      <c r="G556" s="1565">
        <v>12500000</v>
      </c>
      <c r="H556" s="1565" t="s">
        <v>3632</v>
      </c>
      <c r="I556" s="1565" t="s">
        <v>2950</v>
      </c>
      <c r="J556" s="1565">
        <f>G556</f>
        <v>12500000</v>
      </c>
      <c r="K556" s="1582">
        <f>F556-J556</f>
        <v>0</v>
      </c>
      <c r="L556" s="1578" t="s">
        <v>2883</v>
      </c>
      <c r="M556" s="429"/>
      <c r="N556" s="429"/>
      <c r="O556" s="429"/>
      <c r="P556" s="429"/>
      <c r="Q556" s="429"/>
    </row>
    <row r="557" spans="1:17" ht="30" customHeight="1" x14ac:dyDescent="0.2">
      <c r="A557" s="1535">
        <v>366</v>
      </c>
      <c r="B557" s="1532" t="s">
        <v>1822</v>
      </c>
      <c r="C557" s="1564" t="s">
        <v>1138</v>
      </c>
      <c r="D557" s="1540">
        <v>70000000</v>
      </c>
      <c r="E557" s="1593">
        <v>6.3E-2</v>
      </c>
      <c r="F557" s="1540">
        <v>4400000</v>
      </c>
      <c r="G557" s="1540">
        <v>4400000</v>
      </c>
      <c r="H557" s="1540" t="s">
        <v>2609</v>
      </c>
      <c r="I557" s="518" t="s">
        <v>3927</v>
      </c>
      <c r="J557" s="1540">
        <f>G557</f>
        <v>4400000</v>
      </c>
      <c r="K557" s="1582">
        <f>F557-J557</f>
        <v>0</v>
      </c>
      <c r="L557" s="428"/>
      <c r="M557" s="429"/>
      <c r="N557" s="429"/>
      <c r="O557" s="429"/>
      <c r="P557" s="429"/>
      <c r="Q557" s="429"/>
    </row>
    <row r="558" spans="1:17" ht="30" customHeight="1" x14ac:dyDescent="0.2">
      <c r="A558" s="1535">
        <v>367</v>
      </c>
      <c r="B558" s="1532" t="s">
        <v>1764</v>
      </c>
      <c r="C558" s="1564"/>
      <c r="D558" s="1550"/>
      <c r="E558" s="44"/>
      <c r="F558" s="1550">
        <f>D558*E558</f>
        <v>0</v>
      </c>
      <c r="G558" s="1540">
        <v>1250000</v>
      </c>
      <c r="H558" s="1540" t="s">
        <v>3610</v>
      </c>
      <c r="I558" s="518" t="s">
        <v>1765</v>
      </c>
      <c r="J558" s="1540">
        <f>G558</f>
        <v>1250000</v>
      </c>
      <c r="K558" s="1587">
        <f>F558-J558</f>
        <v>-1250000</v>
      </c>
      <c r="L558" s="428"/>
      <c r="M558" s="429"/>
      <c r="N558" s="429"/>
      <c r="O558" s="429"/>
      <c r="P558" s="429"/>
      <c r="Q558" s="429"/>
    </row>
    <row r="559" spans="1:17" ht="30" customHeight="1" x14ac:dyDescent="0.2">
      <c r="A559" s="2268">
        <v>368</v>
      </c>
      <c r="B559" s="2267" t="s">
        <v>1909</v>
      </c>
      <c r="C559" s="2266"/>
      <c r="D559" s="2157">
        <v>800000000</v>
      </c>
      <c r="E559" s="2262">
        <v>7.0000000000000007E-2</v>
      </c>
      <c r="F559" s="2157">
        <f>D559*E559</f>
        <v>56000000.000000007</v>
      </c>
      <c r="G559" s="1644">
        <v>20000000</v>
      </c>
      <c r="H559" s="1644" t="s">
        <v>3568</v>
      </c>
      <c r="I559" s="1094" t="s">
        <v>2721</v>
      </c>
      <c r="J559" s="2157">
        <f>G559+G560</f>
        <v>40000000</v>
      </c>
      <c r="K559" s="1936">
        <f>F559-16000000-J559</f>
        <v>0</v>
      </c>
      <c r="L559" s="2205" t="s">
        <v>3536</v>
      </c>
      <c r="M559" s="429"/>
      <c r="N559" s="429"/>
      <c r="O559" s="429"/>
      <c r="P559" s="429"/>
      <c r="Q559" s="429"/>
    </row>
    <row r="560" spans="1:17" ht="30" customHeight="1" x14ac:dyDescent="0.2">
      <c r="A560" s="2268"/>
      <c r="B560" s="2267"/>
      <c r="C560" s="2266"/>
      <c r="D560" s="2157"/>
      <c r="E560" s="2262"/>
      <c r="F560" s="2157"/>
      <c r="G560" s="1644">
        <v>20000000</v>
      </c>
      <c r="H560" s="1644" t="s">
        <v>3676</v>
      </c>
      <c r="I560" s="1094" t="s">
        <v>2721</v>
      </c>
      <c r="J560" s="2157"/>
      <c r="K560" s="1936"/>
      <c r="L560" s="2206"/>
      <c r="M560" s="429"/>
      <c r="N560" s="429"/>
      <c r="O560" s="429"/>
      <c r="P560" s="429"/>
      <c r="Q560" s="429"/>
    </row>
    <row r="561" spans="1:17" ht="30" customHeight="1" x14ac:dyDescent="0.2">
      <c r="A561" s="2031">
        <v>369</v>
      </c>
      <c r="B561" s="2101" t="s">
        <v>1775</v>
      </c>
      <c r="C561" s="1564" t="s">
        <v>1750</v>
      </c>
      <c r="D561" s="1540">
        <v>250000000</v>
      </c>
      <c r="E561" s="1638">
        <v>0.05</v>
      </c>
      <c r="F561" s="1540">
        <f>D561*E561</f>
        <v>12500000</v>
      </c>
      <c r="G561" s="1540">
        <v>12500000</v>
      </c>
      <c r="H561" s="1540" t="s">
        <v>3643</v>
      </c>
      <c r="I561" s="2154" t="s">
        <v>3644</v>
      </c>
      <c r="J561" s="2155"/>
      <c r="K561" s="2156"/>
      <c r="L561" s="428"/>
      <c r="M561" s="429"/>
      <c r="N561" s="429"/>
      <c r="O561" s="429"/>
      <c r="P561" s="429"/>
      <c r="Q561" s="429"/>
    </row>
    <row r="562" spans="1:17" ht="30" customHeight="1" x14ac:dyDescent="0.2">
      <c r="A562" s="2032"/>
      <c r="B562" s="2102"/>
      <c r="C562" s="1894" t="s">
        <v>1750</v>
      </c>
      <c r="D562" s="1892">
        <v>150000000</v>
      </c>
      <c r="E562" s="1890">
        <v>0.06</v>
      </c>
      <c r="F562" s="1892">
        <f>D562*E562</f>
        <v>9000000</v>
      </c>
      <c r="G562" s="2405" t="s">
        <v>3893</v>
      </c>
      <c r="H562" s="2405"/>
      <c r="I562" s="2405"/>
      <c r="J562" s="2405"/>
      <c r="K562" s="1910"/>
      <c r="L562" s="1906"/>
      <c r="M562" s="429"/>
      <c r="N562" s="429"/>
      <c r="O562" s="429"/>
      <c r="P562" s="429"/>
      <c r="Q562" s="429"/>
    </row>
    <row r="563" spans="1:17" ht="30" customHeight="1" x14ac:dyDescent="0.2">
      <c r="A563" s="2031">
        <v>370</v>
      </c>
      <c r="B563" s="2029" t="s">
        <v>1799</v>
      </c>
      <c r="C563" s="1564"/>
      <c r="D563" s="1550"/>
      <c r="E563" s="44"/>
      <c r="F563" s="1550">
        <f>D563*E563</f>
        <v>0</v>
      </c>
      <c r="G563" s="1540">
        <v>10000000</v>
      </c>
      <c r="H563" s="1540" t="s">
        <v>3508</v>
      </c>
      <c r="I563" s="518" t="s">
        <v>3547</v>
      </c>
      <c r="J563" s="1540">
        <f>G563</f>
        <v>10000000</v>
      </c>
      <c r="K563" s="1587">
        <f>F563-J563</f>
        <v>-10000000</v>
      </c>
      <c r="L563" s="2210"/>
      <c r="M563" s="429"/>
      <c r="N563" s="429"/>
      <c r="O563" s="429"/>
      <c r="P563" s="429"/>
      <c r="Q563" s="429"/>
    </row>
    <row r="564" spans="1:17" ht="30" customHeight="1" x14ac:dyDescent="0.2">
      <c r="A564" s="2032"/>
      <c r="B564" s="2030"/>
      <c r="C564" s="1564"/>
      <c r="D564" s="1550"/>
      <c r="E564" s="44"/>
      <c r="F564" s="1550"/>
      <c r="G564" s="1540"/>
      <c r="H564" s="1540"/>
      <c r="I564" s="518"/>
      <c r="J564" s="1540">
        <f>G564</f>
        <v>0</v>
      </c>
      <c r="K564" s="1587">
        <f>F564-J564</f>
        <v>0</v>
      </c>
      <c r="L564" s="2211"/>
      <c r="M564" s="429"/>
      <c r="N564" s="429"/>
      <c r="O564" s="429"/>
      <c r="P564" s="429"/>
      <c r="Q564" s="429"/>
    </row>
    <row r="565" spans="1:17" ht="30" customHeight="1" x14ac:dyDescent="0.2">
      <c r="A565" s="1535">
        <v>371</v>
      </c>
      <c r="B565" s="1532" t="s">
        <v>1801</v>
      </c>
      <c r="C565" s="1564" t="s">
        <v>971</v>
      </c>
      <c r="D565" s="1540">
        <v>50000000</v>
      </c>
      <c r="E565" s="1593">
        <v>0.04</v>
      </c>
      <c r="F565" s="1540">
        <f>D565*E565</f>
        <v>2000000</v>
      </c>
      <c r="G565" s="1540">
        <v>2000000</v>
      </c>
      <c r="H565" s="1540" t="s">
        <v>3546</v>
      </c>
      <c r="I565" s="518" t="s">
        <v>1802</v>
      </c>
      <c r="J565" s="1540">
        <f>G565</f>
        <v>2000000</v>
      </c>
      <c r="K565" s="1582">
        <f>F565-J565</f>
        <v>0</v>
      </c>
      <c r="L565" s="428"/>
      <c r="M565" s="429"/>
      <c r="N565" s="429"/>
      <c r="O565" s="429"/>
      <c r="P565" s="429"/>
      <c r="Q565" s="429"/>
    </row>
    <row r="566" spans="1:17" ht="30" customHeight="1" x14ac:dyDescent="0.2">
      <c r="A566" s="1535">
        <v>372</v>
      </c>
      <c r="B566" s="1532" t="s">
        <v>1809</v>
      </c>
      <c r="C566" s="1564"/>
      <c r="D566" s="1550"/>
      <c r="E566" s="44"/>
      <c r="F566" s="1550"/>
      <c r="G566" s="1540"/>
      <c r="H566" s="1540"/>
      <c r="I566" s="518"/>
      <c r="J566" s="1540">
        <f>G566</f>
        <v>0</v>
      </c>
      <c r="K566" s="1587"/>
      <c r="L566" s="428"/>
      <c r="M566" s="429"/>
      <c r="N566" s="429"/>
      <c r="O566" s="429"/>
      <c r="P566" s="429"/>
      <c r="Q566" s="429"/>
    </row>
    <row r="567" spans="1:17" ht="30" customHeight="1" x14ac:dyDescent="0.2">
      <c r="A567" s="2031"/>
      <c r="B567" s="2029" t="s">
        <v>1828</v>
      </c>
      <c r="C567" s="2149"/>
      <c r="D567" s="2040">
        <v>20000000</v>
      </c>
      <c r="E567" s="2037">
        <v>0.05</v>
      </c>
      <c r="F567" s="2040">
        <f>D567*E567</f>
        <v>1000000</v>
      </c>
      <c r="G567" s="1673">
        <v>500000</v>
      </c>
      <c r="H567" s="1673" t="s">
        <v>3632</v>
      </c>
      <c r="I567" s="1673" t="s">
        <v>3633</v>
      </c>
      <c r="J567" s="2040">
        <f>G567+G568</f>
        <v>1000000</v>
      </c>
      <c r="K567" s="2210">
        <f>F567-J567</f>
        <v>0</v>
      </c>
      <c r="L567" s="428" t="s">
        <v>2913</v>
      </c>
      <c r="M567" s="429"/>
      <c r="N567" s="429"/>
      <c r="O567" s="429"/>
      <c r="P567" s="429"/>
      <c r="Q567" s="429"/>
    </row>
    <row r="568" spans="1:17" ht="30" customHeight="1" x14ac:dyDescent="0.2">
      <c r="A568" s="2032"/>
      <c r="B568" s="2030"/>
      <c r="C568" s="2150"/>
      <c r="D568" s="2042"/>
      <c r="E568" s="2039"/>
      <c r="F568" s="2042"/>
      <c r="G568" s="1663">
        <v>500000</v>
      </c>
      <c r="H568" s="1663" t="s">
        <v>3632</v>
      </c>
      <c r="I568" s="1673" t="s">
        <v>3633</v>
      </c>
      <c r="J568" s="2042"/>
      <c r="K568" s="2211"/>
      <c r="L568" s="428"/>
      <c r="M568" s="429"/>
      <c r="N568" s="429"/>
      <c r="O568" s="429"/>
      <c r="P568" s="429"/>
      <c r="Q568" s="429"/>
    </row>
    <row r="569" spans="1:17" ht="30" customHeight="1" x14ac:dyDescent="0.2">
      <c r="A569" s="1535">
        <v>374</v>
      </c>
      <c r="B569" s="1532" t="s">
        <v>1830</v>
      </c>
      <c r="C569" s="1564"/>
      <c r="D569" s="1550"/>
      <c r="E569" s="1552"/>
      <c r="F569" s="1550"/>
      <c r="G569" s="1540"/>
      <c r="H569" s="1540"/>
      <c r="I569" s="518"/>
      <c r="J569" s="1540">
        <f>G569</f>
        <v>0</v>
      </c>
      <c r="K569" s="1587">
        <f t="shared" ref="K569:K574" si="52">F569-J569</f>
        <v>0</v>
      </c>
      <c r="L569" s="428"/>
      <c r="M569" s="429"/>
      <c r="N569" s="429"/>
      <c r="O569" s="429"/>
      <c r="P569" s="429"/>
      <c r="Q569" s="429"/>
    </row>
    <row r="570" spans="1:17" ht="30" customHeight="1" x14ac:dyDescent="0.2">
      <c r="A570" s="1535">
        <v>375</v>
      </c>
      <c r="B570" s="1532" t="s">
        <v>1838</v>
      </c>
      <c r="C570" s="1564"/>
      <c r="D570" s="1540">
        <v>100000000</v>
      </c>
      <c r="E570" s="1593">
        <v>0.05</v>
      </c>
      <c r="F570" s="1540">
        <f>D570*E570</f>
        <v>5000000</v>
      </c>
      <c r="G570" s="1540">
        <v>5000000</v>
      </c>
      <c r="H570" s="1540" t="s">
        <v>3568</v>
      </c>
      <c r="I570" s="518" t="s">
        <v>3573</v>
      </c>
      <c r="J570" s="1540">
        <f>G570</f>
        <v>5000000</v>
      </c>
      <c r="K570" s="1582">
        <f t="shared" si="52"/>
        <v>0</v>
      </c>
      <c r="L570" s="428"/>
      <c r="M570" s="429"/>
      <c r="N570" s="429"/>
      <c r="O570" s="429"/>
      <c r="P570" s="429"/>
      <c r="Q570" s="429"/>
    </row>
    <row r="571" spans="1:17" ht="30" customHeight="1" x14ac:dyDescent="0.2">
      <c r="A571" s="1535">
        <v>376</v>
      </c>
      <c r="B571" s="1532" t="s">
        <v>3730</v>
      </c>
      <c r="C571" s="1564"/>
      <c r="D571" s="1550"/>
      <c r="E571" s="44"/>
      <c r="F571" s="1550"/>
      <c r="G571" s="1540">
        <v>3000000</v>
      </c>
      <c r="H571" s="1540" t="s">
        <v>3708</v>
      </c>
      <c r="I571" s="518" t="s">
        <v>1846</v>
      </c>
      <c r="J571" s="1540">
        <f>G571</f>
        <v>3000000</v>
      </c>
      <c r="K571" s="1587">
        <f t="shared" si="52"/>
        <v>-3000000</v>
      </c>
      <c r="L571" s="428"/>
      <c r="M571" s="429"/>
      <c r="N571" s="429"/>
      <c r="O571" s="429"/>
      <c r="P571" s="429"/>
      <c r="Q571" s="429"/>
    </row>
    <row r="572" spans="1:17" ht="30" customHeight="1" x14ac:dyDescent="0.2">
      <c r="A572" s="1535">
        <v>377</v>
      </c>
      <c r="B572" s="1532" t="s">
        <v>1859</v>
      </c>
      <c r="C572" s="1564" t="s">
        <v>1750</v>
      </c>
      <c r="D572" s="1540">
        <v>153000000</v>
      </c>
      <c r="E572" s="1593">
        <v>7.0000000000000007E-2</v>
      </c>
      <c r="F572" s="1540">
        <f>D572*E572</f>
        <v>10710000.000000002</v>
      </c>
      <c r="G572" s="1540">
        <v>10710000</v>
      </c>
      <c r="H572" s="1540" t="s">
        <v>3680</v>
      </c>
      <c r="I572" s="518" t="s">
        <v>2076</v>
      </c>
      <c r="J572" s="1540">
        <f>G572</f>
        <v>10710000</v>
      </c>
      <c r="K572" s="1582">
        <f t="shared" si="52"/>
        <v>0</v>
      </c>
      <c r="L572" s="428"/>
      <c r="M572" s="429"/>
      <c r="N572" s="429"/>
      <c r="O572" s="429"/>
      <c r="P572" s="429"/>
      <c r="Q572" s="429"/>
    </row>
    <row r="573" spans="1:17" ht="30" customHeight="1" x14ac:dyDescent="0.2">
      <c r="A573" s="1535">
        <v>378</v>
      </c>
      <c r="B573" s="1532" t="s">
        <v>1906</v>
      </c>
      <c r="C573" s="1564" t="s">
        <v>916</v>
      </c>
      <c r="D573" s="1540">
        <v>300000000</v>
      </c>
      <c r="E573" s="1593">
        <v>5.0999999999999997E-2</v>
      </c>
      <c r="F573" s="1540">
        <v>15500000</v>
      </c>
      <c r="G573" s="1540">
        <v>15500000</v>
      </c>
      <c r="H573" s="1540" t="s">
        <v>3574</v>
      </c>
      <c r="I573" s="518" t="s">
        <v>3206</v>
      </c>
      <c r="J573" s="1540">
        <f>G573</f>
        <v>15500000</v>
      </c>
      <c r="K573" s="1582">
        <f t="shared" si="52"/>
        <v>0</v>
      </c>
      <c r="L573" s="428"/>
      <c r="M573" s="429"/>
      <c r="N573" s="429"/>
      <c r="O573" s="429"/>
      <c r="P573" s="429"/>
      <c r="Q573" s="429"/>
    </row>
    <row r="574" spans="1:17" ht="30" customHeight="1" x14ac:dyDescent="0.2">
      <c r="A574" s="2031">
        <v>379</v>
      </c>
      <c r="B574" s="2029" t="s">
        <v>1865</v>
      </c>
      <c r="C574" s="2149" t="s">
        <v>380</v>
      </c>
      <c r="D574" s="2040">
        <v>50000000</v>
      </c>
      <c r="E574" s="2037">
        <v>0.04</v>
      </c>
      <c r="F574" s="2040">
        <f>D574*E574</f>
        <v>2000000</v>
      </c>
      <c r="G574" s="2040">
        <v>2000000</v>
      </c>
      <c r="H574" s="2040" t="s">
        <v>3680</v>
      </c>
      <c r="I574" s="2297" t="s">
        <v>3686</v>
      </c>
      <c r="J574" s="2040">
        <f>G574+G575</f>
        <v>2000000</v>
      </c>
      <c r="K574" s="2210">
        <f t="shared" si="52"/>
        <v>0</v>
      </c>
      <c r="L574" s="2210"/>
      <c r="M574" s="429"/>
      <c r="N574" s="429"/>
      <c r="O574" s="429"/>
      <c r="P574" s="429"/>
      <c r="Q574" s="429"/>
    </row>
    <row r="575" spans="1:17" ht="30" customHeight="1" x14ac:dyDescent="0.2">
      <c r="A575" s="2032"/>
      <c r="B575" s="2030"/>
      <c r="C575" s="2150"/>
      <c r="D575" s="2042"/>
      <c r="E575" s="2039"/>
      <c r="F575" s="2042"/>
      <c r="G575" s="2042"/>
      <c r="H575" s="2042"/>
      <c r="I575" s="2298"/>
      <c r="J575" s="2042"/>
      <c r="K575" s="2211"/>
      <c r="L575" s="2211"/>
      <c r="M575" s="429"/>
      <c r="N575" s="429"/>
      <c r="O575" s="429"/>
      <c r="P575" s="429"/>
      <c r="Q575" s="429"/>
    </row>
    <row r="576" spans="1:17" ht="30" customHeight="1" x14ac:dyDescent="0.2">
      <c r="A576" s="1535">
        <v>380</v>
      </c>
      <c r="B576" s="1532" t="s">
        <v>1911</v>
      </c>
      <c r="C576" s="1564" t="s">
        <v>1131</v>
      </c>
      <c r="D576" s="1540">
        <v>10000000</v>
      </c>
      <c r="E576" s="1593">
        <v>0.05</v>
      </c>
      <c r="F576" s="1540">
        <f>D576*E576</f>
        <v>500000</v>
      </c>
      <c r="G576" s="1540"/>
      <c r="H576" s="1540"/>
      <c r="I576" s="518"/>
      <c r="J576" s="1540">
        <f>G576</f>
        <v>0</v>
      </c>
      <c r="K576" s="1582">
        <f>F576-J576</f>
        <v>500000</v>
      </c>
      <c r="L576" s="428" t="s">
        <v>1995</v>
      </c>
      <c r="M576" s="429"/>
      <c r="N576" s="429"/>
      <c r="O576" s="429"/>
      <c r="P576" s="429"/>
      <c r="Q576" s="429"/>
    </row>
    <row r="577" spans="1:17" ht="30" customHeight="1" x14ac:dyDescent="0.2">
      <c r="A577" s="1535">
        <v>381</v>
      </c>
      <c r="B577" s="1532" t="s">
        <v>1914</v>
      </c>
      <c r="C577" s="1564" t="s">
        <v>916</v>
      </c>
      <c r="D577" s="1540">
        <v>50000000</v>
      </c>
      <c r="E577" s="1593">
        <v>0.05</v>
      </c>
      <c r="F577" s="1540">
        <f>D577*E577</f>
        <v>2500000</v>
      </c>
      <c r="G577" s="1540">
        <v>2500000</v>
      </c>
      <c r="H577" s="1540" t="s">
        <v>3632</v>
      </c>
      <c r="I577" s="518" t="s">
        <v>3664</v>
      </c>
      <c r="J577" s="1540">
        <f>G577</f>
        <v>2500000</v>
      </c>
      <c r="K577" s="1582">
        <f>F577-J577</f>
        <v>0</v>
      </c>
      <c r="L577" s="428"/>
      <c r="M577" s="429"/>
      <c r="N577" s="429"/>
      <c r="O577" s="429"/>
      <c r="P577" s="429"/>
      <c r="Q577" s="429"/>
    </row>
    <row r="578" spans="1:17" ht="30" customHeight="1" x14ac:dyDescent="0.2">
      <c r="A578" s="1535">
        <v>382</v>
      </c>
      <c r="B578" s="1532" t="s">
        <v>1929</v>
      </c>
      <c r="C578" s="1564" t="s">
        <v>265</v>
      </c>
      <c r="D578" s="1540">
        <v>150000000</v>
      </c>
      <c r="E578" s="1593"/>
      <c r="F578" s="1540"/>
      <c r="G578" s="1540"/>
      <c r="H578" s="1540"/>
      <c r="I578" s="518"/>
      <c r="J578" s="1540"/>
      <c r="K578" s="1582"/>
      <c r="L578" s="428"/>
      <c r="M578" s="429"/>
      <c r="N578" s="429"/>
      <c r="O578" s="429"/>
      <c r="P578" s="429"/>
      <c r="Q578" s="429"/>
    </row>
    <row r="579" spans="1:17" ht="30" customHeight="1" x14ac:dyDescent="0.2">
      <c r="A579" s="1535">
        <v>383</v>
      </c>
      <c r="B579" s="1532" t="s">
        <v>1940</v>
      </c>
      <c r="C579" s="1564" t="s">
        <v>265</v>
      </c>
      <c r="D579" s="1540">
        <v>10000000</v>
      </c>
      <c r="E579" s="1593">
        <v>7.0000000000000007E-2</v>
      </c>
      <c r="F579" s="1540">
        <f t="shared" ref="F579:F584" si="53">D579*E579</f>
        <v>700000.00000000012</v>
      </c>
      <c r="G579" s="1540">
        <v>700000</v>
      </c>
      <c r="H579" s="1540" t="s">
        <v>3696</v>
      </c>
      <c r="I579" s="518" t="s">
        <v>3072</v>
      </c>
      <c r="J579" s="1540">
        <f>G579</f>
        <v>700000</v>
      </c>
      <c r="K579" s="1582">
        <f>F579-J579</f>
        <v>0</v>
      </c>
      <c r="L579" s="428"/>
      <c r="M579" s="429"/>
      <c r="N579" s="429"/>
      <c r="O579" s="429"/>
      <c r="P579" s="429"/>
      <c r="Q579" s="429"/>
    </row>
    <row r="580" spans="1:17" ht="30" customHeight="1" x14ac:dyDescent="0.2">
      <c r="A580" s="673">
        <v>384</v>
      </c>
      <c r="B580" s="1532" t="s">
        <v>1985</v>
      </c>
      <c r="C580" s="1564" t="s">
        <v>265</v>
      </c>
      <c r="D580" s="1540">
        <v>150000000</v>
      </c>
      <c r="E580" s="1593">
        <v>7.0000000000000007E-2</v>
      </c>
      <c r="F580" s="1540">
        <f t="shared" si="53"/>
        <v>10500000.000000002</v>
      </c>
      <c r="G580" s="1540">
        <v>10500000</v>
      </c>
      <c r="H580" s="1540" t="s">
        <v>3827</v>
      </c>
      <c r="I580" s="518" t="s">
        <v>2084</v>
      </c>
      <c r="J580" s="1540">
        <f>G580</f>
        <v>10500000</v>
      </c>
      <c r="K580" s="1582">
        <f>F580-J580</f>
        <v>0</v>
      </c>
      <c r="L580" s="428"/>
      <c r="M580" s="429"/>
      <c r="N580" s="429"/>
      <c r="O580" s="429"/>
      <c r="P580" s="429"/>
      <c r="Q580" s="429"/>
    </row>
    <row r="581" spans="1:17" ht="30" customHeight="1" x14ac:dyDescent="0.2">
      <c r="A581" s="1535">
        <v>385</v>
      </c>
      <c r="B581" s="1532" t="s">
        <v>2001</v>
      </c>
      <c r="C581" s="1564" t="s">
        <v>379</v>
      </c>
      <c r="D581" s="1540">
        <v>12000000</v>
      </c>
      <c r="E581" s="1593">
        <v>0.05</v>
      </c>
      <c r="F581" s="1540">
        <f t="shared" si="53"/>
        <v>600000</v>
      </c>
      <c r="G581" s="1540">
        <v>600000</v>
      </c>
      <c r="H581" s="1540" t="s">
        <v>3708</v>
      </c>
      <c r="I581" s="518" t="s">
        <v>3724</v>
      </c>
      <c r="J581" s="1540">
        <f>G581</f>
        <v>600000</v>
      </c>
      <c r="K581" s="1582">
        <f>F581-J581</f>
        <v>0</v>
      </c>
      <c r="L581" s="428" t="s">
        <v>2002</v>
      </c>
      <c r="M581" s="429"/>
      <c r="N581" s="429"/>
      <c r="O581" s="429"/>
      <c r="P581" s="429"/>
      <c r="Q581" s="429"/>
    </row>
    <row r="582" spans="1:17" ht="30" customHeight="1" x14ac:dyDescent="0.2">
      <c r="A582" s="426">
        <v>386</v>
      </c>
      <c r="B582" s="1591" t="s">
        <v>3236</v>
      </c>
      <c r="C582" s="1563" t="s">
        <v>1378</v>
      </c>
      <c r="D582" s="1538">
        <v>200000000</v>
      </c>
      <c r="E582" s="1536">
        <v>0.06</v>
      </c>
      <c r="F582" s="1538">
        <f t="shared" si="53"/>
        <v>12000000</v>
      </c>
      <c r="G582" s="1540">
        <v>12000000</v>
      </c>
      <c r="H582" s="1540" t="s">
        <v>3864</v>
      </c>
      <c r="I582" s="518" t="s">
        <v>2067</v>
      </c>
      <c r="J582" s="1538">
        <f>G582</f>
        <v>12000000</v>
      </c>
      <c r="K582" s="1581">
        <f>F582-J582</f>
        <v>0</v>
      </c>
      <c r="L582" s="1581"/>
      <c r="M582" s="429"/>
      <c r="N582" s="429"/>
      <c r="O582" s="429"/>
      <c r="P582" s="429"/>
      <c r="Q582" s="429"/>
    </row>
    <row r="583" spans="1:17" ht="30" customHeight="1" x14ac:dyDescent="0.2">
      <c r="A583" s="1533">
        <v>387</v>
      </c>
      <c r="B583" s="1594" t="s">
        <v>2047</v>
      </c>
      <c r="C583" s="1595"/>
      <c r="D583" s="1565">
        <v>60000000</v>
      </c>
      <c r="E583" s="1593">
        <v>0.04</v>
      </c>
      <c r="F583" s="1565">
        <f t="shared" si="53"/>
        <v>2400000</v>
      </c>
      <c r="G583" s="1565">
        <v>2400000</v>
      </c>
      <c r="H583" s="1565" t="s">
        <v>1232</v>
      </c>
      <c r="I583" s="1094" t="s">
        <v>3907</v>
      </c>
      <c r="J583" s="1565">
        <f>G583</f>
        <v>2400000</v>
      </c>
      <c r="K583" s="1528">
        <f>F583-J583</f>
        <v>0</v>
      </c>
      <c r="L583" s="1581"/>
      <c r="M583" s="429"/>
      <c r="N583" s="429"/>
      <c r="O583" s="429"/>
      <c r="P583" s="429"/>
      <c r="Q583" s="429"/>
    </row>
    <row r="584" spans="1:17" ht="30" customHeight="1" x14ac:dyDescent="0.2">
      <c r="A584" s="2268"/>
      <c r="B584" s="2267" t="s">
        <v>2077</v>
      </c>
      <c r="C584" s="2266" t="s">
        <v>3446</v>
      </c>
      <c r="D584" s="2157">
        <v>150000000</v>
      </c>
      <c r="E584" s="2262">
        <v>0.05</v>
      </c>
      <c r="F584" s="2157">
        <f t="shared" si="53"/>
        <v>7500000</v>
      </c>
      <c r="G584" s="2426" t="s">
        <v>3444</v>
      </c>
      <c r="H584" s="2427"/>
      <c r="I584" s="2427"/>
      <c r="J584" s="2428"/>
      <c r="K584" s="2210"/>
      <c r="L584" s="428" t="s">
        <v>3354</v>
      </c>
      <c r="M584" s="429"/>
      <c r="N584" s="429"/>
      <c r="O584" s="429"/>
      <c r="P584" s="429"/>
      <c r="Q584" s="429"/>
    </row>
    <row r="585" spans="1:17" ht="30" customHeight="1" x14ac:dyDescent="0.2">
      <c r="A585" s="2268"/>
      <c r="B585" s="2267"/>
      <c r="C585" s="2266"/>
      <c r="D585" s="2157"/>
      <c r="E585" s="2262"/>
      <c r="F585" s="2157"/>
      <c r="G585" s="2429"/>
      <c r="H585" s="2430"/>
      <c r="I585" s="2430"/>
      <c r="J585" s="2431"/>
      <c r="K585" s="2211"/>
      <c r="L585" s="428" t="s">
        <v>3445</v>
      </c>
      <c r="M585" s="429"/>
      <c r="N585" s="429"/>
      <c r="O585" s="429"/>
      <c r="P585" s="429"/>
      <c r="Q585" s="429"/>
    </row>
    <row r="586" spans="1:17" ht="30" customHeight="1" x14ac:dyDescent="0.2">
      <c r="A586" s="1535">
        <v>390</v>
      </c>
      <c r="B586" s="1532" t="s">
        <v>2126</v>
      </c>
      <c r="C586" s="1564"/>
      <c r="D586" s="1540">
        <v>5000000</v>
      </c>
      <c r="E586" s="1537">
        <v>0.05</v>
      </c>
      <c r="F586" s="1540">
        <f>D586*E586</f>
        <v>250000</v>
      </c>
      <c r="G586" s="1540">
        <v>250000</v>
      </c>
      <c r="H586" s="1540" t="s">
        <v>3508</v>
      </c>
      <c r="I586" s="518" t="s">
        <v>2675</v>
      </c>
      <c r="J586" s="1540">
        <f>G586</f>
        <v>250000</v>
      </c>
      <c r="K586" s="1582">
        <f>F586-J586</f>
        <v>0</v>
      </c>
      <c r="L586" s="428"/>
      <c r="M586" s="429"/>
      <c r="N586" s="429"/>
      <c r="O586" s="429"/>
      <c r="P586" s="429"/>
      <c r="Q586" s="429"/>
    </row>
    <row r="587" spans="1:17" ht="30" customHeight="1" x14ac:dyDescent="0.2">
      <c r="A587" s="2268">
        <v>391</v>
      </c>
      <c r="B587" s="2267" t="s">
        <v>2133</v>
      </c>
      <c r="C587" s="2266" t="s">
        <v>3537</v>
      </c>
      <c r="D587" s="2157">
        <v>1000000000</v>
      </c>
      <c r="E587" s="2262">
        <v>0.05</v>
      </c>
      <c r="F587" s="2157">
        <f>D587*E587</f>
        <v>50000000</v>
      </c>
      <c r="G587" s="2040">
        <v>50000000</v>
      </c>
      <c r="H587" s="2040" t="s">
        <v>3844</v>
      </c>
      <c r="I587" s="2040" t="s">
        <v>3344</v>
      </c>
      <c r="J587" s="2040">
        <f>G587</f>
        <v>50000000</v>
      </c>
      <c r="K587" s="2040">
        <f>F587-J587</f>
        <v>0</v>
      </c>
      <c r="L587" s="2205" t="s">
        <v>3346</v>
      </c>
      <c r="M587" s="429"/>
      <c r="N587" s="429"/>
      <c r="O587" s="429"/>
      <c r="P587" s="429"/>
      <c r="Q587" s="429"/>
    </row>
    <row r="588" spans="1:17" ht="30" customHeight="1" x14ac:dyDescent="0.2">
      <c r="A588" s="2268"/>
      <c r="B588" s="2267"/>
      <c r="C588" s="2266"/>
      <c r="D588" s="2157"/>
      <c r="E588" s="2262"/>
      <c r="F588" s="2157"/>
      <c r="G588" s="2042"/>
      <c r="H588" s="2042"/>
      <c r="I588" s="2042"/>
      <c r="J588" s="2042"/>
      <c r="K588" s="2042"/>
      <c r="L588" s="2206"/>
      <c r="M588" s="429"/>
      <c r="N588" s="429"/>
      <c r="O588" s="429"/>
      <c r="P588" s="429"/>
      <c r="Q588" s="429"/>
    </row>
    <row r="589" spans="1:17" ht="30" customHeight="1" x14ac:dyDescent="0.2">
      <c r="A589" s="1535">
        <v>392</v>
      </c>
      <c r="B589" s="1532" t="s">
        <v>2178</v>
      </c>
      <c r="C589" s="1564" t="s">
        <v>1349</v>
      </c>
      <c r="D589" s="1540">
        <v>50000000</v>
      </c>
      <c r="E589" s="1593">
        <v>0.05</v>
      </c>
      <c r="F589" s="1540">
        <f>D589*E589</f>
        <v>2500000</v>
      </c>
      <c r="G589" s="1540">
        <v>2500000</v>
      </c>
      <c r="H589" s="1540" t="s">
        <v>2609</v>
      </c>
      <c r="I589" s="518" t="s">
        <v>3191</v>
      </c>
      <c r="J589" s="1540">
        <f>G589</f>
        <v>2500000</v>
      </c>
      <c r="K589" s="1582">
        <f>F589-J589</f>
        <v>0</v>
      </c>
      <c r="L589" s="428" t="s">
        <v>2166</v>
      </c>
      <c r="M589" s="429"/>
      <c r="N589" s="429"/>
      <c r="O589" s="429"/>
      <c r="P589" s="429"/>
      <c r="Q589" s="429"/>
    </row>
    <row r="590" spans="1:17" ht="30" customHeight="1" x14ac:dyDescent="0.2">
      <c r="A590" s="2031">
        <v>393</v>
      </c>
      <c r="B590" s="2029" t="s">
        <v>2170</v>
      </c>
      <c r="C590" s="1564"/>
      <c r="D590" s="1756">
        <v>30000000</v>
      </c>
      <c r="E590" s="1761">
        <f>F590/D590</f>
        <v>0.05</v>
      </c>
      <c r="F590" s="1756">
        <v>1500000</v>
      </c>
      <c r="G590" s="1756">
        <v>1500000</v>
      </c>
      <c r="H590" s="1756" t="s">
        <v>3844</v>
      </c>
      <c r="I590" s="518" t="s">
        <v>3853</v>
      </c>
      <c r="J590" s="1756">
        <f>G590</f>
        <v>1500000</v>
      </c>
      <c r="K590" s="1760">
        <f>F590-J590</f>
        <v>0</v>
      </c>
      <c r="L590" s="428"/>
      <c r="M590" s="429"/>
      <c r="N590" s="429"/>
      <c r="O590" s="429"/>
      <c r="P590" s="429"/>
      <c r="Q590" s="429"/>
    </row>
    <row r="591" spans="1:17" ht="30" customHeight="1" x14ac:dyDescent="0.2">
      <c r="A591" s="2034"/>
      <c r="B591" s="2033"/>
      <c r="C591" s="2149"/>
      <c r="D591" s="2097"/>
      <c r="E591" s="2195"/>
      <c r="F591" s="2098"/>
      <c r="G591" s="2154" t="s">
        <v>3735</v>
      </c>
      <c r="H591" s="2155"/>
      <c r="I591" s="2155"/>
      <c r="J591" s="2156"/>
      <c r="K591" s="2210"/>
      <c r="L591" s="428"/>
      <c r="M591" s="429"/>
      <c r="N591" s="429"/>
      <c r="O591" s="429"/>
      <c r="P591" s="429"/>
      <c r="Q591" s="429"/>
    </row>
    <row r="592" spans="1:17" ht="30" customHeight="1" x14ac:dyDescent="0.2">
      <c r="A592" s="2034"/>
      <c r="B592" s="2033"/>
      <c r="C592" s="2158"/>
      <c r="D592" s="2269"/>
      <c r="E592" s="1964"/>
      <c r="F592" s="2270"/>
      <c r="G592" s="2154" t="s">
        <v>3736</v>
      </c>
      <c r="H592" s="2155"/>
      <c r="I592" s="2155"/>
      <c r="J592" s="2156"/>
      <c r="K592" s="2273"/>
      <c r="L592" s="428"/>
      <c r="M592" s="429"/>
      <c r="N592" s="429"/>
      <c r="O592" s="429"/>
      <c r="P592" s="429"/>
      <c r="Q592" s="429"/>
    </row>
    <row r="593" spans="1:17" ht="30" customHeight="1" x14ac:dyDescent="0.2">
      <c r="A593" s="2034"/>
      <c r="B593" s="2033"/>
      <c r="C593" s="2158"/>
      <c r="D593" s="2269"/>
      <c r="E593" s="1964"/>
      <c r="F593" s="2270"/>
      <c r="G593" s="2154" t="s">
        <v>3737</v>
      </c>
      <c r="H593" s="2155"/>
      <c r="I593" s="2155"/>
      <c r="J593" s="2156"/>
      <c r="K593" s="2273"/>
      <c r="L593" s="428"/>
      <c r="M593" s="429"/>
      <c r="N593" s="429"/>
      <c r="O593" s="429"/>
      <c r="P593" s="429"/>
      <c r="Q593" s="429"/>
    </row>
    <row r="594" spans="1:17" ht="30" customHeight="1" x14ac:dyDescent="0.2">
      <c r="A594" s="2034"/>
      <c r="B594" s="2033"/>
      <c r="C594" s="2158"/>
      <c r="D594" s="2099"/>
      <c r="E594" s="2196"/>
      <c r="F594" s="2100"/>
      <c r="G594" s="2154" t="s">
        <v>3738</v>
      </c>
      <c r="H594" s="2155"/>
      <c r="I594" s="2155"/>
      <c r="J594" s="2156"/>
      <c r="K594" s="2211"/>
      <c r="L594" s="428"/>
      <c r="M594" s="429"/>
      <c r="N594" s="429"/>
      <c r="O594" s="429"/>
      <c r="P594" s="429"/>
      <c r="Q594" s="429"/>
    </row>
    <row r="595" spans="1:17" ht="30" customHeight="1" x14ac:dyDescent="0.2">
      <c r="A595" s="2032"/>
      <c r="B595" s="2030"/>
      <c r="C595" s="2150"/>
      <c r="D595" s="1756">
        <v>70000000</v>
      </c>
      <c r="E595" s="1761"/>
      <c r="F595" s="1756"/>
      <c r="G595" s="1757"/>
      <c r="H595" s="1759"/>
      <c r="I595" s="1759"/>
      <c r="J595" s="1758"/>
      <c r="K595" s="1760"/>
      <c r="L595" s="428"/>
      <c r="M595" s="429"/>
      <c r="N595" s="429"/>
      <c r="O595" s="429"/>
      <c r="P595" s="429"/>
      <c r="Q595" s="429"/>
    </row>
    <row r="596" spans="1:17" ht="30" customHeight="1" x14ac:dyDescent="0.2">
      <c r="A596" s="2031"/>
      <c r="B596" s="725" t="s">
        <v>2182</v>
      </c>
      <c r="C596" s="2399" t="s">
        <v>1378</v>
      </c>
      <c r="D596" s="727">
        <v>600000000</v>
      </c>
      <c r="E596" s="728">
        <v>0.06</v>
      </c>
      <c r="F596" s="727">
        <f>D596*E596</f>
        <v>36000000</v>
      </c>
      <c r="G596" s="2040"/>
      <c r="H596" s="2040"/>
      <c r="I596" s="2297"/>
      <c r="J596" s="2040"/>
      <c r="K596" s="1582"/>
      <c r="L596" s="428" t="s">
        <v>2166</v>
      </c>
      <c r="M596" s="429"/>
      <c r="N596" s="429"/>
      <c r="O596" s="429"/>
      <c r="P596" s="429"/>
      <c r="Q596" s="429"/>
    </row>
    <row r="597" spans="1:17" ht="30" customHeight="1" x14ac:dyDescent="0.2">
      <c r="A597" s="2034"/>
      <c r="B597" s="725" t="s">
        <v>2179</v>
      </c>
      <c r="C597" s="2417"/>
      <c r="D597" s="727">
        <v>310000000</v>
      </c>
      <c r="E597" s="728">
        <v>0.06</v>
      </c>
      <c r="F597" s="727">
        <f t="shared" ref="F597:F600" si="54">D597*E597</f>
        <v>18600000</v>
      </c>
      <c r="G597" s="2041"/>
      <c r="H597" s="2041"/>
      <c r="I597" s="2432"/>
      <c r="J597" s="2041"/>
      <c r="K597" s="1582"/>
      <c r="L597" s="428" t="s">
        <v>2166</v>
      </c>
      <c r="M597" s="429"/>
      <c r="N597" s="429"/>
      <c r="O597" s="429"/>
      <c r="P597" s="429"/>
      <c r="Q597" s="429"/>
    </row>
    <row r="598" spans="1:17" ht="30" customHeight="1" x14ac:dyDescent="0.2">
      <c r="A598" s="2034"/>
      <c r="B598" s="725" t="s">
        <v>2183</v>
      </c>
      <c r="C598" s="2417"/>
      <c r="D598" s="727">
        <v>50000000</v>
      </c>
      <c r="E598" s="728">
        <v>0.06</v>
      </c>
      <c r="F598" s="727">
        <f t="shared" si="54"/>
        <v>3000000</v>
      </c>
      <c r="G598" s="2041"/>
      <c r="H598" s="2041"/>
      <c r="I598" s="2432"/>
      <c r="J598" s="2041"/>
      <c r="K598" s="1582"/>
      <c r="L598" s="428" t="s">
        <v>2166</v>
      </c>
      <c r="M598" s="429"/>
      <c r="N598" s="429"/>
      <c r="O598" s="429"/>
      <c r="P598" s="429"/>
      <c r="Q598" s="429"/>
    </row>
    <row r="599" spans="1:17" ht="30" customHeight="1" x14ac:dyDescent="0.2">
      <c r="A599" s="2034"/>
      <c r="B599" s="725" t="s">
        <v>2180</v>
      </c>
      <c r="C599" s="2417"/>
      <c r="D599" s="727">
        <v>110000000</v>
      </c>
      <c r="E599" s="728">
        <v>0.06</v>
      </c>
      <c r="F599" s="727">
        <f t="shared" si="54"/>
        <v>6600000</v>
      </c>
      <c r="G599" s="2041"/>
      <c r="H599" s="2041"/>
      <c r="I599" s="2432"/>
      <c r="J599" s="2041"/>
      <c r="K599" s="1582"/>
      <c r="L599" s="428" t="s">
        <v>2166</v>
      </c>
      <c r="M599" s="429"/>
      <c r="N599" s="429"/>
      <c r="O599" s="429"/>
      <c r="P599" s="429"/>
      <c r="Q599" s="429"/>
    </row>
    <row r="600" spans="1:17" ht="30" customHeight="1" x14ac:dyDescent="0.2">
      <c r="A600" s="2034"/>
      <c r="B600" s="725" t="s">
        <v>2181</v>
      </c>
      <c r="C600" s="2400"/>
      <c r="D600" s="727">
        <v>100000000</v>
      </c>
      <c r="E600" s="728">
        <v>0.06</v>
      </c>
      <c r="F600" s="727">
        <f t="shared" si="54"/>
        <v>6000000</v>
      </c>
      <c r="G600" s="2042"/>
      <c r="H600" s="2042"/>
      <c r="I600" s="2298"/>
      <c r="J600" s="2042"/>
      <c r="K600" s="1582"/>
      <c r="L600" s="428" t="s">
        <v>2166</v>
      </c>
      <c r="M600" s="429"/>
      <c r="N600" s="429"/>
      <c r="O600" s="429"/>
      <c r="P600" s="429"/>
      <c r="Q600" s="429"/>
    </row>
    <row r="601" spans="1:17" ht="30" customHeight="1" x14ac:dyDescent="0.2">
      <c r="A601" s="2034"/>
      <c r="B601" s="2395" t="s">
        <v>3570</v>
      </c>
      <c r="C601" s="2399" t="s">
        <v>1378</v>
      </c>
      <c r="D601" s="2397">
        <f>SUM(D596:D600)</f>
        <v>1170000000</v>
      </c>
      <c r="E601" s="2424"/>
      <c r="F601" s="2397">
        <f>SUM(F596:F600)</f>
        <v>70200000</v>
      </c>
      <c r="G601" s="1540">
        <v>20000000</v>
      </c>
      <c r="H601" s="1540" t="s">
        <v>3568</v>
      </c>
      <c r="I601" s="518" t="s">
        <v>3569</v>
      </c>
      <c r="J601" s="2040">
        <f>G601+G602</f>
        <v>60200000</v>
      </c>
      <c r="K601" s="2210">
        <f>F601-J601</f>
        <v>10000000</v>
      </c>
      <c r="L601" s="2210"/>
      <c r="M601" s="429"/>
      <c r="N601" s="429"/>
      <c r="O601" s="429"/>
      <c r="P601" s="429"/>
      <c r="Q601" s="429"/>
    </row>
    <row r="602" spans="1:17" ht="30" customHeight="1" x14ac:dyDescent="0.2">
      <c r="A602" s="2032"/>
      <c r="B602" s="2396"/>
      <c r="C602" s="2400"/>
      <c r="D602" s="2398"/>
      <c r="E602" s="2425"/>
      <c r="F602" s="2398"/>
      <c r="G602" s="1637">
        <v>40200000</v>
      </c>
      <c r="H602" s="1637" t="s">
        <v>3587</v>
      </c>
      <c r="I602" s="518">
        <v>8792421809</v>
      </c>
      <c r="J602" s="2042"/>
      <c r="K602" s="2211"/>
      <c r="L602" s="2211"/>
      <c r="M602" s="429"/>
      <c r="N602" s="429"/>
      <c r="O602" s="429"/>
      <c r="P602" s="429"/>
      <c r="Q602" s="429"/>
    </row>
    <row r="603" spans="1:17" ht="30" customHeight="1" x14ac:dyDescent="0.2">
      <c r="A603" s="1596"/>
      <c r="B603" s="1594" t="s">
        <v>2199</v>
      </c>
      <c r="C603" s="1595"/>
      <c r="D603" s="1565">
        <v>200000000</v>
      </c>
      <c r="E603" s="1593">
        <v>7.0000000000000007E-2</v>
      </c>
      <c r="F603" s="1565">
        <f t="shared" ref="F603:F608" si="55">D603*E603</f>
        <v>14000000.000000002</v>
      </c>
      <c r="G603" s="1540"/>
      <c r="H603" s="1540"/>
      <c r="I603" s="518"/>
      <c r="J603" s="1565">
        <f>G603</f>
        <v>0</v>
      </c>
      <c r="K603" s="1528">
        <f>F603-J603</f>
        <v>14000000.000000002</v>
      </c>
      <c r="L603" s="1581"/>
      <c r="M603" s="429"/>
      <c r="N603" s="429"/>
      <c r="O603" s="429"/>
      <c r="P603" s="429"/>
      <c r="Q603" s="429"/>
    </row>
    <row r="604" spans="1:17" ht="30" customHeight="1" x14ac:dyDescent="0.2">
      <c r="A604" s="1535"/>
      <c r="B604" s="1532" t="s">
        <v>2219</v>
      </c>
      <c r="C604" s="1564"/>
      <c r="D604" s="1540">
        <v>13000000</v>
      </c>
      <c r="E604" s="1593">
        <v>0.05</v>
      </c>
      <c r="F604" s="1540">
        <f t="shared" si="55"/>
        <v>650000</v>
      </c>
      <c r="G604" s="1540">
        <v>650000</v>
      </c>
      <c r="H604" s="1540" t="s">
        <v>3827</v>
      </c>
      <c r="I604" s="518" t="s">
        <v>3128</v>
      </c>
      <c r="J604" s="1540">
        <f>G604</f>
        <v>650000</v>
      </c>
      <c r="K604" s="1582">
        <f>F604-J604</f>
        <v>0</v>
      </c>
      <c r="L604" s="428"/>
      <c r="M604" s="429"/>
      <c r="N604" s="429"/>
      <c r="O604" s="429"/>
      <c r="P604" s="429"/>
      <c r="Q604" s="429"/>
    </row>
    <row r="605" spans="1:17" ht="30" customHeight="1" x14ac:dyDescent="0.2">
      <c r="A605" s="1535"/>
      <c r="B605" s="1532" t="s">
        <v>2258</v>
      </c>
      <c r="C605" s="1564"/>
      <c r="D605" s="1540">
        <v>50000000</v>
      </c>
      <c r="E605" s="1593">
        <v>0.04</v>
      </c>
      <c r="F605" s="1540">
        <f t="shared" si="55"/>
        <v>2000000</v>
      </c>
      <c r="G605" s="1540"/>
      <c r="H605" s="1540"/>
      <c r="I605" s="518"/>
      <c r="J605" s="1540">
        <f>G605</f>
        <v>0</v>
      </c>
      <c r="K605" s="1582">
        <f>F605-G605</f>
        <v>2000000</v>
      </c>
      <c r="L605" s="428"/>
      <c r="M605" s="429"/>
      <c r="N605" s="429"/>
      <c r="O605" s="429"/>
      <c r="P605" s="429"/>
      <c r="Q605" s="429"/>
    </row>
    <row r="606" spans="1:17" ht="30" customHeight="1" x14ac:dyDescent="0.2">
      <c r="A606" s="1721"/>
      <c r="B606" s="1744" t="s">
        <v>2259</v>
      </c>
      <c r="C606" s="385"/>
      <c r="D606" s="1724">
        <v>100000000</v>
      </c>
      <c r="E606" s="1722">
        <v>0.05</v>
      </c>
      <c r="F606" s="1724">
        <f t="shared" si="55"/>
        <v>5000000</v>
      </c>
      <c r="G606" s="1725">
        <v>5000000</v>
      </c>
      <c r="H606" s="1725" t="s">
        <v>3708</v>
      </c>
      <c r="I606" s="1755" t="s">
        <v>3731</v>
      </c>
      <c r="J606" s="1724">
        <f>G606</f>
        <v>5000000</v>
      </c>
      <c r="K606" s="1741">
        <f>F606-J606</f>
        <v>0</v>
      </c>
      <c r="L606" s="1741"/>
      <c r="M606" s="429"/>
      <c r="N606" s="429"/>
      <c r="O606" s="429"/>
      <c r="P606" s="429"/>
      <c r="Q606" s="429"/>
    </row>
    <row r="607" spans="1:17" s="1618" customFormat="1" ht="30" customHeight="1" x14ac:dyDescent="0.2">
      <c r="A607" s="1748"/>
      <c r="B607" s="1747" t="s">
        <v>2338</v>
      </c>
      <c r="C607" s="1746" t="s">
        <v>1378</v>
      </c>
      <c r="D607" s="1736">
        <v>30000000</v>
      </c>
      <c r="E607" s="1745">
        <v>0.05</v>
      </c>
      <c r="F607" s="1736">
        <f t="shared" si="55"/>
        <v>1500000</v>
      </c>
      <c r="G607" s="1736">
        <v>1500000</v>
      </c>
      <c r="H607" s="1736" t="s">
        <v>2741</v>
      </c>
      <c r="I607" s="1736" t="s">
        <v>3348</v>
      </c>
      <c r="J607" s="1736">
        <f>G607</f>
        <v>1500000</v>
      </c>
      <c r="K607" s="1736">
        <f>F607-J607</f>
        <v>0</v>
      </c>
      <c r="L607" s="428"/>
      <c r="M607" s="430"/>
      <c r="N607" s="430"/>
      <c r="O607" s="430"/>
      <c r="P607" s="430"/>
      <c r="Q607" s="430"/>
    </row>
    <row r="608" spans="1:17" ht="30" customHeight="1" x14ac:dyDescent="0.2">
      <c r="A608" s="1535"/>
      <c r="B608" s="1532" t="s">
        <v>2409</v>
      </c>
      <c r="C608" s="1564" t="s">
        <v>1354</v>
      </c>
      <c r="D608" s="1540">
        <v>600000000</v>
      </c>
      <c r="E608" s="1723">
        <v>0.05</v>
      </c>
      <c r="F608" s="1540">
        <f t="shared" si="55"/>
        <v>30000000</v>
      </c>
      <c r="G608" s="1540"/>
      <c r="H608" s="1540"/>
      <c r="I608" s="518"/>
      <c r="J608" s="1540"/>
      <c r="K608" s="1582"/>
      <c r="L608" s="1738"/>
      <c r="M608" s="429"/>
      <c r="N608" s="429"/>
      <c r="O608" s="429"/>
      <c r="P608" s="429"/>
      <c r="Q608" s="429"/>
    </row>
    <row r="609" spans="1:17" ht="30" customHeight="1" x14ac:dyDescent="0.2">
      <c r="A609" s="1535"/>
      <c r="B609" s="1532" t="s">
        <v>2427</v>
      </c>
      <c r="C609" s="1564"/>
      <c r="D609" s="1550"/>
      <c r="E609" s="44"/>
      <c r="F609" s="1550"/>
      <c r="G609" s="1540"/>
      <c r="H609" s="1540"/>
      <c r="I609" s="518"/>
      <c r="J609" s="1540">
        <f t="shared" ref="J609:J615" si="56">G609</f>
        <v>0</v>
      </c>
      <c r="K609" s="1587"/>
      <c r="L609" s="428" t="s">
        <v>2209</v>
      </c>
      <c r="M609" s="429"/>
      <c r="N609" s="429"/>
      <c r="O609" s="429"/>
      <c r="P609" s="429"/>
      <c r="Q609" s="429"/>
    </row>
    <row r="610" spans="1:17" ht="30" customHeight="1" x14ac:dyDescent="0.2">
      <c r="A610" s="1535"/>
      <c r="B610" s="1553" t="s">
        <v>2438</v>
      </c>
      <c r="C610" s="1580"/>
      <c r="D610" s="1550"/>
      <c r="E610" s="44"/>
      <c r="F610" s="1550"/>
      <c r="G610" s="1550">
        <v>9000000</v>
      </c>
      <c r="H610" s="1550" t="s">
        <v>1232</v>
      </c>
      <c r="I610" s="848" t="s">
        <v>2439</v>
      </c>
      <c r="J610" s="1550">
        <f t="shared" si="56"/>
        <v>9000000</v>
      </c>
      <c r="K610" s="1587">
        <f>F610-J610</f>
        <v>-9000000</v>
      </c>
      <c r="L610" s="428" t="s">
        <v>3908</v>
      </c>
      <c r="M610" s="429"/>
      <c r="N610" s="429"/>
      <c r="O610" s="429"/>
      <c r="P610" s="429"/>
      <c r="Q610" s="429"/>
    </row>
    <row r="611" spans="1:17" ht="30" customHeight="1" x14ac:dyDescent="0.2">
      <c r="A611" s="1535"/>
      <c r="B611" s="1532" t="s">
        <v>2479</v>
      </c>
      <c r="C611" s="1564"/>
      <c r="D611" s="1540">
        <v>25000000</v>
      </c>
      <c r="E611" s="1593">
        <v>0.04</v>
      </c>
      <c r="F611" s="1540">
        <f>D611*E611</f>
        <v>1000000</v>
      </c>
      <c r="G611" s="1540"/>
      <c r="H611" s="1540"/>
      <c r="I611" s="518"/>
      <c r="J611" s="1540">
        <f t="shared" si="56"/>
        <v>0</v>
      </c>
      <c r="K611" s="1582">
        <f>F611-J611</f>
        <v>1000000</v>
      </c>
      <c r="L611" s="428"/>
      <c r="M611" s="429"/>
      <c r="N611" s="429"/>
      <c r="O611" s="429"/>
      <c r="P611" s="429"/>
      <c r="Q611" s="429"/>
    </row>
    <row r="612" spans="1:17" ht="30" customHeight="1" x14ac:dyDescent="0.2">
      <c r="A612" s="1535"/>
      <c r="B612" s="1532" t="s">
        <v>2520</v>
      </c>
      <c r="C612" s="1564"/>
      <c r="D612" s="1550"/>
      <c r="E612" s="44"/>
      <c r="F612" s="1550"/>
      <c r="G612" s="1540"/>
      <c r="H612" s="1540"/>
      <c r="I612" s="518"/>
      <c r="J612" s="1540">
        <f t="shared" si="56"/>
        <v>0</v>
      </c>
      <c r="K612" s="1587">
        <f>F612-J612</f>
        <v>0</v>
      </c>
      <c r="L612" s="428"/>
      <c r="M612" s="429"/>
      <c r="N612" s="429"/>
      <c r="O612" s="429"/>
      <c r="P612" s="429"/>
      <c r="Q612" s="429"/>
    </row>
    <row r="613" spans="1:17" ht="30" customHeight="1" x14ac:dyDescent="0.2">
      <c r="A613" s="2031"/>
      <c r="B613" s="2029" t="s">
        <v>2523</v>
      </c>
      <c r="C613" s="2149"/>
      <c r="D613" s="2080">
        <v>880000000</v>
      </c>
      <c r="E613" s="2082"/>
      <c r="F613" s="2080"/>
      <c r="G613" s="1540">
        <v>20000000</v>
      </c>
      <c r="H613" s="1540" t="s">
        <v>3757</v>
      </c>
      <c r="I613" s="518" t="s">
        <v>3770</v>
      </c>
      <c r="J613" s="2040">
        <f>G613+G614</f>
        <v>40000000</v>
      </c>
      <c r="K613" s="2238">
        <f>F613-J613</f>
        <v>-40000000</v>
      </c>
      <c r="L613" s="2210"/>
      <c r="M613" s="429"/>
      <c r="N613" s="429"/>
      <c r="O613" s="429"/>
      <c r="P613" s="429"/>
      <c r="Q613" s="429"/>
    </row>
    <row r="614" spans="1:17" ht="30" customHeight="1" x14ac:dyDescent="0.2">
      <c r="A614" s="2032"/>
      <c r="B614" s="2030"/>
      <c r="C614" s="2150"/>
      <c r="D614" s="2081"/>
      <c r="E614" s="2083"/>
      <c r="F614" s="2081"/>
      <c r="G614" s="1781">
        <v>20000000</v>
      </c>
      <c r="H614" s="1781" t="s">
        <v>3811</v>
      </c>
      <c r="I614" s="518" t="s">
        <v>3770</v>
      </c>
      <c r="J614" s="2042"/>
      <c r="K614" s="2239"/>
      <c r="L614" s="2211"/>
      <c r="M614" s="429"/>
      <c r="N614" s="429"/>
      <c r="O614" s="429"/>
      <c r="P614" s="429"/>
      <c r="Q614" s="429"/>
    </row>
    <row r="615" spans="1:17" ht="30" customHeight="1" x14ac:dyDescent="0.2">
      <c r="A615" s="2031"/>
      <c r="B615" s="2029" t="s">
        <v>2789</v>
      </c>
      <c r="C615" s="2266" t="s">
        <v>1750</v>
      </c>
      <c r="D615" s="1540">
        <v>100000000</v>
      </c>
      <c r="E615" s="1593">
        <v>0.05</v>
      </c>
      <c r="F615" s="1540">
        <f>D615*E615</f>
        <v>5000000</v>
      </c>
      <c r="G615" s="1565">
        <v>5000000</v>
      </c>
      <c r="H615" s="1565" t="s">
        <v>3587</v>
      </c>
      <c r="I615" s="1565" t="s">
        <v>2790</v>
      </c>
      <c r="J615" s="1565">
        <f t="shared" si="56"/>
        <v>5000000</v>
      </c>
      <c r="K615" s="1582">
        <f>F615-J615</f>
        <v>0</v>
      </c>
      <c r="L615" s="428" t="s">
        <v>3357</v>
      </c>
      <c r="M615" s="429"/>
      <c r="N615" s="429"/>
      <c r="O615" s="429"/>
      <c r="P615" s="429"/>
      <c r="Q615" s="429"/>
    </row>
    <row r="616" spans="1:17" ht="30" customHeight="1" x14ac:dyDescent="0.2">
      <c r="A616" s="2034"/>
      <c r="B616" s="2033"/>
      <c r="C616" s="2266"/>
      <c r="D616" s="1540">
        <v>220000000</v>
      </c>
      <c r="E616" s="1593">
        <v>0.05</v>
      </c>
      <c r="F616" s="1540">
        <f>D616*E616</f>
        <v>11000000</v>
      </c>
      <c r="G616" s="2154" t="s">
        <v>3356</v>
      </c>
      <c r="H616" s="2155"/>
      <c r="I616" s="2155"/>
      <c r="J616" s="2156"/>
      <c r="K616" s="1582"/>
      <c r="L616" s="428" t="s">
        <v>3538</v>
      </c>
      <c r="M616" s="429"/>
      <c r="N616" s="429"/>
      <c r="O616" s="429"/>
      <c r="P616" s="429"/>
      <c r="Q616" s="429"/>
    </row>
    <row r="617" spans="1:17" ht="30" customHeight="1" x14ac:dyDescent="0.2">
      <c r="A617" s="2032"/>
      <c r="B617" s="2030"/>
      <c r="C617" s="1814" t="s">
        <v>3537</v>
      </c>
      <c r="D617" s="1810">
        <v>1000000000</v>
      </c>
      <c r="E617" s="1819">
        <v>6.5000000000000002E-2</v>
      </c>
      <c r="F617" s="1810">
        <f>D617*E617</f>
        <v>65000000</v>
      </c>
      <c r="G617" s="2154" t="s">
        <v>3842</v>
      </c>
      <c r="H617" s="2155"/>
      <c r="I617" s="2155"/>
      <c r="J617" s="2156"/>
      <c r="K617" s="1818"/>
      <c r="L617" s="428"/>
      <c r="M617" s="429"/>
      <c r="N617" s="429"/>
      <c r="O617" s="429"/>
      <c r="P617" s="429"/>
      <c r="Q617" s="429"/>
    </row>
    <row r="618" spans="1:17" ht="30" customHeight="1" x14ac:dyDescent="0.2">
      <c r="A618" s="1535"/>
      <c r="B618" s="1532" t="s">
        <v>2542</v>
      </c>
      <c r="C618" s="1564"/>
      <c r="D618" s="1540">
        <v>20000000</v>
      </c>
      <c r="E618" s="1593">
        <v>0.05</v>
      </c>
      <c r="F618" s="1540">
        <f>D618*E618</f>
        <v>1000000</v>
      </c>
      <c r="G618" s="1540">
        <v>1000000</v>
      </c>
      <c r="H618" s="1540" t="s">
        <v>3844</v>
      </c>
      <c r="I618" s="518" t="s">
        <v>3138</v>
      </c>
      <c r="J618" s="1540">
        <f>G618</f>
        <v>1000000</v>
      </c>
      <c r="K618" s="1582">
        <f>F618-J618</f>
        <v>0</v>
      </c>
      <c r="L618" s="428"/>
      <c r="M618" s="429"/>
      <c r="N618" s="429"/>
      <c r="O618" s="429"/>
      <c r="P618" s="429"/>
      <c r="Q618" s="429"/>
    </row>
    <row r="619" spans="1:17" ht="30" customHeight="1" x14ac:dyDescent="0.2">
      <c r="A619" s="2031"/>
      <c r="B619" s="2029" t="s">
        <v>2607</v>
      </c>
      <c r="C619" s="2149" t="s">
        <v>916</v>
      </c>
      <c r="D619" s="1540">
        <v>51000000</v>
      </c>
      <c r="E619" s="1593">
        <v>0.06</v>
      </c>
      <c r="F619" s="1540">
        <f>D619*E619</f>
        <v>3060000</v>
      </c>
      <c r="G619" s="1947" t="s">
        <v>3659</v>
      </c>
      <c r="H619" s="1948"/>
      <c r="I619" s="1948"/>
      <c r="J619" s="1948"/>
      <c r="K619" s="1688"/>
      <c r="L619" s="428"/>
      <c r="M619" s="429"/>
      <c r="N619" s="429"/>
      <c r="O619" s="429"/>
      <c r="P619" s="429"/>
      <c r="Q619" s="429"/>
    </row>
    <row r="620" spans="1:17" ht="30" customHeight="1" x14ac:dyDescent="0.2">
      <c r="A620" s="2034"/>
      <c r="B620" s="2033"/>
      <c r="C620" s="2158"/>
      <c r="D620" s="1540">
        <f>D619+F619+F619</f>
        <v>57120000</v>
      </c>
      <c r="E620" s="1593">
        <v>0.06</v>
      </c>
      <c r="F620" s="1540">
        <v>3425000</v>
      </c>
      <c r="G620" s="1947" t="s">
        <v>3660</v>
      </c>
      <c r="H620" s="1948"/>
      <c r="I620" s="1948"/>
      <c r="J620" s="1949"/>
      <c r="K620" s="1556"/>
      <c r="L620" s="428"/>
      <c r="M620" s="429"/>
      <c r="N620" s="429"/>
      <c r="O620" s="429"/>
      <c r="P620" s="429"/>
      <c r="Q620" s="429"/>
    </row>
    <row r="621" spans="1:17" ht="30" customHeight="1" x14ac:dyDescent="0.2">
      <c r="A621" s="2032"/>
      <c r="B621" s="2030"/>
      <c r="C621" s="2150"/>
      <c r="D621" s="1540"/>
      <c r="E621" s="1593"/>
      <c r="F621" s="1540"/>
      <c r="G621" s="1716">
        <v>3427000</v>
      </c>
      <c r="H621" s="1716" t="s">
        <v>3632</v>
      </c>
      <c r="I621" s="1716" t="s">
        <v>3658</v>
      </c>
      <c r="J621" s="1716">
        <f>G621</f>
        <v>3427000</v>
      </c>
      <c r="K621" s="1556"/>
      <c r="L621" s="428" t="s">
        <v>3519</v>
      </c>
      <c r="M621" s="429"/>
      <c r="N621" s="429"/>
      <c r="O621" s="429"/>
      <c r="P621" s="429"/>
      <c r="Q621" s="429"/>
    </row>
    <row r="622" spans="1:17" ht="30" customHeight="1" x14ac:dyDescent="0.2">
      <c r="A622" s="1535"/>
      <c r="B622" s="1532" t="s">
        <v>2659</v>
      </c>
      <c r="C622" s="1564" t="s">
        <v>1110</v>
      </c>
      <c r="D622" s="1540">
        <v>80000000</v>
      </c>
      <c r="E622" s="1593">
        <v>0.05</v>
      </c>
      <c r="F622" s="1637">
        <f>D622*E622</f>
        <v>4000000</v>
      </c>
      <c r="G622" s="1644">
        <v>4000000</v>
      </c>
      <c r="H622" s="1644" t="s">
        <v>3508</v>
      </c>
      <c r="I622" s="1644" t="s">
        <v>3549</v>
      </c>
      <c r="J622" s="1644">
        <f>G622</f>
        <v>4000000</v>
      </c>
      <c r="K622" s="1644">
        <f>F622-J622</f>
        <v>0</v>
      </c>
      <c r="L622" s="428"/>
      <c r="M622" s="429"/>
      <c r="N622" s="429"/>
      <c r="O622" s="429"/>
      <c r="P622" s="429"/>
      <c r="Q622" s="429"/>
    </row>
    <row r="623" spans="1:17" ht="30" customHeight="1" x14ac:dyDescent="0.2">
      <c r="A623" s="2031"/>
      <c r="B623" s="2029" t="s">
        <v>2775</v>
      </c>
      <c r="C623" s="2149"/>
      <c r="D623" s="2080"/>
      <c r="E623" s="2082"/>
      <c r="F623" s="2080"/>
      <c r="G623" s="1565"/>
      <c r="H623" s="1565"/>
      <c r="I623" s="1565"/>
      <c r="J623" s="2040">
        <f>G623+G624+G625</f>
        <v>0</v>
      </c>
      <c r="K623" s="2080">
        <f>F623-J623</f>
        <v>0</v>
      </c>
      <c r="L623" s="2210"/>
      <c r="M623" s="429"/>
      <c r="N623" s="429"/>
      <c r="O623" s="429"/>
      <c r="P623" s="429"/>
      <c r="Q623" s="429"/>
    </row>
    <row r="624" spans="1:17" ht="30" customHeight="1" x14ac:dyDescent="0.2">
      <c r="A624" s="2034"/>
      <c r="B624" s="2033"/>
      <c r="C624" s="2158"/>
      <c r="D624" s="2126"/>
      <c r="E624" s="2127"/>
      <c r="F624" s="2126"/>
      <c r="G624" s="1540"/>
      <c r="H624" s="1540"/>
      <c r="I624" s="1565"/>
      <c r="J624" s="2041"/>
      <c r="K624" s="2126"/>
      <c r="L624" s="2273"/>
      <c r="M624" s="429"/>
      <c r="N624" s="429"/>
      <c r="O624" s="429"/>
      <c r="P624" s="429"/>
      <c r="Q624" s="429"/>
    </row>
    <row r="625" spans="1:17" ht="30" customHeight="1" x14ac:dyDescent="0.2">
      <c r="A625" s="2032"/>
      <c r="B625" s="2030"/>
      <c r="C625" s="2150"/>
      <c r="D625" s="2081"/>
      <c r="E625" s="2083"/>
      <c r="F625" s="2081"/>
      <c r="G625" s="1540"/>
      <c r="H625" s="1540"/>
      <c r="I625" s="1555"/>
      <c r="J625" s="2042"/>
      <c r="K625" s="2081"/>
      <c r="L625" s="2211"/>
      <c r="M625" s="429"/>
      <c r="N625" s="429"/>
      <c r="O625" s="429"/>
      <c r="P625" s="429"/>
      <c r="Q625" s="429"/>
    </row>
    <row r="626" spans="1:17" ht="30" customHeight="1" x14ac:dyDescent="0.2">
      <c r="A626" s="1535"/>
      <c r="B626" s="1532" t="s">
        <v>2693</v>
      </c>
      <c r="C626" s="1564"/>
      <c r="D626" s="1540">
        <v>10000000</v>
      </c>
      <c r="E626" s="1593"/>
      <c r="F626" s="1540"/>
      <c r="G626" s="1540"/>
      <c r="H626" s="1540"/>
      <c r="I626" s="518"/>
      <c r="J626" s="1540"/>
      <c r="K626" s="1582"/>
      <c r="L626" s="428" t="s">
        <v>2694</v>
      </c>
      <c r="M626" s="429"/>
      <c r="N626" s="429"/>
      <c r="O626" s="429"/>
      <c r="P626" s="429"/>
      <c r="Q626" s="429"/>
    </row>
    <row r="627" spans="1:17" ht="30" customHeight="1" x14ac:dyDescent="0.2">
      <c r="A627" s="1713"/>
      <c r="B627" s="1719" t="s">
        <v>2856</v>
      </c>
      <c r="C627" s="1718"/>
      <c r="D627" s="1716">
        <v>186000000</v>
      </c>
      <c r="E627" s="1717">
        <v>5.5E-2</v>
      </c>
      <c r="F627" s="1716">
        <f>D627*E627</f>
        <v>10230000</v>
      </c>
      <c r="G627" s="1716">
        <v>9000000</v>
      </c>
      <c r="H627" s="1716" t="s">
        <v>3632</v>
      </c>
      <c r="I627" s="1094" t="s">
        <v>3247</v>
      </c>
      <c r="J627" s="1716">
        <f>G627</f>
        <v>9000000</v>
      </c>
      <c r="K627" s="1711">
        <f>F627-J627</f>
        <v>1230000</v>
      </c>
      <c r="L627" s="1720" t="s">
        <v>3671</v>
      </c>
      <c r="M627" s="429"/>
      <c r="N627" s="429"/>
      <c r="O627" s="429"/>
      <c r="P627" s="429"/>
      <c r="Q627" s="429"/>
    </row>
    <row r="628" spans="1:17" ht="30" customHeight="1" x14ac:dyDescent="0.2">
      <c r="A628" s="1596"/>
      <c r="B628" s="1712" t="s">
        <v>2715</v>
      </c>
      <c r="C628" s="1715"/>
      <c r="D628" s="1540">
        <v>60000000</v>
      </c>
      <c r="E628" s="1714">
        <v>5.5E-2</v>
      </c>
      <c r="F628" s="1540"/>
      <c r="G628" s="1540">
        <v>3300000</v>
      </c>
      <c r="H628" s="1540" t="s">
        <v>3632</v>
      </c>
      <c r="I628" s="518" t="s">
        <v>3247</v>
      </c>
      <c r="J628" s="1540">
        <f>G628</f>
        <v>3300000</v>
      </c>
      <c r="K628" s="1582">
        <f>F628-J628</f>
        <v>-3300000</v>
      </c>
      <c r="L628" s="428" t="s">
        <v>3670</v>
      </c>
      <c r="M628" s="429"/>
      <c r="N628" s="429"/>
      <c r="O628" s="429"/>
      <c r="P628" s="429"/>
      <c r="Q628" s="429"/>
    </row>
    <row r="629" spans="1:17" ht="30" customHeight="1" x14ac:dyDescent="0.2">
      <c r="A629" s="1535"/>
      <c r="B629" s="1532" t="s">
        <v>2751</v>
      </c>
      <c r="C629" s="1564"/>
      <c r="D629" s="1550"/>
      <c r="E629" s="44"/>
      <c r="F629" s="1550"/>
      <c r="G629" s="1540"/>
      <c r="H629" s="1540"/>
      <c r="I629" s="518"/>
      <c r="J629" s="1540">
        <f>G629</f>
        <v>0</v>
      </c>
      <c r="K629" s="1587">
        <f>F629-J629</f>
        <v>0</v>
      </c>
      <c r="L629" s="428"/>
      <c r="M629" s="429"/>
      <c r="N629" s="429"/>
      <c r="O629" s="429"/>
      <c r="P629" s="429"/>
      <c r="Q629" s="429"/>
    </row>
    <row r="630" spans="1:17" ht="30" customHeight="1" x14ac:dyDescent="0.2">
      <c r="A630" s="2031"/>
      <c r="B630" s="2029" t="s">
        <v>2753</v>
      </c>
      <c r="C630" s="2149"/>
      <c r="D630" s="1924">
        <v>4215000000</v>
      </c>
      <c r="E630" s="1925">
        <v>0.05</v>
      </c>
      <c r="F630" s="1924">
        <f>D630*E630</f>
        <v>210750000</v>
      </c>
      <c r="G630" s="1540"/>
      <c r="H630" s="1540"/>
      <c r="I630" s="518"/>
      <c r="J630" s="2040"/>
      <c r="K630" s="2238"/>
      <c r="L630" s="2210"/>
      <c r="M630" s="429"/>
      <c r="N630" s="429"/>
      <c r="O630" s="429"/>
      <c r="P630" s="429"/>
      <c r="Q630" s="429"/>
    </row>
    <row r="631" spans="1:17" ht="30" customHeight="1" x14ac:dyDescent="0.2">
      <c r="A631" s="2034"/>
      <c r="B631" s="2033"/>
      <c r="C631" s="2158"/>
      <c r="D631" s="1924">
        <v>2000000000</v>
      </c>
      <c r="E631" s="1925">
        <v>7.0000000000000007E-2</v>
      </c>
      <c r="F631" s="1924">
        <f t="shared" ref="F631:F633" si="57">D631*E631</f>
        <v>140000000</v>
      </c>
      <c r="G631" s="1540"/>
      <c r="H631" s="1540"/>
      <c r="I631" s="518"/>
      <c r="J631" s="2042"/>
      <c r="K631" s="2239"/>
      <c r="L631" s="2211"/>
      <c r="M631" s="429"/>
      <c r="N631" s="429"/>
      <c r="O631" s="429"/>
      <c r="P631" s="429"/>
      <c r="Q631" s="429"/>
    </row>
    <row r="632" spans="1:17" ht="30" customHeight="1" x14ac:dyDescent="0.2">
      <c r="A632" s="2034"/>
      <c r="B632" s="2033"/>
      <c r="C632" s="2158"/>
      <c r="D632" s="1924">
        <v>3785000000</v>
      </c>
      <c r="E632" s="1925">
        <v>0.06</v>
      </c>
      <c r="F632" s="1924">
        <f t="shared" si="57"/>
        <v>227100000</v>
      </c>
      <c r="G632" s="1540"/>
      <c r="H632" s="1540"/>
      <c r="I632" s="1626"/>
      <c r="J632" s="1626"/>
      <c r="K632" s="1587"/>
      <c r="L632" s="1578"/>
      <c r="M632" s="429"/>
      <c r="N632" s="429"/>
      <c r="O632" s="429"/>
      <c r="P632" s="429"/>
      <c r="Q632" s="429"/>
    </row>
    <row r="633" spans="1:17" ht="30" customHeight="1" x14ac:dyDescent="0.2">
      <c r="A633" s="2034"/>
      <c r="B633" s="2033"/>
      <c r="C633" s="2158"/>
      <c r="D633" s="1924">
        <v>2915000000</v>
      </c>
      <c r="E633" s="1925">
        <v>0.08</v>
      </c>
      <c r="F633" s="1924">
        <f t="shared" si="57"/>
        <v>233200000</v>
      </c>
      <c r="G633" s="1540"/>
      <c r="H633" s="1540"/>
      <c r="I633" s="1094"/>
      <c r="J633" s="1540"/>
      <c r="K633" s="1587"/>
      <c r="L633" s="1578"/>
      <c r="M633" s="429"/>
      <c r="N633" s="429"/>
      <c r="O633" s="429"/>
      <c r="P633" s="429"/>
      <c r="Q633" s="429"/>
    </row>
    <row r="634" spans="1:17" ht="30" customHeight="1" x14ac:dyDescent="0.2">
      <c r="A634" s="2032"/>
      <c r="B634" s="2030"/>
      <c r="C634" s="2150"/>
      <c r="D634" s="2482">
        <f>SUM(D630:D633)</f>
        <v>12915000000</v>
      </c>
      <c r="E634" s="2517"/>
      <c r="F634" s="2482">
        <f>SUM(F630:F633)</f>
        <v>811050000</v>
      </c>
      <c r="G634" s="1540"/>
      <c r="H634" s="1540"/>
      <c r="I634" s="1694"/>
      <c r="J634" s="1614"/>
      <c r="K634" s="1587"/>
      <c r="L634" s="1582"/>
      <c r="M634" s="429"/>
      <c r="N634" s="429"/>
      <c r="O634" s="429"/>
      <c r="P634" s="429"/>
      <c r="Q634" s="429"/>
    </row>
    <row r="635" spans="1:17" ht="30" customHeight="1" x14ac:dyDescent="0.2">
      <c r="A635" s="1596"/>
      <c r="B635" s="1155" t="s">
        <v>2764</v>
      </c>
      <c r="C635" s="1564"/>
      <c r="D635" s="1550"/>
      <c r="E635" s="44"/>
      <c r="F635" s="1550"/>
      <c r="G635" s="1540">
        <v>4500000</v>
      </c>
      <c r="H635" s="1540" t="s">
        <v>3610</v>
      </c>
      <c r="I635" s="518" t="s">
        <v>1831</v>
      </c>
      <c r="J635" s="1540">
        <f t="shared" ref="J635:J643" si="58">G635</f>
        <v>4500000</v>
      </c>
      <c r="K635" s="1587">
        <f t="shared" ref="K635:K644" si="59">F635-J635</f>
        <v>-4500000</v>
      </c>
      <c r="L635" s="428"/>
      <c r="M635" s="429"/>
      <c r="N635" s="429"/>
      <c r="O635" s="429"/>
      <c r="P635" s="429"/>
      <c r="Q635" s="429"/>
    </row>
    <row r="636" spans="1:17" ht="30" customHeight="1" x14ac:dyDescent="0.2">
      <c r="A636" s="1596"/>
      <c r="B636" s="1594" t="s">
        <v>2781</v>
      </c>
      <c r="C636" s="1564"/>
      <c r="D636" s="1550"/>
      <c r="E636" s="44"/>
      <c r="F636" s="1550"/>
      <c r="G636" s="1540">
        <v>2800000</v>
      </c>
      <c r="H636" s="1540" t="s">
        <v>3581</v>
      </c>
      <c r="I636" s="518" t="s">
        <v>2782</v>
      </c>
      <c r="J636" s="1540">
        <f t="shared" si="58"/>
        <v>2800000</v>
      </c>
      <c r="K636" s="1587">
        <f t="shared" si="59"/>
        <v>-2800000</v>
      </c>
      <c r="L636" s="428" t="s">
        <v>3840</v>
      </c>
      <c r="M636" s="429"/>
      <c r="N636" s="429"/>
      <c r="O636" s="429"/>
      <c r="P636" s="429"/>
      <c r="Q636" s="429"/>
    </row>
    <row r="637" spans="1:17" ht="30" customHeight="1" x14ac:dyDescent="0.2">
      <c r="A637" s="1596"/>
      <c r="B637" s="1594" t="s">
        <v>2792</v>
      </c>
      <c r="C637" s="1595"/>
      <c r="D637" s="1554"/>
      <c r="E637" s="44"/>
      <c r="F637" s="1554"/>
      <c r="G637" s="1565"/>
      <c r="H637" s="1565"/>
      <c r="I637" s="1094"/>
      <c r="J637" s="1565">
        <f t="shared" si="58"/>
        <v>0</v>
      </c>
      <c r="K637" s="1095">
        <f t="shared" si="59"/>
        <v>0</v>
      </c>
      <c r="L637" s="428"/>
      <c r="M637" s="429"/>
      <c r="N637" s="429"/>
      <c r="O637" s="429"/>
      <c r="P637" s="429"/>
      <c r="Q637" s="429"/>
    </row>
    <row r="638" spans="1:17" ht="30" customHeight="1" x14ac:dyDescent="0.2">
      <c r="A638" s="153"/>
      <c r="B638" s="3" t="s">
        <v>2834</v>
      </c>
      <c r="C638" s="1594"/>
      <c r="D638" s="1550"/>
      <c r="E638" s="44"/>
      <c r="F638" s="1550"/>
      <c r="G638" s="1540">
        <v>14000000</v>
      </c>
      <c r="H638" s="1540" t="s">
        <v>3696</v>
      </c>
      <c r="I638" s="518" t="s">
        <v>2835</v>
      </c>
      <c r="J638" s="1540">
        <f t="shared" si="58"/>
        <v>14000000</v>
      </c>
      <c r="K638" s="1587">
        <f t="shared" si="59"/>
        <v>-14000000</v>
      </c>
      <c r="L638" s="428"/>
      <c r="M638" s="429"/>
      <c r="N638" s="429"/>
      <c r="O638" s="429"/>
      <c r="P638" s="429"/>
      <c r="Q638" s="429"/>
    </row>
    <row r="639" spans="1:17" ht="30" customHeight="1" x14ac:dyDescent="0.2">
      <c r="A639" s="1596"/>
      <c r="B639" s="1594" t="s">
        <v>2844</v>
      </c>
      <c r="C639" s="1532"/>
      <c r="D639" s="1540">
        <v>30000000</v>
      </c>
      <c r="E639" s="1593">
        <v>0.05</v>
      </c>
      <c r="F639" s="1540">
        <f t="shared" ref="F639:F644" si="60">D639*E639</f>
        <v>1500000</v>
      </c>
      <c r="G639" s="1736">
        <v>1500000</v>
      </c>
      <c r="H639" s="1736" t="s">
        <v>3680</v>
      </c>
      <c r="I639" s="1736" t="s">
        <v>3685</v>
      </c>
      <c r="J639" s="1736">
        <f t="shared" si="58"/>
        <v>1500000</v>
      </c>
      <c r="K639" s="1582">
        <f t="shared" si="59"/>
        <v>0</v>
      </c>
      <c r="L639" s="428" t="s">
        <v>2843</v>
      </c>
      <c r="M639" s="429"/>
      <c r="N639" s="429"/>
      <c r="O639" s="429"/>
      <c r="P639" s="429"/>
      <c r="Q639" s="429"/>
    </row>
    <row r="640" spans="1:17" ht="30" customHeight="1" x14ac:dyDescent="0.2">
      <c r="A640" s="1596"/>
      <c r="B640" s="1594" t="s">
        <v>2869</v>
      </c>
      <c r="C640" s="1564" t="s">
        <v>401</v>
      </c>
      <c r="D640" s="1540">
        <v>140000000</v>
      </c>
      <c r="E640" s="1593">
        <v>7.0000000000000007E-2</v>
      </c>
      <c r="F640" s="1540">
        <f t="shared" si="60"/>
        <v>9800000.0000000019</v>
      </c>
      <c r="G640" s="1736">
        <v>9800000</v>
      </c>
      <c r="H640" s="1736" t="s">
        <v>3568</v>
      </c>
      <c r="I640" s="1736" t="s">
        <v>3674</v>
      </c>
      <c r="J640" s="1736">
        <f t="shared" si="58"/>
        <v>9800000</v>
      </c>
      <c r="K640" s="1742">
        <f t="shared" si="59"/>
        <v>0</v>
      </c>
      <c r="L640" s="428" t="s">
        <v>3539</v>
      </c>
      <c r="M640" s="429"/>
      <c r="N640" s="429"/>
      <c r="O640" s="429"/>
      <c r="P640" s="429"/>
      <c r="Q640" s="429"/>
    </row>
    <row r="641" spans="1:17" ht="30" customHeight="1" x14ac:dyDescent="0.2">
      <c r="A641" s="1596"/>
      <c r="B641" s="1594" t="s">
        <v>2877</v>
      </c>
      <c r="C641" s="1564"/>
      <c r="D641" s="1540">
        <v>85000000</v>
      </c>
      <c r="E641" s="1593">
        <v>0.05</v>
      </c>
      <c r="F641" s="1540">
        <f t="shared" si="60"/>
        <v>4250000</v>
      </c>
      <c r="G641" s="1565">
        <v>4250000</v>
      </c>
      <c r="H641" s="1565" t="s">
        <v>3632</v>
      </c>
      <c r="I641" s="1094" t="s">
        <v>3677</v>
      </c>
      <c r="J641" s="1565">
        <f t="shared" si="58"/>
        <v>4250000</v>
      </c>
      <c r="K641" s="1582">
        <f t="shared" si="59"/>
        <v>0</v>
      </c>
      <c r="L641" s="428"/>
      <c r="M641" s="429"/>
      <c r="N641" s="429"/>
      <c r="O641" s="429"/>
      <c r="P641" s="429"/>
      <c r="Q641" s="429"/>
    </row>
    <row r="642" spans="1:17" ht="30" customHeight="1" x14ac:dyDescent="0.2">
      <c r="A642" s="1596"/>
      <c r="B642" s="1594" t="s">
        <v>3683</v>
      </c>
      <c r="C642" s="1564" t="s">
        <v>380</v>
      </c>
      <c r="D642" s="1540">
        <v>50000000</v>
      </c>
      <c r="E642" s="1593">
        <v>0.05</v>
      </c>
      <c r="F642" s="1540">
        <f t="shared" si="60"/>
        <v>2500000</v>
      </c>
      <c r="G642" s="1565">
        <v>2500000</v>
      </c>
      <c r="H642" s="1565" t="s">
        <v>3680</v>
      </c>
      <c r="I642" s="1565" t="s">
        <v>3684</v>
      </c>
      <c r="J642" s="1565">
        <f t="shared" si="58"/>
        <v>2500000</v>
      </c>
      <c r="K642" s="1582">
        <f t="shared" si="59"/>
        <v>0</v>
      </c>
      <c r="L642" s="428" t="s">
        <v>2879</v>
      </c>
      <c r="M642" s="429"/>
      <c r="N642" s="429"/>
      <c r="O642" s="429"/>
      <c r="P642" s="429"/>
      <c r="Q642" s="429"/>
    </row>
    <row r="643" spans="1:17" ht="30" customHeight="1" x14ac:dyDescent="0.2">
      <c r="A643" s="1596"/>
      <c r="B643" s="1594" t="s">
        <v>2880</v>
      </c>
      <c r="C643" s="1564" t="s">
        <v>380</v>
      </c>
      <c r="D643" s="1540">
        <v>25000000</v>
      </c>
      <c r="E643" s="1593">
        <v>0.05</v>
      </c>
      <c r="F643" s="1540">
        <f t="shared" si="60"/>
        <v>1250000</v>
      </c>
      <c r="G643" s="1565">
        <v>1250000</v>
      </c>
      <c r="H643" s="1565" t="s">
        <v>3632</v>
      </c>
      <c r="I643" s="1565" t="s">
        <v>3675</v>
      </c>
      <c r="J643" s="1565">
        <f t="shared" si="58"/>
        <v>1250000</v>
      </c>
      <c r="K643" s="1582">
        <f t="shared" si="59"/>
        <v>0</v>
      </c>
      <c r="L643" s="428" t="s">
        <v>2879</v>
      </c>
      <c r="M643" s="429"/>
      <c r="N643" s="429"/>
      <c r="O643" s="429"/>
      <c r="P643" s="429"/>
      <c r="Q643" s="429"/>
    </row>
    <row r="644" spans="1:17" ht="30" customHeight="1" x14ac:dyDescent="0.2">
      <c r="A644" s="2031"/>
      <c r="B644" s="2029" t="s">
        <v>2909</v>
      </c>
      <c r="C644" s="2149"/>
      <c r="D644" s="2040">
        <v>300000000</v>
      </c>
      <c r="E644" s="2037">
        <v>5.5E-2</v>
      </c>
      <c r="F644" s="2040">
        <f t="shared" si="60"/>
        <v>16500000</v>
      </c>
      <c r="G644" s="1565">
        <v>16000000</v>
      </c>
      <c r="H644" s="1565" t="s">
        <v>3610</v>
      </c>
      <c r="I644" s="1565" t="s">
        <v>3624</v>
      </c>
      <c r="J644" s="2040">
        <f>G644+G645</f>
        <v>16500000</v>
      </c>
      <c r="K644" s="2210">
        <f t="shared" si="59"/>
        <v>0</v>
      </c>
      <c r="L644" s="2205" t="s">
        <v>2910</v>
      </c>
      <c r="M644" s="429"/>
      <c r="N644" s="429"/>
      <c r="O644" s="429"/>
      <c r="P644" s="429"/>
      <c r="Q644" s="429"/>
    </row>
    <row r="645" spans="1:17" ht="30" customHeight="1" x14ac:dyDescent="0.2">
      <c r="A645" s="2032"/>
      <c r="B645" s="2030"/>
      <c r="C645" s="2150"/>
      <c r="D645" s="2042"/>
      <c r="E645" s="2039"/>
      <c r="F645" s="2042"/>
      <c r="G645" s="1673">
        <v>500000</v>
      </c>
      <c r="H645" s="1673" t="s">
        <v>3632</v>
      </c>
      <c r="I645" s="1673" t="s">
        <v>3634</v>
      </c>
      <c r="J645" s="2042"/>
      <c r="K645" s="2211"/>
      <c r="L645" s="2206"/>
      <c r="M645" s="429"/>
      <c r="N645" s="429"/>
      <c r="O645" s="429"/>
      <c r="P645" s="429"/>
      <c r="Q645" s="429"/>
    </row>
    <row r="646" spans="1:17" ht="30" customHeight="1" x14ac:dyDescent="0.2">
      <c r="A646" s="1596"/>
      <c r="B646" s="1594" t="s">
        <v>2941</v>
      </c>
      <c r="C646" s="1564"/>
      <c r="D646" s="1540">
        <v>85000000</v>
      </c>
      <c r="E646" s="1593"/>
      <c r="F646" s="1540"/>
      <c r="G646" s="1565"/>
      <c r="H646" s="1565"/>
      <c r="I646" s="1565"/>
      <c r="J646" s="1565"/>
      <c r="K646" s="1582"/>
      <c r="L646" s="428" t="s">
        <v>2942</v>
      </c>
      <c r="M646" s="429"/>
      <c r="N646" s="429"/>
      <c r="O646" s="429"/>
      <c r="P646" s="429"/>
      <c r="Q646" s="429"/>
    </row>
    <row r="647" spans="1:17" ht="30" customHeight="1" x14ac:dyDescent="0.2">
      <c r="A647" s="1596"/>
      <c r="B647" s="1594" t="s">
        <v>2944</v>
      </c>
      <c r="C647" s="1564" t="s">
        <v>367</v>
      </c>
      <c r="D647" s="1540">
        <v>20000000</v>
      </c>
      <c r="E647" s="1593">
        <v>0.05</v>
      </c>
      <c r="F647" s="1540">
        <f>D647*E647</f>
        <v>1000000</v>
      </c>
      <c r="G647" s="1565">
        <v>1000000</v>
      </c>
      <c r="H647" s="1565" t="s">
        <v>3696</v>
      </c>
      <c r="I647" s="1565" t="s">
        <v>3705</v>
      </c>
      <c r="J647" s="1565">
        <f>G647</f>
        <v>1000000</v>
      </c>
      <c r="K647" s="1582">
        <f>F647-J647</f>
        <v>0</v>
      </c>
      <c r="L647" s="428" t="s">
        <v>2943</v>
      </c>
      <c r="M647" s="429"/>
      <c r="N647" s="429"/>
      <c r="O647" s="429"/>
      <c r="P647" s="429"/>
      <c r="Q647" s="429"/>
    </row>
    <row r="648" spans="1:17" ht="30" customHeight="1" x14ac:dyDescent="0.2">
      <c r="A648" s="1533"/>
      <c r="B648" s="1591" t="s">
        <v>3048</v>
      </c>
      <c r="C648" s="1595" t="s">
        <v>1112</v>
      </c>
      <c r="D648" s="1565">
        <v>40000000</v>
      </c>
      <c r="E648" s="1593">
        <v>0.04</v>
      </c>
      <c r="F648" s="1565">
        <f>D648*E648</f>
        <v>1600000</v>
      </c>
      <c r="G648" s="1565"/>
      <c r="H648" s="1565"/>
      <c r="I648" s="1565"/>
      <c r="J648" s="1565"/>
      <c r="K648" s="1582"/>
      <c r="L648" s="428" t="s">
        <v>2966</v>
      </c>
      <c r="M648" s="429"/>
      <c r="N648" s="429"/>
      <c r="O648" s="429"/>
      <c r="P648" s="429"/>
      <c r="Q648" s="429"/>
    </row>
    <row r="649" spans="1:17" ht="30" customHeight="1" x14ac:dyDescent="0.2">
      <c r="A649" s="1596"/>
      <c r="B649" s="1594" t="s">
        <v>2976</v>
      </c>
      <c r="C649" s="1564"/>
      <c r="D649" s="1540">
        <v>20000000</v>
      </c>
      <c r="E649" s="1537">
        <v>0.05</v>
      </c>
      <c r="F649" s="1540">
        <f>D649*E649</f>
        <v>1000000</v>
      </c>
      <c r="G649" s="1565">
        <v>1000000</v>
      </c>
      <c r="H649" s="1565" t="s">
        <v>3827</v>
      </c>
      <c r="I649" s="1565" t="s">
        <v>3832</v>
      </c>
      <c r="J649" s="1565">
        <f>G649</f>
        <v>1000000</v>
      </c>
      <c r="K649" s="1582">
        <f>G649-J649</f>
        <v>0</v>
      </c>
      <c r="L649" s="428" t="s">
        <v>2977</v>
      </c>
      <c r="M649" s="429"/>
      <c r="N649" s="429"/>
      <c r="O649" s="429"/>
      <c r="P649" s="429"/>
      <c r="Q649" s="429"/>
    </row>
    <row r="650" spans="1:17" ht="30" customHeight="1" x14ac:dyDescent="0.2">
      <c r="A650" s="2031"/>
      <c r="B650" s="1627" t="s">
        <v>3009</v>
      </c>
      <c r="C650" s="2371" t="s">
        <v>3042</v>
      </c>
      <c r="D650" s="2386">
        <v>70000000</v>
      </c>
      <c r="E650" s="2420">
        <v>0.05</v>
      </c>
      <c r="F650" s="2423">
        <f>D650*E650</f>
        <v>3500000</v>
      </c>
      <c r="G650" s="2040">
        <v>19300000</v>
      </c>
      <c r="H650" s="2040" t="s">
        <v>3733</v>
      </c>
      <c r="I650" s="2040" t="s">
        <v>3010</v>
      </c>
      <c r="J650" s="2040">
        <f>G650</f>
        <v>19300000</v>
      </c>
      <c r="K650" s="2210">
        <f>(F650+F653+F654+1800000)-J650</f>
        <v>0</v>
      </c>
      <c r="L650" s="1577"/>
      <c r="M650" s="429"/>
      <c r="N650" s="429"/>
      <c r="O650" s="429"/>
      <c r="P650" s="429"/>
      <c r="Q650" s="429"/>
    </row>
    <row r="651" spans="1:17" ht="30" customHeight="1" x14ac:dyDescent="0.2">
      <c r="A651" s="2034"/>
      <c r="B651" s="1628"/>
      <c r="C651" s="2374"/>
      <c r="D651" s="2387"/>
      <c r="E651" s="2421"/>
      <c r="F651" s="2423"/>
      <c r="G651" s="2041"/>
      <c r="H651" s="2041"/>
      <c r="I651" s="2041"/>
      <c r="J651" s="2041"/>
      <c r="K651" s="2273"/>
      <c r="L651" s="1598" t="s">
        <v>3045</v>
      </c>
      <c r="M651" s="429"/>
      <c r="N651" s="429"/>
      <c r="O651" s="429"/>
      <c r="P651" s="429"/>
      <c r="Q651" s="429"/>
    </row>
    <row r="652" spans="1:17" ht="30" customHeight="1" x14ac:dyDescent="0.2">
      <c r="A652" s="2032"/>
      <c r="B652" s="1629"/>
      <c r="C652" s="2372"/>
      <c r="D652" s="2388"/>
      <c r="E652" s="2422"/>
      <c r="F652" s="2423"/>
      <c r="G652" s="2041"/>
      <c r="H652" s="2041"/>
      <c r="I652" s="2041"/>
      <c r="J652" s="2041"/>
      <c r="K652" s="2273"/>
      <c r="L652" s="1598" t="s">
        <v>3044</v>
      </c>
      <c r="M652" s="429"/>
      <c r="N652" s="429"/>
      <c r="O652" s="429"/>
      <c r="P652" s="429"/>
      <c r="Q652" s="429"/>
    </row>
    <row r="653" spans="1:17" ht="30" customHeight="1" x14ac:dyDescent="0.2">
      <c r="A653" s="2031"/>
      <c r="B653" s="2369" t="s">
        <v>3043</v>
      </c>
      <c r="C653" s="2371" t="s">
        <v>411</v>
      </c>
      <c r="D653" s="1286">
        <v>190000000</v>
      </c>
      <c r="E653" s="1287">
        <v>4.4999999999999998E-2</v>
      </c>
      <c r="F653" s="1286">
        <v>8600000</v>
      </c>
      <c r="G653" s="2041"/>
      <c r="H653" s="2041"/>
      <c r="I653" s="2041"/>
      <c r="J653" s="2041"/>
      <c r="K653" s="2273"/>
      <c r="L653" s="1598"/>
      <c r="M653" s="429"/>
      <c r="N653" s="429"/>
      <c r="O653" s="429"/>
      <c r="P653" s="429"/>
      <c r="Q653" s="429"/>
    </row>
    <row r="654" spans="1:17" ht="30" customHeight="1" x14ac:dyDescent="0.2">
      <c r="A654" s="2032"/>
      <c r="B654" s="2370"/>
      <c r="C654" s="2372"/>
      <c r="D654" s="1286">
        <v>90000000</v>
      </c>
      <c r="E654" s="1287">
        <v>0.06</v>
      </c>
      <c r="F654" s="1286">
        <f>D654*E654</f>
        <v>5400000</v>
      </c>
      <c r="G654" s="2042"/>
      <c r="H654" s="2042"/>
      <c r="I654" s="2042"/>
      <c r="J654" s="2042"/>
      <c r="K654" s="2211"/>
      <c r="L654" s="1598"/>
      <c r="M654" s="429"/>
      <c r="N654" s="429"/>
      <c r="O654" s="429"/>
      <c r="P654" s="429"/>
      <c r="Q654" s="429"/>
    </row>
    <row r="655" spans="1:17" ht="30" customHeight="1" x14ac:dyDescent="0.2">
      <c r="A655" s="1596"/>
      <c r="B655" s="1600" t="s">
        <v>2336</v>
      </c>
      <c r="C655" s="1601" t="s">
        <v>1378</v>
      </c>
      <c r="D655" s="1286">
        <v>150000000</v>
      </c>
      <c r="E655" s="1287">
        <v>0.05</v>
      </c>
      <c r="F655" s="1286">
        <f>D655*E655</f>
        <v>7500000</v>
      </c>
      <c r="G655" s="1540">
        <v>7500000</v>
      </c>
      <c r="H655" s="1540" t="s">
        <v>2741</v>
      </c>
      <c r="I655" s="1555" t="s">
        <v>3869</v>
      </c>
      <c r="J655" s="1540">
        <f>G655</f>
        <v>7500000</v>
      </c>
      <c r="K655" s="1582">
        <f>F655-J655</f>
        <v>0</v>
      </c>
      <c r="L655" s="1578"/>
      <c r="M655" s="429"/>
      <c r="N655" s="429"/>
      <c r="O655" s="429"/>
      <c r="P655" s="429"/>
      <c r="Q655" s="429"/>
    </row>
    <row r="656" spans="1:17" ht="30" customHeight="1" x14ac:dyDescent="0.2">
      <c r="A656" s="1903"/>
      <c r="B656" s="1889" t="s">
        <v>3009</v>
      </c>
      <c r="C656" s="1894"/>
      <c r="D656" s="2240" t="s">
        <v>3889</v>
      </c>
      <c r="E656" s="2241"/>
      <c r="F656" s="2242"/>
      <c r="G656" s="1892">
        <v>14500000</v>
      </c>
      <c r="H656" s="1892" t="s">
        <v>3883</v>
      </c>
      <c r="I656" s="1897" t="s">
        <v>3010</v>
      </c>
      <c r="J656" s="1892">
        <f>G656</f>
        <v>14500000</v>
      </c>
      <c r="K656" s="1900"/>
      <c r="L656" s="1907"/>
      <c r="M656" s="429"/>
      <c r="N656" s="429"/>
      <c r="O656" s="429"/>
      <c r="P656" s="429"/>
      <c r="Q656" s="429"/>
    </row>
    <row r="657" spans="1:17" ht="30" customHeight="1" x14ac:dyDescent="0.2">
      <c r="A657" s="1596"/>
      <c r="B657" s="1594"/>
      <c r="C657" s="1564"/>
      <c r="D657" s="1540"/>
      <c r="E657" s="1593"/>
      <c r="F657" s="1540"/>
      <c r="G657" s="1540"/>
      <c r="H657" s="1540"/>
      <c r="I657" s="1555"/>
      <c r="J657" s="1540"/>
      <c r="K657" s="1582"/>
      <c r="L657" s="428"/>
      <c r="M657" s="429"/>
      <c r="N657" s="429"/>
      <c r="O657" s="429"/>
      <c r="P657" s="429"/>
      <c r="Q657" s="429"/>
    </row>
    <row r="658" spans="1:17" ht="30" customHeight="1" x14ac:dyDescent="0.2">
      <c r="A658" s="1596"/>
      <c r="B658" s="22" t="s">
        <v>183</v>
      </c>
      <c r="C658" s="1564" t="s">
        <v>2991</v>
      </c>
      <c r="D658" s="1540">
        <v>100000000</v>
      </c>
      <c r="E658" s="1593"/>
      <c r="F658" s="1540"/>
      <c r="G658" s="1644">
        <v>6000000</v>
      </c>
      <c r="H658" s="1644" t="s">
        <v>3564</v>
      </c>
      <c r="I658" s="1644" t="s">
        <v>3012</v>
      </c>
      <c r="J658" s="1644">
        <f>G658</f>
        <v>6000000</v>
      </c>
      <c r="K658" s="1647">
        <f>F658-J658</f>
        <v>-6000000</v>
      </c>
      <c r="L658" s="428"/>
      <c r="M658" s="429"/>
      <c r="N658" s="429"/>
      <c r="O658" s="429"/>
      <c r="P658" s="429"/>
      <c r="Q658" s="429"/>
    </row>
    <row r="659" spans="1:17" ht="30" customHeight="1" x14ac:dyDescent="0.2">
      <c r="A659" s="1596"/>
      <c r="B659" s="1594" t="s">
        <v>3015</v>
      </c>
      <c r="C659" s="1564" t="s">
        <v>1215</v>
      </c>
      <c r="D659" s="1540">
        <v>40000000</v>
      </c>
      <c r="E659" s="1593">
        <v>0.05</v>
      </c>
      <c r="F659" s="1540">
        <f>D659*E659</f>
        <v>2000000</v>
      </c>
      <c r="G659" s="1540">
        <v>2000000</v>
      </c>
      <c r="H659" s="1540" t="s">
        <v>3632</v>
      </c>
      <c r="I659" s="1555" t="s">
        <v>3668</v>
      </c>
      <c r="J659" s="1540">
        <f>G659</f>
        <v>2000000</v>
      </c>
      <c r="K659" s="1582">
        <f>F659-J659</f>
        <v>0</v>
      </c>
      <c r="L659" s="428" t="s">
        <v>3669</v>
      </c>
      <c r="M659" s="429"/>
      <c r="N659" s="429"/>
      <c r="O659" s="429"/>
      <c r="P659" s="429"/>
      <c r="Q659" s="429"/>
    </row>
    <row r="660" spans="1:17" ht="30" customHeight="1" x14ac:dyDescent="0.2">
      <c r="A660" s="1596"/>
      <c r="B660" s="1594" t="s">
        <v>3021</v>
      </c>
      <c r="C660" s="1564" t="s">
        <v>1750</v>
      </c>
      <c r="D660" s="1540">
        <v>25000000</v>
      </c>
      <c r="E660" s="1593">
        <v>0.04</v>
      </c>
      <c r="F660" s="1540">
        <f>D660*E660</f>
        <v>1000000</v>
      </c>
      <c r="G660" s="1540"/>
      <c r="H660" s="1540"/>
      <c r="I660" s="1555"/>
      <c r="J660" s="1540"/>
      <c r="K660" s="1582"/>
      <c r="L660" s="428"/>
      <c r="M660" s="429"/>
      <c r="N660" s="429"/>
      <c r="O660" s="429"/>
      <c r="P660" s="429"/>
      <c r="Q660" s="429"/>
    </row>
    <row r="661" spans="1:17" ht="30" customHeight="1" x14ac:dyDescent="0.2">
      <c r="A661" s="1596"/>
      <c r="B661" s="1594" t="s">
        <v>3047</v>
      </c>
      <c r="C661" s="1564"/>
      <c r="D661" s="1540">
        <v>10000000</v>
      </c>
      <c r="E661" s="1593"/>
      <c r="F661" s="1540"/>
      <c r="G661" s="1540"/>
      <c r="H661" s="1540"/>
      <c r="I661" s="1555"/>
      <c r="J661" s="1540"/>
      <c r="K661" s="1582"/>
      <c r="L661" s="428"/>
      <c r="M661" s="429"/>
      <c r="N661" s="429"/>
      <c r="O661" s="429"/>
      <c r="P661" s="429"/>
      <c r="Q661" s="429"/>
    </row>
    <row r="662" spans="1:17" ht="30" customHeight="1" x14ac:dyDescent="0.2">
      <c r="A662" s="1596"/>
      <c r="B662" s="1594" t="s">
        <v>3076</v>
      </c>
      <c r="C662" s="1564"/>
      <c r="D662" s="1550"/>
      <c r="E662" s="44"/>
      <c r="F662" s="1550"/>
      <c r="G662" s="1540">
        <v>2500000</v>
      </c>
      <c r="H662" s="1540" t="s">
        <v>3696</v>
      </c>
      <c r="I662" s="1555" t="s">
        <v>3077</v>
      </c>
      <c r="J662" s="1540">
        <f>G662</f>
        <v>2500000</v>
      </c>
      <c r="K662" s="1587">
        <f>F662-J662</f>
        <v>-2500000</v>
      </c>
      <c r="L662" s="428"/>
      <c r="M662" s="429"/>
      <c r="N662" s="429"/>
      <c r="O662" s="429"/>
      <c r="P662" s="429"/>
      <c r="Q662" s="429"/>
    </row>
    <row r="663" spans="1:17" ht="30" customHeight="1" x14ac:dyDescent="0.2">
      <c r="A663" s="1596"/>
      <c r="B663" s="1594" t="s">
        <v>3082</v>
      </c>
      <c r="C663" s="1564"/>
      <c r="D663" s="1550"/>
      <c r="E663" s="44"/>
      <c r="F663" s="1550"/>
      <c r="G663" s="1540">
        <v>500000</v>
      </c>
      <c r="H663" s="1540" t="s">
        <v>3574</v>
      </c>
      <c r="I663" s="1555" t="s">
        <v>3577</v>
      </c>
      <c r="J663" s="1540">
        <f>G663</f>
        <v>500000</v>
      </c>
      <c r="K663" s="1587">
        <f>F663-J663</f>
        <v>-500000</v>
      </c>
      <c r="L663" s="428"/>
      <c r="M663" s="429"/>
      <c r="N663" s="429"/>
      <c r="O663" s="429"/>
      <c r="P663" s="429"/>
      <c r="Q663" s="429"/>
    </row>
    <row r="664" spans="1:17" ht="30" customHeight="1" x14ac:dyDescent="0.2">
      <c r="A664" s="1596"/>
      <c r="B664" s="1594" t="s">
        <v>3087</v>
      </c>
      <c r="C664" s="1564"/>
      <c r="D664" s="1550"/>
      <c r="E664" s="44"/>
      <c r="F664" s="1550"/>
      <c r="G664" s="1540"/>
      <c r="H664" s="1540"/>
      <c r="I664" s="1555"/>
      <c r="J664" s="1540">
        <f>G664</f>
        <v>0</v>
      </c>
      <c r="K664" s="1587">
        <f>F664-J664</f>
        <v>0</v>
      </c>
      <c r="L664" s="428"/>
      <c r="M664" s="429"/>
      <c r="N664" s="429"/>
      <c r="O664" s="429"/>
      <c r="P664" s="429"/>
      <c r="Q664" s="429"/>
    </row>
    <row r="665" spans="1:17" ht="30" customHeight="1" x14ac:dyDescent="0.2">
      <c r="A665" s="1596"/>
      <c r="B665" s="1594" t="s">
        <v>3593</v>
      </c>
      <c r="C665" s="1564"/>
      <c r="D665" s="1540">
        <v>180000000</v>
      </c>
      <c r="E665" s="1593">
        <v>5.5E-2</v>
      </c>
      <c r="F665" s="1540">
        <v>10000000</v>
      </c>
      <c r="G665" s="1540">
        <v>5994000</v>
      </c>
      <c r="H665" s="1540" t="s">
        <v>3587</v>
      </c>
      <c r="I665" s="1555" t="s">
        <v>3594</v>
      </c>
      <c r="J665" s="1540">
        <f>G665</f>
        <v>5994000</v>
      </c>
      <c r="K665" s="1582">
        <f>F665-J665</f>
        <v>4006000</v>
      </c>
      <c r="L665" s="428" t="s">
        <v>3595</v>
      </c>
      <c r="M665" s="429"/>
      <c r="N665" s="429"/>
      <c r="O665" s="429"/>
      <c r="P665" s="429"/>
      <c r="Q665" s="429"/>
    </row>
    <row r="666" spans="1:17" ht="30" customHeight="1" x14ac:dyDescent="0.2">
      <c r="A666" s="1596"/>
      <c r="B666" s="1594" t="s">
        <v>3181</v>
      </c>
      <c r="C666" s="1564"/>
      <c r="D666" s="1540">
        <v>30000000</v>
      </c>
      <c r="E666" s="1593">
        <v>0.05</v>
      </c>
      <c r="F666" s="1540">
        <f>D666*E666</f>
        <v>1500000</v>
      </c>
      <c r="G666" s="1565">
        <v>1500000</v>
      </c>
      <c r="H666" s="1565" t="s">
        <v>2741</v>
      </c>
      <c r="I666" s="1565" t="s">
        <v>3871</v>
      </c>
      <c r="J666" s="1565">
        <f>G666</f>
        <v>1500000</v>
      </c>
      <c r="K666" s="1582">
        <f>F666-J666</f>
        <v>0</v>
      </c>
      <c r="L666" s="428" t="s">
        <v>3540</v>
      </c>
      <c r="M666" s="429"/>
      <c r="N666" s="429"/>
      <c r="O666" s="429"/>
      <c r="P666" s="429"/>
      <c r="Q666" s="429"/>
    </row>
    <row r="667" spans="1:17" ht="30" customHeight="1" x14ac:dyDescent="0.2">
      <c r="A667" s="1596"/>
      <c r="B667" s="1594" t="s">
        <v>3184</v>
      </c>
      <c r="C667" s="1564"/>
      <c r="D667" s="1540">
        <f>1000000000+19000000</f>
        <v>1019000000</v>
      </c>
      <c r="E667" s="1593">
        <v>0.06</v>
      </c>
      <c r="F667" s="1540"/>
      <c r="G667" s="1540"/>
      <c r="H667" s="1540"/>
      <c r="I667" s="1555"/>
      <c r="J667" s="1540"/>
      <c r="K667" s="1582"/>
      <c r="L667" s="428" t="s">
        <v>3185</v>
      </c>
      <c r="M667" s="429"/>
      <c r="N667" s="429"/>
      <c r="O667" s="429"/>
      <c r="P667" s="429"/>
      <c r="Q667" s="429"/>
    </row>
    <row r="668" spans="1:17" ht="30" customHeight="1" x14ac:dyDescent="0.2">
      <c r="A668" s="1596"/>
      <c r="B668" s="1594" t="s">
        <v>3215</v>
      </c>
      <c r="C668" s="1564" t="s">
        <v>916</v>
      </c>
      <c r="D668" s="1540">
        <v>100000000</v>
      </c>
      <c r="E668" s="1593">
        <v>0.05</v>
      </c>
      <c r="F668" s="1540">
        <f>D668*E668</f>
        <v>5000000</v>
      </c>
      <c r="G668" s="1540"/>
      <c r="H668" s="1540"/>
      <c r="I668" s="1555"/>
      <c r="J668" s="1540">
        <f>G668</f>
        <v>0</v>
      </c>
      <c r="K668" s="1582"/>
      <c r="L668" s="2200" t="s">
        <v>3216</v>
      </c>
      <c r="M668" s="2201"/>
      <c r="N668" s="2201"/>
      <c r="O668" s="2201"/>
      <c r="P668" s="2202"/>
      <c r="Q668" s="429"/>
    </row>
    <row r="669" spans="1:17" ht="30" customHeight="1" x14ac:dyDescent="0.2">
      <c r="A669" s="2031"/>
      <c r="B669" s="2029" t="s">
        <v>3917</v>
      </c>
      <c r="C669" s="2149"/>
      <c r="D669" s="2040">
        <v>30000000</v>
      </c>
      <c r="E669" s="2037">
        <v>7.0000000000000007E-2</v>
      </c>
      <c r="F669" s="2040">
        <f>D669*E669</f>
        <v>2100000</v>
      </c>
      <c r="G669" s="2040">
        <v>2100000</v>
      </c>
      <c r="H669" s="2040" t="s">
        <v>1232</v>
      </c>
      <c r="I669" s="2040" t="s">
        <v>3918</v>
      </c>
      <c r="J669" s="2040">
        <f>G669</f>
        <v>2100000</v>
      </c>
      <c r="K669" s="2210">
        <f>F669-J669</f>
        <v>0</v>
      </c>
      <c r="L669" s="2205" t="s">
        <v>3265</v>
      </c>
      <c r="M669" s="429"/>
      <c r="N669" s="429"/>
      <c r="O669" s="429"/>
      <c r="P669" s="429"/>
      <c r="Q669" s="429"/>
    </row>
    <row r="670" spans="1:17" ht="30" customHeight="1" x14ac:dyDescent="0.2">
      <c r="A670" s="2032"/>
      <c r="B670" s="2030"/>
      <c r="C670" s="2150"/>
      <c r="D670" s="2042"/>
      <c r="E670" s="2039"/>
      <c r="F670" s="2042"/>
      <c r="G670" s="2042"/>
      <c r="H670" s="2042"/>
      <c r="I670" s="2042"/>
      <c r="J670" s="2042"/>
      <c r="K670" s="2211"/>
      <c r="L670" s="2206"/>
      <c r="M670" s="429"/>
      <c r="N670" s="429"/>
      <c r="O670" s="429"/>
      <c r="P670" s="429"/>
      <c r="Q670" s="429"/>
    </row>
    <row r="671" spans="1:17" ht="30" customHeight="1" x14ac:dyDescent="0.2">
      <c r="A671" s="1535"/>
      <c r="B671" s="1411" t="s">
        <v>3302</v>
      </c>
      <c r="C671" s="1564"/>
      <c r="D671" s="1540">
        <v>200000000</v>
      </c>
      <c r="E671" s="1537"/>
      <c r="F671" s="1540"/>
      <c r="G671" s="1565"/>
      <c r="H671" s="1565"/>
      <c r="I671" s="1565"/>
      <c r="J671" s="1565"/>
      <c r="K671" s="1582"/>
      <c r="L671" s="1578" t="s">
        <v>3304</v>
      </c>
      <c r="M671" s="429"/>
      <c r="N671" s="429"/>
      <c r="O671" s="429"/>
      <c r="P671" s="429"/>
      <c r="Q671" s="429"/>
    </row>
    <row r="672" spans="1:17" ht="30" customHeight="1" x14ac:dyDescent="0.2">
      <c r="A672" s="1535"/>
      <c r="B672" s="1411" t="s">
        <v>3303</v>
      </c>
      <c r="C672" s="1564"/>
      <c r="D672" s="1540">
        <v>50000000</v>
      </c>
      <c r="E672" s="1537"/>
      <c r="F672" s="1540"/>
      <c r="G672" s="1565"/>
      <c r="H672" s="1565"/>
      <c r="I672" s="1565"/>
      <c r="J672" s="1565"/>
      <c r="K672" s="1582"/>
      <c r="L672" s="1578" t="s">
        <v>3305</v>
      </c>
      <c r="M672" s="429"/>
      <c r="N672" s="429"/>
      <c r="O672" s="429"/>
      <c r="P672" s="429"/>
      <c r="Q672" s="429"/>
    </row>
    <row r="673" spans="1:17" ht="30" customHeight="1" x14ac:dyDescent="0.2">
      <c r="A673" s="1596"/>
      <c r="B673" s="1548" t="s">
        <v>3307</v>
      </c>
      <c r="C673" s="1411"/>
      <c r="D673" s="1540">
        <v>10000000</v>
      </c>
      <c r="E673" s="1540"/>
      <c r="F673" s="1537"/>
      <c r="G673" s="1565"/>
      <c r="H673" s="1565"/>
      <c r="I673" s="1565"/>
      <c r="J673" s="1565"/>
      <c r="K673" s="1582"/>
      <c r="L673" s="428" t="s">
        <v>3056</v>
      </c>
      <c r="M673" s="429"/>
      <c r="N673" s="429"/>
      <c r="O673" s="429"/>
      <c r="P673" s="429"/>
      <c r="Q673" s="429"/>
    </row>
    <row r="674" spans="1:17" ht="30" customHeight="1" x14ac:dyDescent="0.2">
      <c r="A674" s="153"/>
      <c r="B674" s="1548" t="s">
        <v>3373</v>
      </c>
      <c r="C674" s="1411"/>
      <c r="D674" s="1580"/>
      <c r="E674" s="44"/>
      <c r="F674" s="1550"/>
      <c r="G674" s="1565"/>
      <c r="H674" s="1565"/>
      <c r="I674" s="1565"/>
      <c r="J674" s="1565">
        <f>G674</f>
        <v>0</v>
      </c>
      <c r="K674" s="1587">
        <f>F674-J674</f>
        <v>0</v>
      </c>
      <c r="L674" s="428"/>
      <c r="M674" s="429"/>
      <c r="N674" s="429"/>
      <c r="O674" s="429"/>
      <c r="P674" s="429"/>
      <c r="Q674" s="429"/>
    </row>
    <row r="675" spans="1:17" ht="30" customHeight="1" x14ac:dyDescent="0.2">
      <c r="A675" s="153"/>
      <c r="B675" s="1548" t="s">
        <v>3308</v>
      </c>
      <c r="C675" s="1411"/>
      <c r="D675" s="1540">
        <v>500000000</v>
      </c>
      <c r="E675" s="1593">
        <v>0.08</v>
      </c>
      <c r="F675" s="1540">
        <f>D675*E675</f>
        <v>40000000</v>
      </c>
      <c r="G675" s="1565"/>
      <c r="H675" s="1565"/>
      <c r="I675" s="1565"/>
      <c r="J675" s="1565"/>
      <c r="K675" s="1582"/>
      <c r="L675" s="428" t="s">
        <v>3310</v>
      </c>
      <c r="M675" s="429"/>
      <c r="N675" s="429"/>
      <c r="O675" s="429"/>
      <c r="P675" s="429"/>
      <c r="Q675" s="429"/>
    </row>
    <row r="676" spans="1:17" ht="30" customHeight="1" x14ac:dyDescent="0.2">
      <c r="A676" s="2031"/>
      <c r="B676" s="2074" t="s">
        <v>851</v>
      </c>
      <c r="C676" s="1411"/>
      <c r="D676" s="1564"/>
      <c r="E676" s="1540"/>
      <c r="F676" s="1537"/>
      <c r="G676" s="1565">
        <v>11000000</v>
      </c>
      <c r="H676" s="2040" t="s">
        <v>3574</v>
      </c>
      <c r="I676" s="2040" t="s">
        <v>882</v>
      </c>
      <c r="J676" s="2040">
        <f>G676+G677</f>
        <v>35000000</v>
      </c>
      <c r="K676" s="2210"/>
      <c r="L676" s="428"/>
      <c r="M676" s="429"/>
      <c r="N676" s="429"/>
      <c r="O676" s="429"/>
      <c r="P676" s="429"/>
      <c r="Q676" s="429"/>
    </row>
    <row r="677" spans="1:17" ht="30" customHeight="1" x14ac:dyDescent="0.2">
      <c r="A677" s="2032"/>
      <c r="B677" s="2075"/>
      <c r="C677" s="1411"/>
      <c r="D677" s="1564"/>
      <c r="E677" s="1540"/>
      <c r="F677" s="1537"/>
      <c r="G677" s="1565">
        <v>24000000</v>
      </c>
      <c r="H677" s="2042"/>
      <c r="I677" s="2042"/>
      <c r="J677" s="2042"/>
      <c r="K677" s="2211"/>
      <c r="L677" s="428" t="s">
        <v>3649</v>
      </c>
      <c r="M677" s="429"/>
      <c r="N677" s="429"/>
      <c r="O677" s="429"/>
      <c r="P677" s="429"/>
      <c r="Q677" s="429"/>
    </row>
    <row r="678" spans="1:17" ht="30" customHeight="1" x14ac:dyDescent="0.2">
      <c r="A678" s="153"/>
      <c r="B678" s="1548" t="s">
        <v>3359</v>
      </c>
      <c r="C678" s="1564" t="s">
        <v>3360</v>
      </c>
      <c r="D678" s="1540">
        <v>120000000</v>
      </c>
      <c r="E678" s="1593">
        <v>0.04</v>
      </c>
      <c r="F678" s="1540">
        <f>D678*E678</f>
        <v>4800000</v>
      </c>
      <c r="G678" s="1565">
        <v>4800000</v>
      </c>
      <c r="H678" s="1565" t="s">
        <v>2741</v>
      </c>
      <c r="I678" s="1565" t="s">
        <v>2070</v>
      </c>
      <c r="J678" s="1565">
        <f>G678</f>
        <v>4800000</v>
      </c>
      <c r="K678" s="1582">
        <f>F678-J678</f>
        <v>0</v>
      </c>
      <c r="L678" s="428" t="s">
        <v>3361</v>
      </c>
      <c r="M678" s="429"/>
      <c r="N678" s="429"/>
      <c r="O678" s="429"/>
      <c r="P678" s="429"/>
      <c r="Q678" s="429"/>
    </row>
    <row r="679" spans="1:17" ht="30" customHeight="1" x14ac:dyDescent="0.2">
      <c r="A679" s="153"/>
      <c r="B679" s="1548" t="s">
        <v>3362</v>
      </c>
      <c r="C679" s="1564" t="s">
        <v>3363</v>
      </c>
      <c r="D679" s="1540">
        <v>100000000</v>
      </c>
      <c r="E679" s="1593">
        <v>0.05</v>
      </c>
      <c r="F679" s="1540">
        <f>D679*E679</f>
        <v>5000000</v>
      </c>
      <c r="G679" s="1565"/>
      <c r="H679" s="1565"/>
      <c r="I679" s="1565"/>
      <c r="J679" s="1565"/>
      <c r="K679" s="1582"/>
      <c r="L679" s="428" t="s">
        <v>3361</v>
      </c>
      <c r="M679" s="429"/>
      <c r="N679" s="429"/>
      <c r="O679" s="429"/>
      <c r="P679" s="429"/>
      <c r="Q679" s="429"/>
    </row>
    <row r="680" spans="1:17" ht="30" customHeight="1" x14ac:dyDescent="0.2">
      <c r="A680" s="153"/>
      <c r="B680" s="1548" t="s">
        <v>3365</v>
      </c>
      <c r="C680" s="1564" t="s">
        <v>1913</v>
      </c>
      <c r="D680" s="1540">
        <v>50000000</v>
      </c>
      <c r="E680" s="1593">
        <v>0.05</v>
      </c>
      <c r="F680" s="1540">
        <f>D680*E680</f>
        <v>2500000</v>
      </c>
      <c r="G680" s="1565"/>
      <c r="H680" s="1565"/>
      <c r="I680" s="1565"/>
      <c r="J680" s="1565"/>
      <c r="K680" s="1582"/>
      <c r="L680" s="428" t="s">
        <v>3361</v>
      </c>
      <c r="M680" s="429"/>
      <c r="N680" s="429"/>
      <c r="O680" s="429"/>
      <c r="P680" s="429"/>
      <c r="Q680" s="429"/>
    </row>
    <row r="681" spans="1:17" ht="30" customHeight="1" x14ac:dyDescent="0.2">
      <c r="A681" s="153"/>
      <c r="B681" s="1548" t="s">
        <v>3368</v>
      </c>
      <c r="C681" s="1564"/>
      <c r="D681" s="1580"/>
      <c r="E681" s="44"/>
      <c r="F681" s="1550"/>
      <c r="G681" s="1565"/>
      <c r="H681" s="1565"/>
      <c r="I681" s="1565"/>
      <c r="J681" s="1565">
        <f>G681</f>
        <v>0</v>
      </c>
      <c r="K681" s="1587">
        <f>F681-J681</f>
        <v>0</v>
      </c>
      <c r="L681" s="428" t="s">
        <v>3374</v>
      </c>
      <c r="M681" s="429"/>
      <c r="N681" s="429"/>
      <c r="O681" s="429"/>
      <c r="P681" s="429"/>
      <c r="Q681" s="429"/>
    </row>
    <row r="682" spans="1:17" ht="30" customHeight="1" x14ac:dyDescent="0.2">
      <c r="A682" s="153"/>
      <c r="B682" s="1548" t="s">
        <v>3401</v>
      </c>
      <c r="C682" s="1564" t="s">
        <v>411</v>
      </c>
      <c r="D682" s="1540">
        <v>40000000</v>
      </c>
      <c r="E682" s="1593">
        <v>0.05</v>
      </c>
      <c r="F682" s="1540">
        <f>D682*E682</f>
        <v>2000000</v>
      </c>
      <c r="G682" s="1565">
        <v>2000000</v>
      </c>
      <c r="H682" s="1565" t="s">
        <v>3581</v>
      </c>
      <c r="I682" s="2392" t="s">
        <v>3642</v>
      </c>
      <c r="J682" s="2393"/>
      <c r="K682" s="2394"/>
      <c r="L682" s="428" t="s">
        <v>3438</v>
      </c>
      <c r="M682" s="429"/>
      <c r="N682" s="429"/>
      <c r="O682" s="429"/>
      <c r="P682" s="429"/>
      <c r="Q682" s="429"/>
    </row>
    <row r="683" spans="1:17" ht="30" customHeight="1" x14ac:dyDescent="0.2">
      <c r="A683" s="153"/>
      <c r="B683" s="1548" t="s">
        <v>3437</v>
      </c>
      <c r="C683" s="1548"/>
      <c r="D683" s="1540">
        <v>25000000</v>
      </c>
      <c r="E683" s="1593">
        <v>0.05</v>
      </c>
      <c r="F683" s="1540">
        <f>D683*E683</f>
        <v>1250000</v>
      </c>
      <c r="G683" s="1947"/>
      <c r="H683" s="1948"/>
      <c r="I683" s="1948"/>
      <c r="J683" s="1949"/>
      <c r="K683" s="1582"/>
      <c r="L683" s="428"/>
      <c r="M683" s="429"/>
      <c r="N683" s="429"/>
      <c r="O683" s="429"/>
      <c r="P683" s="429"/>
      <c r="Q683" s="429"/>
    </row>
    <row r="684" spans="1:17" ht="30" customHeight="1" x14ac:dyDescent="0.2">
      <c r="A684" s="1596"/>
      <c r="B684" s="3" t="s">
        <v>3440</v>
      </c>
      <c r="C684" s="1548"/>
      <c r="D684" s="1580"/>
      <c r="E684" s="44"/>
      <c r="F684" s="1550"/>
      <c r="G684" s="1565"/>
      <c r="H684" s="1565"/>
      <c r="I684" s="1565"/>
      <c r="J684" s="1565">
        <f>G684</f>
        <v>0</v>
      </c>
      <c r="K684" s="1587"/>
      <c r="L684" s="428"/>
      <c r="M684" s="429"/>
      <c r="N684" s="429"/>
      <c r="O684" s="429"/>
      <c r="P684" s="429"/>
      <c r="Q684" s="429"/>
    </row>
    <row r="685" spans="1:17" ht="30" customHeight="1" x14ac:dyDescent="0.2">
      <c r="A685" s="1596"/>
      <c r="B685" s="3" t="s">
        <v>3452</v>
      </c>
      <c r="C685" s="1564" t="s">
        <v>3468</v>
      </c>
      <c r="D685" s="1540">
        <v>20000000</v>
      </c>
      <c r="E685" s="1593">
        <v>0.05</v>
      </c>
      <c r="F685" s="1540">
        <f>D685*E685</f>
        <v>1000000</v>
      </c>
      <c r="G685" s="1565"/>
      <c r="H685" s="1565"/>
      <c r="I685" s="1565"/>
      <c r="J685" s="1565"/>
      <c r="K685" s="1587"/>
      <c r="L685" s="428" t="s">
        <v>3453</v>
      </c>
      <c r="M685" s="429"/>
      <c r="N685" s="429"/>
      <c r="O685" s="429"/>
      <c r="P685" s="429"/>
      <c r="Q685" s="429"/>
    </row>
    <row r="686" spans="1:17" ht="30" customHeight="1" x14ac:dyDescent="0.2">
      <c r="A686" s="1596"/>
      <c r="B686" s="3" t="s">
        <v>3469</v>
      </c>
      <c r="C686" s="1564" t="s">
        <v>916</v>
      </c>
      <c r="D686" s="1540">
        <v>200000000</v>
      </c>
      <c r="E686" s="1593">
        <v>0.05</v>
      </c>
      <c r="F686" s="1540">
        <f>D686*E686</f>
        <v>10000000</v>
      </c>
      <c r="G686" s="1565"/>
      <c r="H686" s="1565"/>
      <c r="I686" s="1565"/>
      <c r="J686" s="1565"/>
      <c r="K686" s="1587"/>
      <c r="L686" s="428" t="s">
        <v>3470</v>
      </c>
      <c r="M686" s="429"/>
      <c r="N686" s="429"/>
      <c r="O686" s="429"/>
      <c r="P686" s="429"/>
      <c r="Q686" s="429"/>
    </row>
    <row r="687" spans="1:17" ht="30" customHeight="1" x14ac:dyDescent="0.2">
      <c r="A687" s="1596"/>
      <c r="B687" s="3" t="s">
        <v>3477</v>
      </c>
      <c r="C687" s="1548"/>
      <c r="D687" s="1580"/>
      <c r="E687" s="44"/>
      <c r="F687" s="1550"/>
      <c r="G687" s="1565"/>
      <c r="H687" s="1565"/>
      <c r="I687" s="1565"/>
      <c r="J687" s="1565">
        <f>G687</f>
        <v>0</v>
      </c>
      <c r="K687" s="1587"/>
      <c r="L687" s="428"/>
      <c r="M687" s="429"/>
      <c r="N687" s="429"/>
      <c r="O687" s="429"/>
      <c r="P687" s="429"/>
      <c r="Q687" s="429"/>
    </row>
    <row r="688" spans="1:17" ht="30" customHeight="1" x14ac:dyDescent="0.2">
      <c r="A688" s="2031"/>
      <c r="B688" s="2074" t="s">
        <v>3542</v>
      </c>
      <c r="C688" s="1611" t="s">
        <v>916</v>
      </c>
      <c r="D688" s="1610">
        <v>1000000000</v>
      </c>
      <c r="E688" s="1612">
        <v>0.06</v>
      </c>
      <c r="F688" s="1610">
        <f>D688*E688</f>
        <v>60000000</v>
      </c>
      <c r="G688" s="1540"/>
      <c r="H688" s="1540"/>
      <c r="I688" s="1555"/>
      <c r="J688" s="1540"/>
      <c r="K688" s="1587"/>
      <c r="L688" s="428" t="s">
        <v>3874</v>
      </c>
      <c r="M688" s="429"/>
      <c r="N688" s="429"/>
      <c r="O688" s="429"/>
      <c r="P688" s="429"/>
      <c r="Q688" s="429"/>
    </row>
    <row r="689" spans="1:17" ht="30" customHeight="1" x14ac:dyDescent="0.2">
      <c r="A689" s="2032"/>
      <c r="B689" s="2075"/>
      <c r="C689" s="1858" t="s">
        <v>1353</v>
      </c>
      <c r="D689" s="1856">
        <v>500000000</v>
      </c>
      <c r="E689" s="1860">
        <v>6.5000000000000002E-2</v>
      </c>
      <c r="F689" s="1856">
        <f>D689*E689</f>
        <v>32500000</v>
      </c>
      <c r="G689" s="1856"/>
      <c r="H689" s="1856"/>
      <c r="I689" s="1857"/>
      <c r="J689" s="1856"/>
      <c r="K689" s="1859"/>
      <c r="L689" s="428"/>
      <c r="M689" s="429"/>
      <c r="N689" s="429"/>
      <c r="O689" s="429"/>
      <c r="P689" s="429"/>
      <c r="Q689" s="429"/>
    </row>
    <row r="690" spans="1:17" ht="30" customHeight="1" x14ac:dyDescent="0.2">
      <c r="A690" s="1650"/>
      <c r="B690" s="3" t="s">
        <v>3662</v>
      </c>
      <c r="C690" s="1640"/>
      <c r="D690" s="1639"/>
      <c r="E690" s="44"/>
      <c r="F690" s="1639"/>
      <c r="G690" s="1637">
        <v>6000000</v>
      </c>
      <c r="H690" s="1637" t="s">
        <v>3564</v>
      </c>
      <c r="I690" s="1642" t="s">
        <v>3565</v>
      </c>
      <c r="J690" s="1637">
        <f>G690</f>
        <v>6000000</v>
      </c>
      <c r="K690" s="1648">
        <f>F690-J690</f>
        <v>-6000000</v>
      </c>
      <c r="L690" s="428"/>
      <c r="M690" s="429"/>
      <c r="N690" s="429"/>
      <c r="O690" s="429"/>
      <c r="P690" s="429"/>
      <c r="Q690" s="429"/>
    </row>
    <row r="691" spans="1:17" ht="30" customHeight="1" x14ac:dyDescent="0.2">
      <c r="A691" s="1657"/>
      <c r="B691" s="1666" t="s">
        <v>3571</v>
      </c>
      <c r="C691" s="1674"/>
      <c r="D691" s="1670"/>
      <c r="E691" s="1667"/>
      <c r="F691" s="1670"/>
      <c r="G691" s="1662">
        <v>10000000</v>
      </c>
      <c r="H691" s="1662" t="s">
        <v>3568</v>
      </c>
      <c r="I691" s="1686" t="s">
        <v>3572</v>
      </c>
      <c r="J691" s="1662">
        <f>G691</f>
        <v>10000000</v>
      </c>
      <c r="K691" s="1181"/>
      <c r="L691" s="1677"/>
      <c r="M691" s="429"/>
      <c r="N691" s="429"/>
      <c r="O691" s="429"/>
      <c r="P691" s="429"/>
      <c r="Q691" s="429"/>
    </row>
    <row r="692" spans="1:17" s="1618" customFormat="1" ht="30" customHeight="1" x14ac:dyDescent="0.2">
      <c r="A692" s="1685"/>
      <c r="B692" s="3" t="s">
        <v>3602</v>
      </c>
      <c r="C692" s="1684"/>
      <c r="D692" s="1673">
        <v>25000000</v>
      </c>
      <c r="E692" s="1682">
        <v>0.05</v>
      </c>
      <c r="F692" s="1673">
        <f>D692*E692</f>
        <v>1250000</v>
      </c>
      <c r="G692" s="2154" t="s">
        <v>3603</v>
      </c>
      <c r="H692" s="2155"/>
      <c r="I692" s="2155"/>
      <c r="J692" s="2156"/>
      <c r="K692" s="1654"/>
      <c r="L692" s="428"/>
      <c r="M692" s="430"/>
      <c r="N692" s="430"/>
      <c r="O692" s="430"/>
      <c r="P692" s="430"/>
      <c r="Q692" s="430"/>
    </row>
    <row r="693" spans="1:17" s="196" customFormat="1" ht="30" customHeight="1" x14ac:dyDescent="0.2">
      <c r="A693" s="1685"/>
      <c r="B693" s="3" t="s">
        <v>3606</v>
      </c>
      <c r="C693" s="1684"/>
      <c r="D693" s="1673">
        <v>600000000</v>
      </c>
      <c r="E693" s="1682">
        <v>0.06</v>
      </c>
      <c r="F693" s="1673">
        <f>D693*E693</f>
        <v>36000000</v>
      </c>
      <c r="G693" s="1687"/>
      <c r="H693" s="1687"/>
      <c r="I693" s="1687"/>
      <c r="J693" s="1687"/>
      <c r="K693" s="1654"/>
      <c r="L693" s="428"/>
      <c r="M693" s="429"/>
      <c r="N693" s="429"/>
      <c r="O693" s="429"/>
      <c r="P693" s="429"/>
      <c r="Q693" s="429"/>
    </row>
    <row r="694" spans="1:17" s="196" customFormat="1" ht="30" customHeight="1" x14ac:dyDescent="0.2">
      <c r="A694" s="1685"/>
      <c r="B694" s="3" t="s">
        <v>3607</v>
      </c>
      <c r="C694" s="1684"/>
      <c r="D694" s="1673">
        <v>80000000</v>
      </c>
      <c r="E694" s="1682"/>
      <c r="F694" s="1673"/>
      <c r="G694" s="2154" t="s">
        <v>3361</v>
      </c>
      <c r="H694" s="2155"/>
      <c r="I694" s="2155"/>
      <c r="J694" s="2156"/>
      <c r="K694" s="1679"/>
      <c r="L694" s="1678"/>
      <c r="M694" s="429"/>
      <c r="N694" s="429"/>
      <c r="O694" s="429"/>
      <c r="P694" s="429"/>
      <c r="Q694" s="429"/>
    </row>
    <row r="695" spans="1:17" s="196" customFormat="1" ht="30" customHeight="1" x14ac:dyDescent="0.2">
      <c r="A695" s="1685"/>
      <c r="B695" s="3" t="s">
        <v>3627</v>
      </c>
      <c r="C695" s="1684"/>
      <c r="D695" s="1673">
        <v>85000000</v>
      </c>
      <c r="E695" s="1682">
        <v>7.0000000000000007E-2</v>
      </c>
      <c r="F695" s="1673">
        <f>D695*E695</f>
        <v>5950000.0000000009</v>
      </c>
      <c r="G695" s="1673">
        <v>5950000</v>
      </c>
      <c r="H695" s="1673" t="s">
        <v>3610</v>
      </c>
      <c r="I695" s="1673" t="s">
        <v>3628</v>
      </c>
      <c r="J695" s="1673">
        <f>G695</f>
        <v>5950000</v>
      </c>
      <c r="K695" s="1654">
        <f>F695-J695</f>
        <v>0</v>
      </c>
      <c r="L695" s="428"/>
      <c r="M695" s="429"/>
      <c r="N695" s="429"/>
      <c r="O695" s="429"/>
      <c r="P695" s="429"/>
      <c r="Q695" s="429"/>
    </row>
    <row r="696" spans="1:17" s="196" customFormat="1" ht="30" customHeight="1" x14ac:dyDescent="0.2">
      <c r="A696" s="1685"/>
      <c r="B696" s="3" t="s">
        <v>3629</v>
      </c>
      <c r="C696" s="1684" t="s">
        <v>3630</v>
      </c>
      <c r="D696" s="1673">
        <v>70000000</v>
      </c>
      <c r="E696" s="1682">
        <v>0.05</v>
      </c>
      <c r="F696" s="1673">
        <f>D696*E696</f>
        <v>3500000</v>
      </c>
      <c r="G696" s="2154" t="s">
        <v>3631</v>
      </c>
      <c r="H696" s="2155"/>
      <c r="I696" s="2155"/>
      <c r="J696" s="2156"/>
      <c r="K696" s="1654"/>
      <c r="L696" s="428"/>
      <c r="M696" s="429"/>
      <c r="N696" s="429"/>
      <c r="O696" s="429"/>
      <c r="P696" s="429"/>
      <c r="Q696" s="429"/>
    </row>
    <row r="697" spans="1:17" s="196" customFormat="1" ht="30" customHeight="1" x14ac:dyDescent="0.2">
      <c r="A697" s="1685"/>
      <c r="B697" s="3" t="s">
        <v>3636</v>
      </c>
      <c r="C697" s="1684"/>
      <c r="D697" s="1668"/>
      <c r="E697" s="44"/>
      <c r="F697" s="1668"/>
      <c r="G697" s="1673">
        <v>1000000</v>
      </c>
      <c r="H697" s="1673" t="s">
        <v>3632</v>
      </c>
      <c r="I697" s="1673" t="s">
        <v>3637</v>
      </c>
      <c r="J697" s="1673">
        <f>G697</f>
        <v>1000000</v>
      </c>
      <c r="K697" s="1095"/>
      <c r="L697" s="428"/>
      <c r="M697" s="429"/>
      <c r="N697" s="429"/>
      <c r="O697" s="429"/>
      <c r="P697" s="429"/>
      <c r="Q697" s="429"/>
    </row>
    <row r="698" spans="1:17" s="196" customFormat="1" ht="30" customHeight="1" x14ac:dyDescent="0.2">
      <c r="A698" s="1685"/>
      <c r="B698" s="3" t="s">
        <v>3096</v>
      </c>
      <c r="C698" s="1684" t="s">
        <v>411</v>
      </c>
      <c r="D698" s="1673">
        <v>150000000</v>
      </c>
      <c r="E698" s="1682">
        <v>0.06</v>
      </c>
      <c r="F698" s="1673">
        <f>D698*E698</f>
        <v>9000000</v>
      </c>
      <c r="G698" s="1673">
        <v>9000000</v>
      </c>
      <c r="H698" s="1673" t="s">
        <v>3568</v>
      </c>
      <c r="I698" s="2154" t="s">
        <v>3642</v>
      </c>
      <c r="J698" s="2155"/>
      <c r="K698" s="2156"/>
      <c r="L698" s="428"/>
      <c r="M698" s="429"/>
      <c r="N698" s="429"/>
      <c r="O698" s="429"/>
      <c r="P698" s="429"/>
      <c r="Q698" s="429"/>
    </row>
    <row r="699" spans="1:17" s="196" customFormat="1" ht="30" customHeight="1" x14ac:dyDescent="0.2">
      <c r="A699" s="1721"/>
      <c r="B699" s="1733" t="s">
        <v>3679</v>
      </c>
      <c r="C699" s="1739"/>
      <c r="D699" s="1730"/>
      <c r="E699" s="1732"/>
      <c r="F699" s="1730"/>
      <c r="G699" s="1730">
        <v>40000000</v>
      </c>
      <c r="H699" s="1730" t="s">
        <v>3680</v>
      </c>
      <c r="I699" s="1730" t="s">
        <v>3681</v>
      </c>
      <c r="J699" s="1730">
        <f>G699</f>
        <v>40000000</v>
      </c>
      <c r="K699" s="1724"/>
      <c r="L699" s="1737"/>
      <c r="M699" s="429"/>
      <c r="N699" s="429"/>
      <c r="O699" s="429"/>
      <c r="P699" s="429"/>
      <c r="Q699" s="429"/>
    </row>
    <row r="700" spans="1:17" s="9" customFormat="1" ht="30" customHeight="1" x14ac:dyDescent="0.2">
      <c r="A700" s="1749"/>
      <c r="B700" s="1747" t="s">
        <v>156</v>
      </c>
      <c r="C700" s="1746"/>
      <c r="D700" s="1736">
        <v>10000000</v>
      </c>
      <c r="E700" s="1745">
        <v>0.05</v>
      </c>
      <c r="F700" s="1736">
        <f>D700*E700</f>
        <v>500000</v>
      </c>
      <c r="G700" s="1736"/>
      <c r="H700" s="1736"/>
      <c r="I700" s="1736"/>
      <c r="J700" s="1736"/>
      <c r="K700" s="1736"/>
      <c r="L700" s="428" t="s">
        <v>3694</v>
      </c>
      <c r="M700" s="430"/>
      <c r="N700" s="430"/>
      <c r="O700" s="430"/>
      <c r="P700" s="430"/>
      <c r="Q700" s="430"/>
    </row>
    <row r="701" spans="1:17" s="1751" customFormat="1" ht="30" customHeight="1" x14ac:dyDescent="0.2">
      <c r="A701" s="1749"/>
      <c r="B701" s="1747" t="s">
        <v>3223</v>
      </c>
      <c r="C701" s="1746"/>
      <c r="D701" s="1947" t="s">
        <v>3701</v>
      </c>
      <c r="E701" s="1948"/>
      <c r="F701" s="1949"/>
      <c r="G701" s="1736">
        <v>40000000</v>
      </c>
      <c r="H701" s="1736" t="s">
        <v>3696</v>
      </c>
      <c r="I701" s="1736" t="s">
        <v>3702</v>
      </c>
      <c r="J701" s="1736">
        <f>G701</f>
        <v>40000000</v>
      </c>
      <c r="K701" s="1736">
        <f>40000000-J701</f>
        <v>0</v>
      </c>
      <c r="L701" s="1738"/>
      <c r="M701" s="429"/>
      <c r="N701" s="429"/>
      <c r="O701" s="429"/>
      <c r="P701" s="429"/>
      <c r="Q701" s="429"/>
    </row>
    <row r="702" spans="1:17" s="1751" customFormat="1" ht="30" customHeight="1" x14ac:dyDescent="0.2">
      <c r="A702" s="1749"/>
      <c r="B702" s="117" t="s">
        <v>3703</v>
      </c>
      <c r="C702" s="1740"/>
      <c r="D702" s="1734"/>
      <c r="E702" s="1734"/>
      <c r="F702" s="1734"/>
      <c r="G702" s="1731">
        <v>500000</v>
      </c>
      <c r="H702" s="1731" t="s">
        <v>3696</v>
      </c>
      <c r="I702" s="498" t="s">
        <v>3704</v>
      </c>
      <c r="J702" s="1731">
        <f>G702</f>
        <v>500000</v>
      </c>
      <c r="K702" s="1731">
        <f>F702-J702</f>
        <v>-500000</v>
      </c>
      <c r="L702" s="1738"/>
      <c r="M702" s="429"/>
      <c r="N702" s="429"/>
      <c r="O702" s="429"/>
      <c r="P702" s="429"/>
      <c r="Q702" s="429"/>
    </row>
    <row r="703" spans="1:17" s="1751" customFormat="1" ht="30" customHeight="1" x14ac:dyDescent="0.2">
      <c r="A703" s="1749"/>
      <c r="B703" s="2088" t="s">
        <v>3706</v>
      </c>
      <c r="C703" s="2207"/>
      <c r="D703" s="2096"/>
      <c r="E703" s="2096"/>
      <c r="F703" s="2096"/>
      <c r="G703" s="1734">
        <v>5000000</v>
      </c>
      <c r="H703" s="1734" t="s">
        <v>3696</v>
      </c>
      <c r="I703" s="1734" t="s">
        <v>2930</v>
      </c>
      <c r="J703" s="2080">
        <f>G703+G704</f>
        <v>10000000</v>
      </c>
      <c r="K703" s="2080">
        <f>F703-J703</f>
        <v>-10000000</v>
      </c>
      <c r="L703" s="2210"/>
      <c r="M703" s="429"/>
      <c r="N703" s="429"/>
      <c r="O703" s="429"/>
      <c r="P703" s="429"/>
      <c r="Q703" s="429"/>
    </row>
    <row r="704" spans="1:17" s="1751" customFormat="1" ht="30" customHeight="1" x14ac:dyDescent="0.2">
      <c r="A704" s="1749"/>
      <c r="B704" s="2089"/>
      <c r="C704" s="2209"/>
      <c r="D704" s="2096"/>
      <c r="E704" s="2096"/>
      <c r="F704" s="2096"/>
      <c r="G704" s="1734">
        <v>5000000</v>
      </c>
      <c r="H704" s="1734" t="s">
        <v>3708</v>
      </c>
      <c r="I704" s="1734" t="s">
        <v>2930</v>
      </c>
      <c r="J704" s="2081"/>
      <c r="K704" s="2081"/>
      <c r="L704" s="2211"/>
      <c r="M704" s="429"/>
      <c r="N704" s="429"/>
      <c r="O704" s="429"/>
      <c r="P704" s="429"/>
      <c r="Q704" s="429"/>
    </row>
    <row r="705" spans="1:17" s="1751" customFormat="1" ht="30" customHeight="1" x14ac:dyDescent="0.2">
      <c r="A705" s="1749"/>
      <c r="B705" s="2101" t="s">
        <v>3707</v>
      </c>
      <c r="C705" s="2149"/>
      <c r="D705" s="1947" t="s">
        <v>3701</v>
      </c>
      <c r="E705" s="1948"/>
      <c r="F705" s="1949"/>
      <c r="G705" s="1736">
        <v>30000000</v>
      </c>
      <c r="H705" s="1736" t="s">
        <v>3708</v>
      </c>
      <c r="I705" s="1736" t="s">
        <v>3709</v>
      </c>
      <c r="J705" s="1736">
        <f>G705</f>
        <v>30000000</v>
      </c>
      <c r="K705" s="1736">
        <f>30000000-G705</f>
        <v>0</v>
      </c>
      <c r="L705" s="1738"/>
      <c r="M705" s="429"/>
      <c r="N705" s="429"/>
      <c r="O705" s="429"/>
      <c r="P705" s="429"/>
      <c r="Q705" s="429"/>
    </row>
    <row r="706" spans="1:17" s="1751" customFormat="1" ht="30" customHeight="1" x14ac:dyDescent="0.2">
      <c r="A706" s="1794"/>
      <c r="B706" s="2102"/>
      <c r="C706" s="2150"/>
      <c r="D706" s="1947" t="s">
        <v>3812</v>
      </c>
      <c r="E706" s="1948"/>
      <c r="F706" s="1949"/>
      <c r="G706" s="1789">
        <v>450000</v>
      </c>
      <c r="H706" s="1789" t="s">
        <v>3811</v>
      </c>
      <c r="I706" s="1789" t="s">
        <v>2583</v>
      </c>
      <c r="J706" s="1789">
        <f>G706</f>
        <v>450000</v>
      </c>
      <c r="K706" s="1789">
        <f>450000-J706</f>
        <v>0</v>
      </c>
      <c r="L706" s="1790"/>
      <c r="M706" s="429"/>
      <c r="N706" s="429"/>
      <c r="O706" s="429"/>
      <c r="P706" s="429"/>
      <c r="Q706" s="429"/>
    </row>
    <row r="707" spans="1:17" s="1751" customFormat="1" ht="30" customHeight="1" x14ac:dyDescent="0.2">
      <c r="A707" s="1749"/>
      <c r="B707" s="1747" t="s">
        <v>3716</v>
      </c>
      <c r="C707" s="1746"/>
      <c r="D707" s="1736">
        <v>6000000</v>
      </c>
      <c r="E707" s="1745">
        <f>F707/D707</f>
        <v>0.05</v>
      </c>
      <c r="F707" s="1736">
        <v>300000</v>
      </c>
      <c r="G707" s="1736">
        <v>2000000</v>
      </c>
      <c r="H707" s="1736" t="s">
        <v>3708</v>
      </c>
      <c r="I707" s="1736" t="s">
        <v>3717</v>
      </c>
      <c r="J707" s="1736">
        <f>G707</f>
        <v>2000000</v>
      </c>
      <c r="K707" s="1736">
        <f>F707-J707</f>
        <v>-1700000</v>
      </c>
      <c r="L707" s="1752" t="s">
        <v>3718</v>
      </c>
      <c r="M707" s="429"/>
      <c r="N707" s="429"/>
      <c r="O707" s="429"/>
      <c r="P707" s="429"/>
      <c r="Q707" s="429"/>
    </row>
    <row r="708" spans="1:17" s="1751" customFormat="1" ht="30" customHeight="1" x14ac:dyDescent="0.2">
      <c r="A708" s="1749"/>
      <c r="B708" s="1747" t="s">
        <v>3740</v>
      </c>
      <c r="C708" s="1746"/>
      <c r="D708" s="1736">
        <v>870000000</v>
      </c>
      <c r="E708" s="1745">
        <v>7.0999999999999994E-2</v>
      </c>
      <c r="F708" s="1736">
        <v>62000000</v>
      </c>
      <c r="G708" s="1736">
        <v>62000000</v>
      </c>
      <c r="H708" s="1736" t="s">
        <v>3811</v>
      </c>
      <c r="I708" s="1736" t="s">
        <v>3588</v>
      </c>
      <c r="J708" s="1736">
        <f>G708</f>
        <v>62000000</v>
      </c>
      <c r="K708" s="1736">
        <f>F708-J708</f>
        <v>0</v>
      </c>
      <c r="L708" s="1738" t="s">
        <v>3741</v>
      </c>
      <c r="M708" s="429"/>
      <c r="N708" s="429"/>
      <c r="O708" s="429"/>
      <c r="P708" s="429"/>
      <c r="Q708" s="429"/>
    </row>
    <row r="709" spans="1:17" s="1751" customFormat="1" ht="30" customHeight="1" x14ac:dyDescent="0.2">
      <c r="A709" s="2101"/>
      <c r="B709" s="2029" t="s">
        <v>3747</v>
      </c>
      <c r="C709" s="2149" t="s">
        <v>916</v>
      </c>
      <c r="D709" s="1947" t="s">
        <v>3701</v>
      </c>
      <c r="E709" s="1948"/>
      <c r="F709" s="1949"/>
      <c r="G709" s="1736">
        <v>30000000</v>
      </c>
      <c r="H709" s="1736" t="s">
        <v>3745</v>
      </c>
      <c r="I709" s="1736" t="s">
        <v>3748</v>
      </c>
      <c r="J709" s="1736">
        <f>G709</f>
        <v>30000000</v>
      </c>
      <c r="K709" s="1736"/>
      <c r="L709" s="1738" t="s">
        <v>3483</v>
      </c>
      <c r="M709" s="429"/>
      <c r="N709" s="429"/>
      <c r="O709" s="429"/>
      <c r="P709" s="429"/>
      <c r="Q709" s="429"/>
    </row>
    <row r="710" spans="1:17" s="1751" customFormat="1" ht="30" customHeight="1" x14ac:dyDescent="0.2">
      <c r="A710" s="2102"/>
      <c r="B710" s="2030"/>
      <c r="C710" s="2150"/>
      <c r="D710" s="1736">
        <v>200000000</v>
      </c>
      <c r="E710" s="1745">
        <v>0.05</v>
      </c>
      <c r="F710" s="1736">
        <f>D710*E710</f>
        <v>10000000</v>
      </c>
      <c r="G710" s="2154" t="s">
        <v>3749</v>
      </c>
      <c r="H710" s="2155"/>
      <c r="I710" s="2155"/>
      <c r="J710" s="2155"/>
      <c r="K710" s="2156"/>
      <c r="L710" s="1738"/>
      <c r="M710" s="429"/>
      <c r="N710" s="429"/>
      <c r="O710" s="429"/>
      <c r="P710" s="429"/>
      <c r="Q710" s="429"/>
    </row>
    <row r="711" spans="1:17" s="1751" customFormat="1" ht="30" customHeight="1" x14ac:dyDescent="0.2">
      <c r="A711" s="1749"/>
      <c r="B711" s="1747" t="s">
        <v>2440</v>
      </c>
      <c r="C711" s="1746"/>
      <c r="D711" s="1947" t="s">
        <v>3701</v>
      </c>
      <c r="E711" s="1948"/>
      <c r="F711" s="1949"/>
      <c r="G711" s="1773">
        <v>10000000</v>
      </c>
      <c r="H711" s="1773" t="s">
        <v>3757</v>
      </c>
      <c r="I711" s="1773" t="s">
        <v>3759</v>
      </c>
      <c r="J711" s="1773">
        <f>G711</f>
        <v>10000000</v>
      </c>
      <c r="K711" s="1773"/>
      <c r="L711" s="1738"/>
      <c r="M711" s="429"/>
      <c r="N711" s="429"/>
      <c r="O711" s="429"/>
      <c r="P711" s="429"/>
      <c r="Q711" s="429"/>
    </row>
    <row r="712" spans="1:17" s="1751" customFormat="1" ht="30" customHeight="1" x14ac:dyDescent="0.2">
      <c r="A712" s="1749"/>
      <c r="B712" s="1747" t="s">
        <v>3762</v>
      </c>
      <c r="C712" s="1746" t="s">
        <v>2413</v>
      </c>
      <c r="D712" s="1736">
        <v>100000000</v>
      </c>
      <c r="E712" s="1745">
        <v>0.05</v>
      </c>
      <c r="F712" s="1736">
        <f>D712*E712</f>
        <v>5000000</v>
      </c>
      <c r="G712" s="2154" t="s">
        <v>3361</v>
      </c>
      <c r="H712" s="2155"/>
      <c r="I712" s="2155"/>
      <c r="J712" s="2155"/>
      <c r="K712" s="2156"/>
      <c r="L712" s="1738"/>
      <c r="M712" s="429"/>
      <c r="N712" s="429"/>
      <c r="O712" s="429"/>
      <c r="P712" s="429"/>
      <c r="Q712" s="429"/>
    </row>
    <row r="713" spans="1:17" s="1751" customFormat="1" ht="30" customHeight="1" x14ac:dyDescent="0.2">
      <c r="A713" s="1794"/>
      <c r="B713" s="1793" t="s">
        <v>3763</v>
      </c>
      <c r="C713" s="1792" t="s">
        <v>2413</v>
      </c>
      <c r="D713" s="1789">
        <v>130000000</v>
      </c>
      <c r="E713" s="1791"/>
      <c r="F713" s="1789"/>
      <c r="G713" s="2154" t="s">
        <v>3361</v>
      </c>
      <c r="H713" s="2155"/>
      <c r="I713" s="2155"/>
      <c r="J713" s="2155"/>
      <c r="K713" s="2156"/>
      <c r="L713" s="1790"/>
      <c r="M713" s="429"/>
      <c r="N713" s="429"/>
      <c r="O713" s="429"/>
      <c r="P713" s="429"/>
      <c r="Q713" s="429"/>
    </row>
    <row r="714" spans="1:17" s="1751" customFormat="1" ht="30" customHeight="1" x14ac:dyDescent="0.2">
      <c r="A714" s="2101"/>
      <c r="B714" s="2029" t="s">
        <v>3825</v>
      </c>
      <c r="C714" s="2149"/>
      <c r="D714" s="1835">
        <v>1140000000</v>
      </c>
      <c r="E714" s="1837">
        <v>7.0000000000000007E-2</v>
      </c>
      <c r="F714" s="1835">
        <f>D714*E714</f>
        <v>79800000.000000015</v>
      </c>
      <c r="G714" s="2154" t="s">
        <v>3826</v>
      </c>
      <c r="H714" s="2155"/>
      <c r="I714" s="2155"/>
      <c r="J714" s="2156"/>
      <c r="K714" s="1789"/>
      <c r="L714" s="1790" t="s">
        <v>3847</v>
      </c>
      <c r="M714" s="429"/>
      <c r="N714" s="429"/>
      <c r="O714" s="429"/>
      <c r="P714" s="429"/>
      <c r="Q714" s="429"/>
    </row>
    <row r="715" spans="1:17" s="1751" customFormat="1" ht="30" customHeight="1" x14ac:dyDescent="0.2">
      <c r="A715" s="2102"/>
      <c r="B715" s="2030"/>
      <c r="C715" s="2150"/>
      <c r="D715" s="1835">
        <v>1300000000</v>
      </c>
      <c r="E715" s="1837">
        <v>7.0000000000000007E-2</v>
      </c>
      <c r="F715" s="1835">
        <f>D715*E715</f>
        <v>91000000.000000015</v>
      </c>
      <c r="G715" s="1852"/>
      <c r="H715" s="1852"/>
      <c r="I715" s="1852"/>
      <c r="J715" s="1852"/>
      <c r="K715" s="1835"/>
      <c r="L715" s="1836" t="s">
        <v>3861</v>
      </c>
      <c r="M715" s="429"/>
      <c r="N715" s="429"/>
      <c r="O715" s="429"/>
      <c r="P715" s="429"/>
      <c r="Q715" s="429"/>
    </row>
    <row r="716" spans="1:17" s="1751" customFormat="1" ht="30" customHeight="1" x14ac:dyDescent="0.2">
      <c r="A716" s="1840"/>
      <c r="B716" s="1839" t="s">
        <v>3859</v>
      </c>
      <c r="C716" s="1838" t="s">
        <v>3537</v>
      </c>
      <c r="D716" s="1835">
        <v>10000000</v>
      </c>
      <c r="E716" s="44"/>
      <c r="F716" s="1847"/>
      <c r="G716" s="1852"/>
      <c r="H716" s="1852"/>
      <c r="I716" s="1852"/>
      <c r="J716" s="1852"/>
      <c r="K716" s="1835"/>
      <c r="L716" s="1836" t="s">
        <v>3860</v>
      </c>
      <c r="M716" s="429"/>
      <c r="N716" s="429"/>
      <c r="O716" s="429"/>
      <c r="P716" s="429"/>
      <c r="Q716" s="429"/>
    </row>
    <row r="717" spans="1:17" s="1751" customFormat="1" ht="30" customHeight="1" x14ac:dyDescent="0.2">
      <c r="A717" s="1794"/>
      <c r="B717" s="1793" t="s">
        <v>3862</v>
      </c>
      <c r="C717" s="1792" t="s">
        <v>1750</v>
      </c>
      <c r="D717" s="1789">
        <v>58000000</v>
      </c>
      <c r="E717" s="1791"/>
      <c r="F717" s="1789"/>
      <c r="G717" s="1789"/>
      <c r="H717" s="1789"/>
      <c r="I717" s="1789"/>
      <c r="J717" s="1789"/>
      <c r="K717" s="1789"/>
      <c r="L717" s="1851" t="s">
        <v>3863</v>
      </c>
      <c r="M717" s="429"/>
      <c r="N717" s="429"/>
      <c r="O717" s="429"/>
      <c r="P717" s="429"/>
      <c r="Q717" s="429"/>
    </row>
    <row r="718" spans="1:17" s="1751" customFormat="1" ht="30" customHeight="1" x14ac:dyDescent="0.2">
      <c r="A718" s="1876"/>
      <c r="B718" s="1871" t="s">
        <v>3895</v>
      </c>
      <c r="C718" s="1870" t="s">
        <v>1355</v>
      </c>
      <c r="D718" s="1867">
        <v>100000000</v>
      </c>
      <c r="E718" s="1868">
        <v>0.05</v>
      </c>
      <c r="F718" s="1867">
        <f>D718*E718</f>
        <v>5000000</v>
      </c>
      <c r="G718" s="2154" t="s">
        <v>3361</v>
      </c>
      <c r="H718" s="2155"/>
      <c r="I718" s="2155"/>
      <c r="J718" s="2156"/>
      <c r="K718" s="1867"/>
      <c r="L718" s="1874"/>
      <c r="M718" s="429"/>
      <c r="N718" s="429"/>
      <c r="O718" s="429"/>
      <c r="P718" s="429"/>
      <c r="Q718" s="429"/>
    </row>
    <row r="719" spans="1:17" s="1751" customFormat="1" ht="30" customHeight="1" x14ac:dyDescent="0.2">
      <c r="A719" s="1908"/>
      <c r="B719" s="1904" t="s">
        <v>3896</v>
      </c>
      <c r="C719" s="1894"/>
      <c r="D719" s="1892">
        <v>96000000</v>
      </c>
      <c r="E719" s="1890">
        <v>0.05</v>
      </c>
      <c r="F719" s="1892">
        <v>5000000</v>
      </c>
      <c r="G719" s="2154" t="s">
        <v>3361</v>
      </c>
      <c r="H719" s="2155"/>
      <c r="I719" s="2155"/>
      <c r="J719" s="2156"/>
      <c r="K719" s="1892"/>
      <c r="L719" s="1907"/>
      <c r="M719" s="429"/>
      <c r="N719" s="429"/>
      <c r="O719" s="429"/>
      <c r="P719" s="429"/>
      <c r="Q719" s="429"/>
    </row>
    <row r="720" spans="1:17" s="1751" customFormat="1" ht="30" customHeight="1" x14ac:dyDescent="0.2">
      <c r="A720" s="1908"/>
      <c r="B720" s="1411" t="s">
        <v>3919</v>
      </c>
      <c r="C720" s="1894"/>
      <c r="D720" s="1947" t="s">
        <v>1398</v>
      </c>
      <c r="E720" s="1948"/>
      <c r="F720" s="1949"/>
      <c r="G720" s="1899">
        <v>2040000</v>
      </c>
      <c r="H720" s="1899" t="s">
        <v>3920</v>
      </c>
      <c r="I720" s="1899" t="s">
        <v>3921</v>
      </c>
      <c r="J720" s="1899">
        <f>G720</f>
        <v>2040000</v>
      </c>
      <c r="K720" s="1892">
        <v>0</v>
      </c>
      <c r="L720" s="1907" t="s">
        <v>3922</v>
      </c>
      <c r="M720" s="429"/>
      <c r="N720" s="429"/>
      <c r="O720" s="429"/>
      <c r="P720" s="429"/>
      <c r="Q720" s="429"/>
    </row>
    <row r="721" spans="1:12" ht="30" customHeight="1" x14ac:dyDescent="0.2">
      <c r="A721" s="2418" t="s">
        <v>3541</v>
      </c>
      <c r="B721" s="2419"/>
      <c r="C721" s="1096"/>
      <c r="D721" s="311">
        <f>97120523000+1000000000</f>
        <v>98120523000</v>
      </c>
      <c r="E721" s="1660"/>
      <c r="F721" s="1540"/>
      <c r="G721" s="1540"/>
      <c r="H721" s="1540"/>
      <c r="I721" s="24"/>
      <c r="J721" s="1540"/>
      <c r="K721" s="1540"/>
      <c r="L721" s="1656"/>
    </row>
  </sheetData>
  <mergeCells count="909">
    <mergeCell ref="D509:E509"/>
    <mergeCell ref="D514:E514"/>
    <mergeCell ref="G511:K511"/>
    <mergeCell ref="G512:K512"/>
    <mergeCell ref="G513:K513"/>
    <mergeCell ref="G514:K514"/>
    <mergeCell ref="B503:B514"/>
    <mergeCell ref="A503:A514"/>
    <mergeCell ref="C503:C514"/>
    <mergeCell ref="G424:J426"/>
    <mergeCell ref="G427:J427"/>
    <mergeCell ref="K424:K427"/>
    <mergeCell ref="B424:B427"/>
    <mergeCell ref="A424:A427"/>
    <mergeCell ref="C424:C427"/>
    <mergeCell ref="L298:L300"/>
    <mergeCell ref="G669:G670"/>
    <mergeCell ref="H669:H670"/>
    <mergeCell ref="I669:I670"/>
    <mergeCell ref="J669:J670"/>
    <mergeCell ref="D720:F720"/>
    <mergeCell ref="B444:B447"/>
    <mergeCell ref="A444:A447"/>
    <mergeCell ref="C444:C447"/>
    <mergeCell ref="I354:I355"/>
    <mergeCell ref="H298:H300"/>
    <mergeCell ref="G718:J718"/>
    <mergeCell ref="G719:J719"/>
    <mergeCell ref="I298:I300"/>
    <mergeCell ref="K587:K588"/>
    <mergeCell ref="A561:A562"/>
    <mergeCell ref="B561:B562"/>
    <mergeCell ref="G562:J562"/>
    <mergeCell ref="G714:J714"/>
    <mergeCell ref="G467:G468"/>
    <mergeCell ref="H467:H468"/>
    <mergeCell ref="I467:I468"/>
    <mergeCell ref="J467:J468"/>
    <mergeCell ref="K467:K468"/>
    <mergeCell ref="A298:A300"/>
    <mergeCell ref="D300:F300"/>
    <mergeCell ref="B249:B250"/>
    <mergeCell ref="B181:B188"/>
    <mergeCell ref="A181:A188"/>
    <mergeCell ref="A165:A167"/>
    <mergeCell ref="A134:A135"/>
    <mergeCell ref="A155:A156"/>
    <mergeCell ref="C73:C75"/>
    <mergeCell ref="D73:D75"/>
    <mergeCell ref="A87:A93"/>
    <mergeCell ref="B87:B93"/>
    <mergeCell ref="C87:C93"/>
    <mergeCell ref="D87:D93"/>
    <mergeCell ref="E87:E93"/>
    <mergeCell ref="F111:F112"/>
    <mergeCell ref="L120:L121"/>
    <mergeCell ref="L132:P132"/>
    <mergeCell ref="L114:L115"/>
    <mergeCell ref="G173:J173"/>
    <mergeCell ref="L129:L130"/>
    <mergeCell ref="E48:E50"/>
    <mergeCell ref="F48:F50"/>
    <mergeCell ref="C46:C50"/>
    <mergeCell ref="B46:B50"/>
    <mergeCell ref="A17:A18"/>
    <mergeCell ref="B17:B18"/>
    <mergeCell ref="D18:F18"/>
    <mergeCell ref="B320:B322"/>
    <mergeCell ref="C320:C322"/>
    <mergeCell ref="D321:F322"/>
    <mergeCell ref="K321:K322"/>
    <mergeCell ref="L321:L322"/>
    <mergeCell ref="J321:J322"/>
    <mergeCell ref="C79:C81"/>
    <mergeCell ref="B79:B81"/>
    <mergeCell ref="A79:A81"/>
    <mergeCell ref="G81:J81"/>
    <mergeCell ref="L79:L81"/>
    <mergeCell ref="B26:B27"/>
    <mergeCell ref="B35:B37"/>
    <mergeCell ref="C35:C37"/>
    <mergeCell ref="G77:G78"/>
    <mergeCell ref="B198:B199"/>
    <mergeCell ref="C198:C199"/>
    <mergeCell ref="D198:D199"/>
    <mergeCell ref="A38:A39"/>
    <mergeCell ref="B38:B39"/>
    <mergeCell ref="C38:C39"/>
    <mergeCell ref="J74:J75"/>
    <mergeCell ref="J77:J78"/>
    <mergeCell ref="D48:D50"/>
    <mergeCell ref="B165:B167"/>
    <mergeCell ref="C165:C167"/>
    <mergeCell ref="B134:B135"/>
    <mergeCell ref="B155:B156"/>
    <mergeCell ref="C155:C156"/>
    <mergeCell ref="C134:C135"/>
    <mergeCell ref="H46:H48"/>
    <mergeCell ref="I46:I48"/>
    <mergeCell ref="J46:J48"/>
    <mergeCell ref="G48:G50"/>
    <mergeCell ref="H49:J50"/>
    <mergeCell ref="B402:B406"/>
    <mergeCell ref="G421:G423"/>
    <mergeCell ref="H421:H423"/>
    <mergeCell ref="I421:I423"/>
    <mergeCell ref="C136:C137"/>
    <mergeCell ref="C129:C130"/>
    <mergeCell ref="E73:E75"/>
    <mergeCell ref="F73:F75"/>
    <mergeCell ref="B73:B75"/>
    <mergeCell ref="E198:E199"/>
    <mergeCell ref="G250:K250"/>
    <mergeCell ref="C249:C250"/>
    <mergeCell ref="G185:J185"/>
    <mergeCell ref="G186:J186"/>
    <mergeCell ref="G187:J187"/>
    <mergeCell ref="G188:J188"/>
    <mergeCell ref="C184:F188"/>
    <mergeCell ref="G184:J184"/>
    <mergeCell ref="K233:K234"/>
    <mergeCell ref="B362:B363"/>
    <mergeCell ref="D363:F363"/>
    <mergeCell ref="B298:B300"/>
    <mergeCell ref="K463:K464"/>
    <mergeCell ref="G430:G431"/>
    <mergeCell ref="H430:H431"/>
    <mergeCell ref="I430:I431"/>
    <mergeCell ref="G617:J617"/>
    <mergeCell ref="K601:K602"/>
    <mergeCell ref="G451:G452"/>
    <mergeCell ref="H451:H452"/>
    <mergeCell ref="K480:K481"/>
    <mergeCell ref="I561:K561"/>
    <mergeCell ref="J542:J551"/>
    <mergeCell ref="I574:I575"/>
    <mergeCell ref="J601:J602"/>
    <mergeCell ref="G587:G588"/>
    <mergeCell ref="H587:H588"/>
    <mergeCell ref="I587:I588"/>
    <mergeCell ref="J587:J588"/>
    <mergeCell ref="K451:K452"/>
    <mergeCell ref="G502:K502"/>
    <mergeCell ref="L402:L406"/>
    <mergeCell ref="K402:K406"/>
    <mergeCell ref="A138:A139"/>
    <mergeCell ref="B138:B139"/>
    <mergeCell ref="C138:C139"/>
    <mergeCell ref="G139:J139"/>
    <mergeCell ref="L138:L139"/>
    <mergeCell ref="A162:A163"/>
    <mergeCell ref="B162:B163"/>
    <mergeCell ref="C162:C163"/>
    <mergeCell ref="G163:J163"/>
    <mergeCell ref="D207:F207"/>
    <mergeCell ref="F219:F228"/>
    <mergeCell ref="E209:E214"/>
    <mergeCell ref="L258:P258"/>
    <mergeCell ref="K285:K286"/>
    <mergeCell ref="L285:L286"/>
    <mergeCell ref="A192:A193"/>
    <mergeCell ref="B192:B193"/>
    <mergeCell ref="C192:C193"/>
    <mergeCell ref="D192:D193"/>
    <mergeCell ref="L364:L365"/>
    <mergeCell ref="A198:A199"/>
    <mergeCell ref="F198:F199"/>
    <mergeCell ref="A709:A710"/>
    <mergeCell ref="D711:F711"/>
    <mergeCell ref="A178:A179"/>
    <mergeCell ref="B178:B179"/>
    <mergeCell ref="C178:C179"/>
    <mergeCell ref="D178:D179"/>
    <mergeCell ref="E178:E179"/>
    <mergeCell ref="F178:F179"/>
    <mergeCell ref="A402:A406"/>
    <mergeCell ref="C402:C406"/>
    <mergeCell ref="E276:E277"/>
    <mergeCell ref="B245:B246"/>
    <mergeCell ref="B233:B234"/>
    <mergeCell ref="C233:C234"/>
    <mergeCell ref="A264:A268"/>
    <mergeCell ref="A245:A246"/>
    <mergeCell ref="A552:A553"/>
    <mergeCell ref="A574:A575"/>
    <mergeCell ref="E537:E538"/>
    <mergeCell ref="F537:F538"/>
    <mergeCell ref="A619:A621"/>
    <mergeCell ref="C619:C621"/>
    <mergeCell ref="B567:B568"/>
    <mergeCell ref="A567:A568"/>
    <mergeCell ref="K474:K475"/>
    <mergeCell ref="K703:K704"/>
    <mergeCell ref="G233:G234"/>
    <mergeCell ref="E192:E193"/>
    <mergeCell ref="A202:A203"/>
    <mergeCell ref="B202:B203"/>
    <mergeCell ref="A209:A214"/>
    <mergeCell ref="B209:B214"/>
    <mergeCell ref="C209:C214"/>
    <mergeCell ref="D209:D214"/>
    <mergeCell ref="B205:B208"/>
    <mergeCell ref="A205:A208"/>
    <mergeCell ref="J330:J332"/>
    <mergeCell ref="K330:K332"/>
    <mergeCell ref="J233:J234"/>
    <mergeCell ref="G262:J262"/>
    <mergeCell ref="C346:C348"/>
    <mergeCell ref="G491:J491"/>
    <mergeCell ref="H487:H488"/>
    <mergeCell ref="K457:K458"/>
    <mergeCell ref="A219:A228"/>
    <mergeCell ref="A378:A380"/>
    <mergeCell ref="D276:D277"/>
    <mergeCell ref="J463:J464"/>
    <mergeCell ref="K136:K137"/>
    <mergeCell ref="L136:L137"/>
    <mergeCell ref="G141:J141"/>
    <mergeCell ref="L219:L228"/>
    <mergeCell ref="H136:H137"/>
    <mergeCell ref="I136:I137"/>
    <mergeCell ref="J136:J137"/>
    <mergeCell ref="J129:J130"/>
    <mergeCell ref="K209:K210"/>
    <mergeCell ref="G136:G137"/>
    <mergeCell ref="K129:K130"/>
    <mergeCell ref="H209:H210"/>
    <mergeCell ref="L143:L145"/>
    <mergeCell ref="G145:J145"/>
    <mergeCell ref="I192:I193"/>
    <mergeCell ref="G183:J183"/>
    <mergeCell ref="I120:I121"/>
    <mergeCell ref="J120:J121"/>
    <mergeCell ref="G120:G121"/>
    <mergeCell ref="H120:H121"/>
    <mergeCell ref="A19:A20"/>
    <mergeCell ref="B19:B20"/>
    <mergeCell ref="C19:C20"/>
    <mergeCell ref="J19:J20"/>
    <mergeCell ref="D79:D80"/>
    <mergeCell ref="E79:E80"/>
    <mergeCell ref="F87:F93"/>
    <mergeCell ref="J87:J93"/>
    <mergeCell ref="A103:A104"/>
    <mergeCell ref="B103:B104"/>
    <mergeCell ref="C103:C104"/>
    <mergeCell ref="F79:F80"/>
    <mergeCell ref="J79:J80"/>
    <mergeCell ref="A26:A27"/>
    <mergeCell ref="A46:A47"/>
    <mergeCell ref="G46:G47"/>
    <mergeCell ref="G28:G29"/>
    <mergeCell ref="H28:H29"/>
    <mergeCell ref="I28:I29"/>
    <mergeCell ref="A73:A75"/>
    <mergeCell ref="K84:K86"/>
    <mergeCell ref="A82:A83"/>
    <mergeCell ref="K77:K78"/>
    <mergeCell ref="K87:K93"/>
    <mergeCell ref="K114:K115"/>
    <mergeCell ref="A97:A99"/>
    <mergeCell ref="B97:B99"/>
    <mergeCell ref="C97:C99"/>
    <mergeCell ref="A120:A121"/>
    <mergeCell ref="B120:B121"/>
    <mergeCell ref="C120:C121"/>
    <mergeCell ref="K111:K112"/>
    <mergeCell ref="J114:J115"/>
    <mergeCell ref="J108:J109"/>
    <mergeCell ref="J111:J112"/>
    <mergeCell ref="K120:K121"/>
    <mergeCell ref="A114:A115"/>
    <mergeCell ref="B114:B115"/>
    <mergeCell ref="C114:C115"/>
    <mergeCell ref="D114:D115"/>
    <mergeCell ref="E114:E115"/>
    <mergeCell ref="C111:C112"/>
    <mergeCell ref="D111:D112"/>
    <mergeCell ref="E111:E112"/>
    <mergeCell ref="G104:J104"/>
    <mergeCell ref="F114:F115"/>
    <mergeCell ref="L64:L65"/>
    <mergeCell ref="G61:G62"/>
    <mergeCell ref="H61:H62"/>
    <mergeCell ref="I61:I62"/>
    <mergeCell ref="J61:J62"/>
    <mergeCell ref="K61:K62"/>
    <mergeCell ref="A64:A65"/>
    <mergeCell ref="G73:J73"/>
    <mergeCell ref="H77:H78"/>
    <mergeCell ref="I77:I78"/>
    <mergeCell ref="A77:A78"/>
    <mergeCell ref="L82:L83"/>
    <mergeCell ref="A84:A86"/>
    <mergeCell ref="B84:B86"/>
    <mergeCell ref="C84:C86"/>
    <mergeCell ref="G84:G86"/>
    <mergeCell ref="H84:H86"/>
    <mergeCell ref="I84:I86"/>
    <mergeCell ref="J84:J86"/>
    <mergeCell ref="B82:B83"/>
    <mergeCell ref="C82:C83"/>
    <mergeCell ref="G82:G83"/>
    <mergeCell ref="D64:D65"/>
    <mergeCell ref="E64:E65"/>
    <mergeCell ref="K64:K65"/>
    <mergeCell ref="J64:J65"/>
    <mergeCell ref="B64:B65"/>
    <mergeCell ref="C64:C65"/>
    <mergeCell ref="K28:K29"/>
    <mergeCell ref="L46:L47"/>
    <mergeCell ref="L61:L62"/>
    <mergeCell ref="J28:J29"/>
    <mergeCell ref="D38:F39"/>
    <mergeCell ref="K38:K39"/>
    <mergeCell ref="J38:J39"/>
    <mergeCell ref="L48:N48"/>
    <mergeCell ref="L49:N49"/>
    <mergeCell ref="L50:N50"/>
    <mergeCell ref="K46:K48"/>
    <mergeCell ref="K49:K50"/>
    <mergeCell ref="A35:A37"/>
    <mergeCell ref="G40:J40"/>
    <mergeCell ref="L19:L20"/>
    <mergeCell ref="K26:K27"/>
    <mergeCell ref="C26:C27"/>
    <mergeCell ref="G26:G27"/>
    <mergeCell ref="H26:H27"/>
    <mergeCell ref="I26:I27"/>
    <mergeCell ref="J26:J27"/>
    <mergeCell ref="G19:G20"/>
    <mergeCell ref="H19:H20"/>
    <mergeCell ref="I19:I20"/>
    <mergeCell ref="E26:E27"/>
    <mergeCell ref="F26:F27"/>
    <mergeCell ref="L28:L29"/>
    <mergeCell ref="L15:L16"/>
    <mergeCell ref="G8:J8"/>
    <mergeCell ref="B5:B7"/>
    <mergeCell ref="A5:A7"/>
    <mergeCell ref="C5:C7"/>
    <mergeCell ref="G6:J6"/>
    <mergeCell ref="G7:J7"/>
    <mergeCell ref="H82:H83"/>
    <mergeCell ref="I82:I83"/>
    <mergeCell ref="J82:J83"/>
    <mergeCell ref="K82:K83"/>
    <mergeCell ref="K79:K80"/>
    <mergeCell ref="A15:A16"/>
    <mergeCell ref="B15:B16"/>
    <mergeCell ref="J15:J16"/>
    <mergeCell ref="K15:K16"/>
    <mergeCell ref="K19:K20"/>
    <mergeCell ref="A66:A69"/>
    <mergeCell ref="B66:B69"/>
    <mergeCell ref="C66:C69"/>
    <mergeCell ref="D66:D69"/>
    <mergeCell ref="E66:E69"/>
    <mergeCell ref="F66:F69"/>
    <mergeCell ref="F64:F65"/>
    <mergeCell ref="B77:B78"/>
    <mergeCell ref="C77:C78"/>
    <mergeCell ref="L111:L112"/>
    <mergeCell ref="L97:L99"/>
    <mergeCell ref="A94:A95"/>
    <mergeCell ref="B94:B95"/>
    <mergeCell ref="C94:C95"/>
    <mergeCell ref="D94:D95"/>
    <mergeCell ref="E94:E95"/>
    <mergeCell ref="F94:F95"/>
    <mergeCell ref="J94:J95"/>
    <mergeCell ref="K94:K95"/>
    <mergeCell ref="L94:L95"/>
    <mergeCell ref="K97:K98"/>
    <mergeCell ref="G97:J99"/>
    <mergeCell ref="L103:L104"/>
    <mergeCell ref="A108:A109"/>
    <mergeCell ref="B108:B109"/>
    <mergeCell ref="C108:C109"/>
    <mergeCell ref="D108:D109"/>
    <mergeCell ref="E108:E109"/>
    <mergeCell ref="F108:F109"/>
    <mergeCell ref="K108:K109"/>
    <mergeCell ref="L108:L109"/>
    <mergeCell ref="A111:A112"/>
    <mergeCell ref="B111:B112"/>
    <mergeCell ref="C205:C208"/>
    <mergeCell ref="A285:A287"/>
    <mergeCell ref="L233:L234"/>
    <mergeCell ref="K289:K290"/>
    <mergeCell ref="A311:A312"/>
    <mergeCell ref="B311:B312"/>
    <mergeCell ref="C311:C312"/>
    <mergeCell ref="G311:G312"/>
    <mergeCell ref="H311:H312"/>
    <mergeCell ref="I311:I312"/>
    <mergeCell ref="J311:J312"/>
    <mergeCell ref="A289:A294"/>
    <mergeCell ref="B289:B294"/>
    <mergeCell ref="C289:C294"/>
    <mergeCell ref="D289:D294"/>
    <mergeCell ref="E289:E294"/>
    <mergeCell ref="F289:F294"/>
    <mergeCell ref="K311:K312"/>
    <mergeCell ref="J289:J290"/>
    <mergeCell ref="A276:A277"/>
    <mergeCell ref="B276:B277"/>
    <mergeCell ref="C276:C277"/>
    <mergeCell ref="L311:L312"/>
    <mergeCell ref="B330:B332"/>
    <mergeCell ref="L437:L438"/>
    <mergeCell ref="G437:G438"/>
    <mergeCell ref="H437:H438"/>
    <mergeCell ref="B541:B551"/>
    <mergeCell ref="C541:C551"/>
    <mergeCell ref="D541:D551"/>
    <mergeCell ref="E541:E551"/>
    <mergeCell ref="J539:J540"/>
    <mergeCell ref="K539:K540"/>
    <mergeCell ref="L474:L475"/>
    <mergeCell ref="G474:G475"/>
    <mergeCell ref="H474:H475"/>
    <mergeCell ref="I474:I475"/>
    <mergeCell ref="I487:I488"/>
    <mergeCell ref="C330:C332"/>
    <mergeCell ref="D330:D332"/>
    <mergeCell ref="E330:E332"/>
    <mergeCell ref="F330:F332"/>
    <mergeCell ref="J354:J355"/>
    <mergeCell ref="K354:K355"/>
    <mergeCell ref="L394:L395"/>
    <mergeCell ref="L537:L538"/>
    <mergeCell ref="L535:L536"/>
    <mergeCell ref="L574:L575"/>
    <mergeCell ref="L587:L588"/>
    <mergeCell ref="K542:K551"/>
    <mergeCell ref="G553:J553"/>
    <mergeCell ref="K567:K568"/>
    <mergeCell ref="K487:K488"/>
    <mergeCell ref="K494:K501"/>
    <mergeCell ref="K591:K594"/>
    <mergeCell ref="J574:J575"/>
    <mergeCell ref="L539:L540"/>
    <mergeCell ref="K537:K538"/>
    <mergeCell ref="G584:J585"/>
    <mergeCell ref="G539:G540"/>
    <mergeCell ref="H539:H540"/>
    <mergeCell ref="I539:I540"/>
    <mergeCell ref="G620:J620"/>
    <mergeCell ref="E601:E602"/>
    <mergeCell ref="E559:E560"/>
    <mergeCell ref="F559:F560"/>
    <mergeCell ref="H574:H575"/>
    <mergeCell ref="K584:K585"/>
    <mergeCell ref="J559:J560"/>
    <mergeCell ref="L601:L602"/>
    <mergeCell ref="C615:C616"/>
    <mergeCell ref="G616:J616"/>
    <mergeCell ref="K559:K560"/>
    <mergeCell ref="L559:L560"/>
    <mergeCell ref="G593:J593"/>
    <mergeCell ref="G594:J594"/>
    <mergeCell ref="C591:C595"/>
    <mergeCell ref="G619:J619"/>
    <mergeCell ref="G574:G575"/>
    <mergeCell ref="G596:G600"/>
    <mergeCell ref="I596:I600"/>
    <mergeCell ref="J596:J600"/>
    <mergeCell ref="H596:H600"/>
    <mergeCell ref="A383:A384"/>
    <mergeCell ref="D395:E395"/>
    <mergeCell ref="B392:B401"/>
    <mergeCell ref="A392:A401"/>
    <mergeCell ref="C392:C401"/>
    <mergeCell ref="F386:F387"/>
    <mergeCell ref="G386:G387"/>
    <mergeCell ref="H386:H387"/>
    <mergeCell ref="I386:I387"/>
    <mergeCell ref="B383:B384"/>
    <mergeCell ref="C383:C384"/>
    <mergeCell ref="D383:D384"/>
    <mergeCell ref="E383:E384"/>
    <mergeCell ref="F383:F384"/>
    <mergeCell ref="G400:J400"/>
    <mergeCell ref="B537:B538"/>
    <mergeCell ref="F541:F551"/>
    <mergeCell ref="A539:A540"/>
    <mergeCell ref="B552:B553"/>
    <mergeCell ref="C552:C553"/>
    <mergeCell ref="A559:A560"/>
    <mergeCell ref="B559:B560"/>
    <mergeCell ref="C559:C560"/>
    <mergeCell ref="D559:D560"/>
    <mergeCell ref="B539:B540"/>
    <mergeCell ref="C539:C540"/>
    <mergeCell ref="A479:A481"/>
    <mergeCell ref="B479:B481"/>
    <mergeCell ref="C479:C481"/>
    <mergeCell ref="B490:B491"/>
    <mergeCell ref="A490:A491"/>
    <mergeCell ref="A494:A502"/>
    <mergeCell ref="B494:B502"/>
    <mergeCell ref="C494:C502"/>
    <mergeCell ref="J494:J501"/>
    <mergeCell ref="A487:A488"/>
    <mergeCell ref="B487:B488"/>
    <mergeCell ref="G487:G488"/>
    <mergeCell ref="A721:B721"/>
    <mergeCell ref="E526:F526"/>
    <mergeCell ref="D500:E500"/>
    <mergeCell ref="D502:E502"/>
    <mergeCell ref="A529:A530"/>
    <mergeCell ref="B529:B530"/>
    <mergeCell ref="E650:E652"/>
    <mergeCell ref="F650:F652"/>
    <mergeCell ref="A669:A670"/>
    <mergeCell ref="B669:B670"/>
    <mergeCell ref="C669:C670"/>
    <mergeCell ref="D669:D670"/>
    <mergeCell ref="E669:E670"/>
    <mergeCell ref="F669:F670"/>
    <mergeCell ref="A587:A588"/>
    <mergeCell ref="B584:B585"/>
    <mergeCell ref="A537:A538"/>
    <mergeCell ref="A563:A564"/>
    <mergeCell ref="B563:B564"/>
    <mergeCell ref="B574:B575"/>
    <mergeCell ref="A584:A585"/>
    <mergeCell ref="F601:F602"/>
    <mergeCell ref="A535:A536"/>
    <mergeCell ref="A541:A551"/>
    <mergeCell ref="A421:A423"/>
    <mergeCell ref="B421:B423"/>
    <mergeCell ref="C421:C423"/>
    <mergeCell ref="I451:I452"/>
    <mergeCell ref="F346:F347"/>
    <mergeCell ref="J219:J228"/>
    <mergeCell ref="A596:A602"/>
    <mergeCell ref="C596:C600"/>
    <mergeCell ref="G591:J591"/>
    <mergeCell ref="G592:J592"/>
    <mergeCell ref="J567:J568"/>
    <mergeCell ref="A454:A455"/>
    <mergeCell ref="B454:B455"/>
    <mergeCell ref="B378:B380"/>
    <mergeCell ref="D480:F481"/>
    <mergeCell ref="J480:J481"/>
    <mergeCell ref="D587:D588"/>
    <mergeCell ref="E587:E588"/>
    <mergeCell ref="F587:F588"/>
    <mergeCell ref="I494:I501"/>
    <mergeCell ref="J474:J475"/>
    <mergeCell ref="C537:C538"/>
    <mergeCell ref="A462:A464"/>
    <mergeCell ref="B462:B464"/>
    <mergeCell ref="H192:H193"/>
    <mergeCell ref="D448:D449"/>
    <mergeCell ref="E448:E449"/>
    <mergeCell ref="F448:F449"/>
    <mergeCell ref="A340:A341"/>
    <mergeCell ref="B340:B341"/>
    <mergeCell ref="J421:J423"/>
    <mergeCell ref="A413:A414"/>
    <mergeCell ref="B413:B414"/>
    <mergeCell ref="G413:G414"/>
    <mergeCell ref="H413:H414"/>
    <mergeCell ref="A430:A431"/>
    <mergeCell ref="B430:B431"/>
    <mergeCell ref="A419:A420"/>
    <mergeCell ref="C419:C420"/>
    <mergeCell ref="A448:A449"/>
    <mergeCell ref="B448:B449"/>
    <mergeCell ref="C448:C449"/>
    <mergeCell ref="A386:A387"/>
    <mergeCell ref="B386:B387"/>
    <mergeCell ref="C386:C387"/>
    <mergeCell ref="C430:C431"/>
    <mergeCell ref="D346:D347"/>
    <mergeCell ref="A408:A409"/>
    <mergeCell ref="D444:D445"/>
    <mergeCell ref="E444:E445"/>
    <mergeCell ref="F444:F445"/>
    <mergeCell ref="F276:F277"/>
    <mergeCell ref="K264:K268"/>
    <mergeCell ref="B219:B228"/>
    <mergeCell ref="C219:C228"/>
    <mergeCell ref="D219:D228"/>
    <mergeCell ref="I437:I438"/>
    <mergeCell ref="J437:J438"/>
    <mergeCell ref="K437:K438"/>
    <mergeCell ref="B346:B348"/>
    <mergeCell ref="J346:J347"/>
    <mergeCell ref="F325:F326"/>
    <mergeCell ref="D386:D387"/>
    <mergeCell ref="E386:E387"/>
    <mergeCell ref="G392:J396"/>
    <mergeCell ref="G401:J401"/>
    <mergeCell ref="G370:G371"/>
    <mergeCell ref="H376:H377"/>
    <mergeCell ref="D398:F399"/>
    <mergeCell ref="J285:J286"/>
    <mergeCell ref="I285:I286"/>
    <mergeCell ref="C340:C341"/>
    <mergeCell ref="L267:L268"/>
    <mergeCell ref="L202:L203"/>
    <mergeCell ref="L192:L193"/>
    <mergeCell ref="K181:K182"/>
    <mergeCell ref="L181:L182"/>
    <mergeCell ref="K202:K203"/>
    <mergeCell ref="J178:J179"/>
    <mergeCell ref="J245:J246"/>
    <mergeCell ref="K245:K246"/>
    <mergeCell ref="J202:J203"/>
    <mergeCell ref="J264:J268"/>
    <mergeCell ref="L209:L210"/>
    <mergeCell ref="G208:J208"/>
    <mergeCell ref="H233:H234"/>
    <mergeCell ref="I233:I234"/>
    <mergeCell ref="I209:I210"/>
    <mergeCell ref="J209:J210"/>
    <mergeCell ref="J192:J193"/>
    <mergeCell ref="K192:K193"/>
    <mergeCell ref="G245:G246"/>
    <mergeCell ref="H245:H246"/>
    <mergeCell ref="I245:I246"/>
    <mergeCell ref="K219:K228"/>
    <mergeCell ref="G192:G193"/>
    <mergeCell ref="K143:K144"/>
    <mergeCell ref="L178:L179"/>
    <mergeCell ref="G181:G182"/>
    <mergeCell ref="H181:H182"/>
    <mergeCell ref="I181:I182"/>
    <mergeCell ref="J181:J182"/>
    <mergeCell ref="F165:F167"/>
    <mergeCell ref="J143:J144"/>
    <mergeCell ref="L147:L149"/>
    <mergeCell ref="L165:L167"/>
    <mergeCell ref="F160:F161"/>
    <mergeCell ref="K165:K167"/>
    <mergeCell ref="K178:K179"/>
    <mergeCell ref="J165:J167"/>
    <mergeCell ref="F147:F148"/>
    <mergeCell ref="D129:D130"/>
    <mergeCell ref="E129:E130"/>
    <mergeCell ref="F129:F130"/>
    <mergeCell ref="A170:A171"/>
    <mergeCell ref="G148:J148"/>
    <mergeCell ref="A147:A149"/>
    <mergeCell ref="B147:B149"/>
    <mergeCell ref="C147:C149"/>
    <mergeCell ref="C181:C182"/>
    <mergeCell ref="A140:A142"/>
    <mergeCell ref="B140:B142"/>
    <mergeCell ref="C141:C142"/>
    <mergeCell ref="B160:B161"/>
    <mergeCell ref="A160:A161"/>
    <mergeCell ref="C160:C161"/>
    <mergeCell ref="D160:D161"/>
    <mergeCell ref="E160:E161"/>
    <mergeCell ref="A129:A130"/>
    <mergeCell ref="B129:B130"/>
    <mergeCell ref="A136:A137"/>
    <mergeCell ref="B136:B137"/>
    <mergeCell ref="G171:J171"/>
    <mergeCell ref="D165:D167"/>
    <mergeCell ref="E165:E167"/>
    <mergeCell ref="A143:A145"/>
    <mergeCell ref="B143:B145"/>
    <mergeCell ref="C143:C145"/>
    <mergeCell ref="D143:F144"/>
    <mergeCell ref="F209:F214"/>
    <mergeCell ref="A370:A371"/>
    <mergeCell ref="B370:B371"/>
    <mergeCell ref="C370:C371"/>
    <mergeCell ref="B264:B268"/>
    <mergeCell ref="C264:C268"/>
    <mergeCell ref="D264:D268"/>
    <mergeCell ref="E264:E268"/>
    <mergeCell ref="F264:F268"/>
    <mergeCell ref="A261:A262"/>
    <mergeCell ref="B261:B262"/>
    <mergeCell ref="C261:C262"/>
    <mergeCell ref="E219:E228"/>
    <mergeCell ref="B285:B287"/>
    <mergeCell ref="C170:C171"/>
    <mergeCell ref="F192:F193"/>
    <mergeCell ref="D147:D148"/>
    <mergeCell ref="E147:E148"/>
    <mergeCell ref="B170:B171"/>
    <mergeCell ref="A354:A355"/>
    <mergeCell ref="D457:D458"/>
    <mergeCell ref="E457:E458"/>
    <mergeCell ref="F457:F458"/>
    <mergeCell ref="J457:J458"/>
    <mergeCell ref="G494:G501"/>
    <mergeCell ref="H494:H501"/>
    <mergeCell ref="C470:C471"/>
    <mergeCell ref="C476:C477"/>
    <mergeCell ref="D476:D477"/>
    <mergeCell ref="E476:E477"/>
    <mergeCell ref="F476:F477"/>
    <mergeCell ref="C490:C491"/>
    <mergeCell ref="C474:C475"/>
    <mergeCell ref="C467:C468"/>
    <mergeCell ref="G482:J482"/>
    <mergeCell ref="J487:J488"/>
    <mergeCell ref="D574:D575"/>
    <mergeCell ref="E574:E575"/>
    <mergeCell ref="F574:F575"/>
    <mergeCell ref="F584:F585"/>
    <mergeCell ref="F567:F568"/>
    <mergeCell ref="C584:C585"/>
    <mergeCell ref="D584:D585"/>
    <mergeCell ref="E584:E585"/>
    <mergeCell ref="D567:D568"/>
    <mergeCell ref="C567:C568"/>
    <mergeCell ref="E567:E568"/>
    <mergeCell ref="B615:B617"/>
    <mergeCell ref="D601:D602"/>
    <mergeCell ref="C601:C602"/>
    <mergeCell ref="D656:F656"/>
    <mergeCell ref="E623:E625"/>
    <mergeCell ref="F623:F625"/>
    <mergeCell ref="B644:B645"/>
    <mergeCell ref="D644:D645"/>
    <mergeCell ref="C644:C645"/>
    <mergeCell ref="E644:E645"/>
    <mergeCell ref="B623:B625"/>
    <mergeCell ref="C623:C625"/>
    <mergeCell ref="D623:D625"/>
    <mergeCell ref="B619:B621"/>
    <mergeCell ref="A346:A348"/>
    <mergeCell ref="A325:A326"/>
    <mergeCell ref="B325:B326"/>
    <mergeCell ref="C325:C326"/>
    <mergeCell ref="D325:D326"/>
    <mergeCell ref="E325:E326"/>
    <mergeCell ref="K346:K347"/>
    <mergeCell ref="I376:I377"/>
    <mergeCell ref="G376:G377"/>
    <mergeCell ref="I370:I371"/>
    <mergeCell ref="H370:H371"/>
    <mergeCell ref="B354:B355"/>
    <mergeCell ref="C354:C355"/>
    <mergeCell ref="G354:G355"/>
    <mergeCell ref="H354:H355"/>
    <mergeCell ref="B366:B367"/>
    <mergeCell ref="C366:C367"/>
    <mergeCell ref="G367:J367"/>
    <mergeCell ref="A364:A365"/>
    <mergeCell ref="D365:F365"/>
    <mergeCell ref="A366:A367"/>
    <mergeCell ref="A362:A363"/>
    <mergeCell ref="E346:E347"/>
    <mergeCell ref="G348:J348"/>
    <mergeCell ref="I413:I414"/>
    <mergeCell ref="J413:J414"/>
    <mergeCell ref="H346:H347"/>
    <mergeCell ref="G346:G347"/>
    <mergeCell ref="I346:I347"/>
    <mergeCell ref="G420:J420"/>
    <mergeCell ref="K386:K387"/>
    <mergeCell ref="K370:K371"/>
    <mergeCell ref="J370:J371"/>
    <mergeCell ref="G381:J381"/>
    <mergeCell ref="J386:J387"/>
    <mergeCell ref="J376:J377"/>
    <mergeCell ref="K376:K377"/>
    <mergeCell ref="G402:J405"/>
    <mergeCell ref="D405:E405"/>
    <mergeCell ref="L644:L645"/>
    <mergeCell ref="J623:J625"/>
    <mergeCell ref="K630:K631"/>
    <mergeCell ref="J630:J631"/>
    <mergeCell ref="G276:G277"/>
    <mergeCell ref="H276:H277"/>
    <mergeCell ref="I276:I277"/>
    <mergeCell ref="J276:J277"/>
    <mergeCell ref="K276:K277"/>
    <mergeCell ref="L613:L614"/>
    <mergeCell ref="L563:L564"/>
    <mergeCell ref="L413:L414"/>
    <mergeCell ref="L480:L481"/>
    <mergeCell ref="L476:L477"/>
    <mergeCell ref="J451:J452"/>
    <mergeCell ref="L346:L347"/>
    <mergeCell ref="L354:L355"/>
    <mergeCell ref="L376:L377"/>
    <mergeCell ref="J537:J538"/>
    <mergeCell ref="G285:G286"/>
    <mergeCell ref="H285:H286"/>
    <mergeCell ref="L630:L631"/>
    <mergeCell ref="K623:K625"/>
    <mergeCell ref="L623:L625"/>
    <mergeCell ref="L703:L704"/>
    <mergeCell ref="G650:G654"/>
    <mergeCell ref="H650:H654"/>
    <mergeCell ref="I650:I654"/>
    <mergeCell ref="J650:J654"/>
    <mergeCell ref="K650:K654"/>
    <mergeCell ref="K669:K670"/>
    <mergeCell ref="L669:L670"/>
    <mergeCell ref="L668:P668"/>
    <mergeCell ref="I698:K698"/>
    <mergeCell ref="I682:K682"/>
    <mergeCell ref="G694:J694"/>
    <mergeCell ref="H676:H677"/>
    <mergeCell ref="I676:I677"/>
    <mergeCell ref="J676:J677"/>
    <mergeCell ref="K676:K677"/>
    <mergeCell ref="G696:J696"/>
    <mergeCell ref="G692:J692"/>
    <mergeCell ref="G683:J683"/>
    <mergeCell ref="L398:L399"/>
    <mergeCell ref="B535:B536"/>
    <mergeCell ref="C535:C536"/>
    <mergeCell ref="D535:D536"/>
    <mergeCell ref="E535:E536"/>
    <mergeCell ref="F535:F536"/>
    <mergeCell ref="J535:J536"/>
    <mergeCell ref="K535:K536"/>
    <mergeCell ref="B590:B595"/>
    <mergeCell ref="L457:L458"/>
    <mergeCell ref="L487:L488"/>
    <mergeCell ref="L494:L502"/>
    <mergeCell ref="L451:L452"/>
    <mergeCell ref="K421:K423"/>
    <mergeCell ref="K413:K414"/>
    <mergeCell ref="B419:B420"/>
    <mergeCell ref="K430:K431"/>
    <mergeCell ref="L430:L431"/>
    <mergeCell ref="G455:J455"/>
    <mergeCell ref="G446:J446"/>
    <mergeCell ref="K574:K575"/>
    <mergeCell ref="L421:L422"/>
    <mergeCell ref="J430:J431"/>
    <mergeCell ref="D537:D538"/>
    <mergeCell ref="C413:C414"/>
    <mergeCell ref="J398:J399"/>
    <mergeCell ref="K398:K399"/>
    <mergeCell ref="H397:H398"/>
    <mergeCell ref="I397:I398"/>
    <mergeCell ref="B703:B704"/>
    <mergeCell ref="G712:K712"/>
    <mergeCell ref="G713:K713"/>
    <mergeCell ref="B613:B614"/>
    <mergeCell ref="C613:C614"/>
    <mergeCell ref="D613:D614"/>
    <mergeCell ref="E613:E614"/>
    <mergeCell ref="F613:F614"/>
    <mergeCell ref="J613:J614"/>
    <mergeCell ref="K613:K614"/>
    <mergeCell ref="B709:B710"/>
    <mergeCell ref="C709:C710"/>
    <mergeCell ref="D709:F709"/>
    <mergeCell ref="G710:K710"/>
    <mergeCell ref="C703:C704"/>
    <mergeCell ref="D703:D704"/>
    <mergeCell ref="E703:E704"/>
    <mergeCell ref="F703:F704"/>
    <mergeCell ref="K644:K645"/>
    <mergeCell ref="D650:D652"/>
    <mergeCell ref="A650:A652"/>
    <mergeCell ref="D591:F594"/>
    <mergeCell ref="B587:B588"/>
    <mergeCell ref="J703:J704"/>
    <mergeCell ref="B688:B689"/>
    <mergeCell ref="A688:A689"/>
    <mergeCell ref="B714:B715"/>
    <mergeCell ref="C714:C715"/>
    <mergeCell ref="A714:A715"/>
    <mergeCell ref="B705:B706"/>
    <mergeCell ref="C705:C706"/>
    <mergeCell ref="D706:F706"/>
    <mergeCell ref="D701:F701"/>
    <mergeCell ref="D705:F705"/>
    <mergeCell ref="F644:F645"/>
    <mergeCell ref="J644:J645"/>
    <mergeCell ref="A676:A677"/>
    <mergeCell ref="B676:B677"/>
    <mergeCell ref="A630:A634"/>
    <mergeCell ref="A615:A617"/>
    <mergeCell ref="A623:A625"/>
    <mergeCell ref="B601:B602"/>
    <mergeCell ref="B630:B634"/>
    <mergeCell ref="A437:A438"/>
    <mergeCell ref="C437:C438"/>
    <mergeCell ref="A457:A458"/>
    <mergeCell ref="A467:A468"/>
    <mergeCell ref="A590:A595"/>
    <mergeCell ref="C650:C652"/>
    <mergeCell ref="A653:A654"/>
    <mergeCell ref="B653:B654"/>
    <mergeCell ref="C653:C654"/>
    <mergeCell ref="C454:C455"/>
    <mergeCell ref="C630:C634"/>
    <mergeCell ref="A644:A645"/>
    <mergeCell ref="A613:A614"/>
    <mergeCell ref="C587:C588"/>
    <mergeCell ref="C574:C575"/>
    <mergeCell ref="B457:B458"/>
    <mergeCell ref="C457:C458"/>
    <mergeCell ref="B470:B471"/>
    <mergeCell ref="A474:A475"/>
    <mergeCell ref="B474:B475"/>
    <mergeCell ref="A470:A471"/>
    <mergeCell ref="B467:B468"/>
    <mergeCell ref="A476:A477"/>
    <mergeCell ref="B476:B47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rightToLeft="1" topLeftCell="A7" zoomScale="70" zoomScaleNormal="70" workbookViewId="0">
      <selection activeCell="B23" sqref="B23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929" t="s">
        <v>905</v>
      </c>
      <c r="C1" s="1930"/>
      <c r="D1" s="193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43">
        <v>1</v>
      </c>
      <c r="B3" s="156">
        <v>9000000</v>
      </c>
      <c r="C3" s="150"/>
      <c r="D3" s="158" t="s">
        <v>942</v>
      </c>
    </row>
    <row r="4" spans="1:4" ht="30" customHeight="1" x14ac:dyDescent="0.2">
      <c r="A4" s="143">
        <v>2</v>
      </c>
      <c r="B4" s="156">
        <v>3000000</v>
      </c>
      <c r="C4" s="150"/>
      <c r="D4" s="158" t="s">
        <v>941</v>
      </c>
    </row>
    <row r="5" spans="1:4" ht="30" customHeight="1" x14ac:dyDescent="0.2">
      <c r="A5" s="143">
        <v>3</v>
      </c>
      <c r="B5" s="156">
        <v>911000</v>
      </c>
      <c r="C5" s="150"/>
      <c r="D5" s="158" t="s">
        <v>943</v>
      </c>
    </row>
    <row r="6" spans="1:4" ht="30" customHeight="1" x14ac:dyDescent="0.2">
      <c r="A6" s="143">
        <v>4</v>
      </c>
      <c r="B6" s="156">
        <v>3000000</v>
      </c>
      <c r="C6" s="139" t="s">
        <v>895</v>
      </c>
      <c r="D6" s="158" t="s">
        <v>896</v>
      </c>
    </row>
    <row r="7" spans="1:4" ht="30" customHeight="1" x14ac:dyDescent="0.2">
      <c r="A7" s="143">
        <v>5</v>
      </c>
      <c r="B7" s="156">
        <v>2000000</v>
      </c>
      <c r="C7" s="141" t="s">
        <v>907</v>
      </c>
      <c r="D7" s="158" t="s">
        <v>896</v>
      </c>
    </row>
    <row r="8" spans="1:4" ht="30" customHeight="1" x14ac:dyDescent="0.2">
      <c r="A8" s="143">
        <v>6</v>
      </c>
      <c r="B8" s="156">
        <v>2500000</v>
      </c>
      <c r="C8" s="139" t="s">
        <v>908</v>
      </c>
      <c r="D8" s="158" t="s">
        <v>896</v>
      </c>
    </row>
    <row r="9" spans="1:4" ht="30" customHeight="1" x14ac:dyDescent="0.2">
      <c r="A9" s="143">
        <v>7</v>
      </c>
      <c r="B9" s="156">
        <v>1589000</v>
      </c>
      <c r="C9" s="139" t="s">
        <v>649</v>
      </c>
      <c r="D9" s="158" t="s">
        <v>896</v>
      </c>
    </row>
    <row r="10" spans="1:4" ht="30" customHeight="1" x14ac:dyDescent="0.2">
      <c r="A10" s="231"/>
      <c r="B10" s="156"/>
      <c r="C10" s="550"/>
      <c r="D10" s="158"/>
    </row>
    <row r="11" spans="1:4" ht="30" customHeight="1" x14ac:dyDescent="0.2">
      <c r="A11" s="231"/>
      <c r="B11" s="156"/>
      <c r="C11" s="550"/>
      <c r="D11" s="158"/>
    </row>
    <row r="12" spans="1:4" ht="30" customHeight="1" x14ac:dyDescent="0.2">
      <c r="A12" s="231"/>
      <c r="B12" s="156"/>
      <c r="C12" s="550"/>
      <c r="D12" s="158"/>
    </row>
    <row r="13" spans="1:4" ht="30" customHeight="1" x14ac:dyDescent="0.2">
      <c r="A13" s="231"/>
      <c r="B13" s="156"/>
      <c r="C13" s="550"/>
      <c r="D13" s="158"/>
    </row>
    <row r="14" spans="1:4" ht="30" customHeight="1" thickBot="1" x14ac:dyDescent="0.25">
      <c r="A14" s="231"/>
      <c r="B14" s="156"/>
      <c r="C14" s="550"/>
      <c r="D14" s="158"/>
    </row>
    <row r="15" spans="1:4" ht="50.1" customHeight="1" thickBot="1" x14ac:dyDescent="0.25">
      <c r="A15" s="231"/>
      <c r="B15" s="1929" t="s">
        <v>1867</v>
      </c>
      <c r="C15" s="1930"/>
      <c r="D15" s="1931"/>
    </row>
    <row r="16" spans="1:4" ht="30" customHeight="1" x14ac:dyDescent="0.2">
      <c r="A16" s="143">
        <v>8</v>
      </c>
      <c r="B16" s="156">
        <v>1060000</v>
      </c>
      <c r="C16" s="139" t="s">
        <v>1713</v>
      </c>
      <c r="D16" s="158" t="s">
        <v>1884</v>
      </c>
    </row>
    <row r="17" spans="1:4" ht="30" customHeight="1" x14ac:dyDescent="0.2">
      <c r="A17" s="143">
        <v>9</v>
      </c>
      <c r="B17" s="156">
        <v>1193000</v>
      </c>
      <c r="C17" s="139" t="s">
        <v>2831</v>
      </c>
      <c r="D17" s="158" t="s">
        <v>2886</v>
      </c>
    </row>
    <row r="18" spans="1:4" ht="30" customHeight="1" x14ac:dyDescent="0.2">
      <c r="A18" s="143">
        <v>10</v>
      </c>
      <c r="B18" s="156">
        <v>1175000</v>
      </c>
      <c r="C18" s="139" t="s">
        <v>3643</v>
      </c>
      <c r="D18" s="158" t="s">
        <v>2886</v>
      </c>
    </row>
    <row r="19" spans="1:4" ht="30" customHeight="1" x14ac:dyDescent="0.2">
      <c r="A19" s="143">
        <v>11</v>
      </c>
      <c r="B19" s="156"/>
      <c r="C19" s="139"/>
      <c r="D19" s="158"/>
    </row>
    <row r="20" spans="1:4" ht="30" customHeight="1" x14ac:dyDescent="0.2">
      <c r="A20" s="143">
        <v>12</v>
      </c>
      <c r="B20" s="156"/>
      <c r="C20" s="139"/>
      <c r="D20" s="159"/>
    </row>
    <row r="21" spans="1:4" ht="30" customHeight="1" x14ac:dyDescent="0.2">
      <c r="A21" s="143">
        <v>13</v>
      </c>
      <c r="B21" s="156"/>
      <c r="C21" s="139"/>
      <c r="D21" s="158"/>
    </row>
    <row r="22" spans="1:4" ht="30" customHeight="1" x14ac:dyDescent="0.2">
      <c r="A22" s="143">
        <v>14</v>
      </c>
      <c r="B22" s="156"/>
      <c r="C22" s="139"/>
      <c r="D22" s="158"/>
    </row>
    <row r="23" spans="1:4" ht="30" customHeight="1" thickBot="1" x14ac:dyDescent="0.25">
      <c r="A23" s="104" t="s">
        <v>903</v>
      </c>
      <c r="B23" s="160">
        <f>SUM(B3:B22)</f>
        <v>25428000</v>
      </c>
      <c r="C23" s="161"/>
      <c r="D23" s="162"/>
    </row>
  </sheetData>
  <mergeCells count="2">
    <mergeCell ref="B1:D1"/>
    <mergeCell ref="B15:D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rightToLeft="1" zoomScale="60" zoomScaleNormal="60" workbookViewId="0">
      <selection activeCell="B7" sqref="B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929" t="s">
        <v>909</v>
      </c>
      <c r="C1" s="1930"/>
      <c r="D1" s="193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136">
        <v>1</v>
      </c>
      <c r="B3" s="156">
        <v>100000000</v>
      </c>
      <c r="C3" s="139" t="s">
        <v>910</v>
      </c>
      <c r="D3" s="158" t="s">
        <v>911</v>
      </c>
    </row>
    <row r="4" spans="1:4" ht="30" customHeight="1" x14ac:dyDescent="0.2">
      <c r="A4" s="153">
        <v>2</v>
      </c>
      <c r="B4" s="156">
        <v>30000000</v>
      </c>
      <c r="C4" s="141" t="s">
        <v>701</v>
      </c>
      <c r="D4" s="158" t="s">
        <v>911</v>
      </c>
    </row>
    <row r="5" spans="1:4" ht="30" customHeight="1" x14ac:dyDescent="0.2">
      <c r="A5" s="136">
        <v>3</v>
      </c>
      <c r="B5" s="156">
        <v>80000000</v>
      </c>
      <c r="C5" s="139" t="s">
        <v>912</v>
      </c>
      <c r="D5" s="158" t="s">
        <v>911</v>
      </c>
    </row>
    <row r="6" spans="1:4" ht="30" customHeight="1" x14ac:dyDescent="0.2">
      <c r="A6" s="153">
        <v>4</v>
      </c>
      <c r="B6" s="156">
        <v>99500000</v>
      </c>
      <c r="C6" s="139" t="s">
        <v>913</v>
      </c>
      <c r="D6" s="158" t="s">
        <v>911</v>
      </c>
    </row>
    <row r="7" spans="1:4" ht="30" customHeight="1" x14ac:dyDescent="0.2">
      <c r="A7" s="136">
        <v>5</v>
      </c>
      <c r="B7" s="156">
        <v>10500000</v>
      </c>
      <c r="C7" s="139" t="s">
        <v>914</v>
      </c>
      <c r="D7" s="158"/>
    </row>
    <row r="8" spans="1:4" ht="30" customHeight="1" x14ac:dyDescent="0.2">
      <c r="A8" s="153">
        <v>6</v>
      </c>
      <c r="B8" s="156">
        <v>100000000</v>
      </c>
      <c r="C8" s="139" t="s">
        <v>839</v>
      </c>
      <c r="D8" s="158" t="s">
        <v>911</v>
      </c>
    </row>
    <row r="9" spans="1:4" ht="30" customHeight="1" x14ac:dyDescent="0.2">
      <c r="A9" s="136">
        <v>7</v>
      </c>
      <c r="B9" s="156"/>
      <c r="C9" s="139"/>
      <c r="D9" s="158"/>
    </row>
    <row r="10" spans="1:4" ht="30" customHeight="1" x14ac:dyDescent="0.2">
      <c r="A10" s="153">
        <v>8</v>
      </c>
      <c r="B10" s="156"/>
      <c r="C10" s="139"/>
      <c r="D10" s="158"/>
    </row>
    <row r="11" spans="1:4" ht="30" customHeight="1" x14ac:dyDescent="0.2">
      <c r="A11" s="136">
        <v>9</v>
      </c>
      <c r="B11" s="156"/>
      <c r="C11" s="139"/>
      <c r="D11" s="158"/>
    </row>
    <row r="12" spans="1:4" ht="30" customHeight="1" x14ac:dyDescent="0.2">
      <c r="A12" s="153">
        <v>10</v>
      </c>
      <c r="B12" s="156"/>
      <c r="C12" s="139"/>
      <c r="D12" s="159"/>
    </row>
    <row r="13" spans="1:4" ht="30" customHeight="1" x14ac:dyDescent="0.2">
      <c r="A13" s="136">
        <v>11</v>
      </c>
      <c r="B13" s="156"/>
      <c r="C13" s="139"/>
      <c r="D13" s="158"/>
    </row>
    <row r="14" spans="1:4" ht="30" customHeight="1" x14ac:dyDescent="0.2">
      <c r="A14" s="153">
        <v>12</v>
      </c>
      <c r="B14" s="156"/>
      <c r="C14" s="139"/>
      <c r="D14" s="158"/>
    </row>
    <row r="15" spans="1:4" ht="30" customHeight="1" thickBot="1" x14ac:dyDescent="0.25">
      <c r="A15" s="104" t="s">
        <v>903</v>
      </c>
      <c r="B15" s="160">
        <f>SUM(B3:B14)</f>
        <v>420000000</v>
      </c>
      <c r="C15" s="161"/>
      <c r="D15" s="162"/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>
    <row r="1" spans="1:1" x14ac:dyDescent="0.2">
      <c r="A1" t="s">
        <v>1055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rightToLeft="1" topLeftCell="A98" zoomScale="60" zoomScaleNormal="60" workbookViewId="0">
      <selection activeCell="B95" sqref="B95"/>
    </sheetView>
  </sheetViews>
  <sheetFormatPr defaultRowHeight="14.25" x14ac:dyDescent="0.2"/>
  <cols>
    <col min="1" max="1" width="20.375" style="5" customWidth="1"/>
    <col min="2" max="2" width="33.625" customWidth="1"/>
    <col min="3" max="3" width="15.75" customWidth="1"/>
    <col min="4" max="4" width="33" customWidth="1"/>
    <col min="5" max="5" width="30.625" customWidth="1"/>
    <col min="8" max="8" width="10.875" bestFit="1" customWidth="1"/>
    <col min="10" max="10" width="10.875" bestFit="1" customWidth="1"/>
  </cols>
  <sheetData>
    <row r="1" spans="1:5" ht="50.1" customHeight="1" thickBot="1" x14ac:dyDescent="0.25">
      <c r="A1" s="1950" t="s">
        <v>2033</v>
      </c>
      <c r="B1" s="1951"/>
      <c r="C1" s="1951"/>
      <c r="D1" s="1951"/>
      <c r="E1" s="1952"/>
    </row>
    <row r="2" spans="1:5" ht="50.1" customHeight="1" thickBot="1" x14ac:dyDescent="0.25">
      <c r="A2" s="632" t="s">
        <v>0</v>
      </c>
      <c r="B2" s="633" t="s">
        <v>906</v>
      </c>
      <c r="C2" s="1957" t="s">
        <v>2035</v>
      </c>
      <c r="D2" s="1958"/>
      <c r="E2" s="634" t="s">
        <v>271</v>
      </c>
    </row>
    <row r="3" spans="1:5" ht="50.1" customHeight="1" x14ac:dyDescent="0.2">
      <c r="A3" s="204">
        <v>1</v>
      </c>
      <c r="B3" s="156">
        <v>700000000</v>
      </c>
      <c r="C3" s="1953" t="s">
        <v>1873</v>
      </c>
      <c r="D3" s="1954"/>
      <c r="E3" s="631"/>
    </row>
    <row r="4" spans="1:5" ht="50.1" customHeight="1" x14ac:dyDescent="0.2">
      <c r="A4" s="204">
        <v>2</v>
      </c>
      <c r="B4" s="156">
        <v>650000000</v>
      </c>
      <c r="C4" s="1955" t="s">
        <v>1872</v>
      </c>
      <c r="D4" s="1956"/>
      <c r="E4" s="619" t="s">
        <v>2036</v>
      </c>
    </row>
    <row r="5" spans="1:5" ht="50.1" customHeight="1" x14ac:dyDescent="0.2">
      <c r="A5" s="204">
        <v>3</v>
      </c>
      <c r="B5" s="156">
        <v>650000000</v>
      </c>
      <c r="C5" s="1955" t="s">
        <v>2022</v>
      </c>
      <c r="D5" s="1956"/>
      <c r="E5" s="619" t="s">
        <v>2036</v>
      </c>
    </row>
    <row r="6" spans="1:5" ht="50.1" customHeight="1" thickBot="1" x14ac:dyDescent="0.25">
      <c r="A6" s="629">
        <v>4</v>
      </c>
      <c r="B6" s="208">
        <v>200000000</v>
      </c>
      <c r="C6" s="1938" t="s">
        <v>1880</v>
      </c>
      <c r="D6" s="1939"/>
      <c r="E6" s="1940"/>
    </row>
    <row r="7" spans="1:5" ht="30" customHeight="1" x14ac:dyDescent="0.2">
      <c r="A7" s="627"/>
      <c r="B7" s="592"/>
      <c r="C7" s="628"/>
      <c r="D7" s="628"/>
    </row>
    <row r="8" spans="1:5" ht="30" customHeight="1" thickBot="1" x14ac:dyDescent="0.25">
      <c r="A8" s="627"/>
      <c r="B8" s="592"/>
      <c r="C8" s="628"/>
      <c r="D8" s="628"/>
    </row>
    <row r="9" spans="1:5" ht="50.1" customHeight="1" thickBot="1" x14ac:dyDescent="0.25">
      <c r="A9" s="1941" t="s">
        <v>1867</v>
      </c>
      <c r="B9" s="1942"/>
      <c r="C9" s="1942"/>
      <c r="D9" s="1942"/>
      <c r="E9" s="1943"/>
    </row>
    <row r="10" spans="1:5" ht="50.1" customHeight="1" thickBot="1" x14ac:dyDescent="0.25">
      <c r="A10" s="640" t="s">
        <v>0</v>
      </c>
      <c r="B10" s="641" t="s">
        <v>906</v>
      </c>
      <c r="C10" s="641" t="s">
        <v>889</v>
      </c>
      <c r="D10" s="641" t="s">
        <v>2034</v>
      </c>
      <c r="E10" s="642" t="s">
        <v>271</v>
      </c>
    </row>
    <row r="11" spans="1:5" ht="39.950000000000003" customHeight="1" x14ac:dyDescent="0.2">
      <c r="A11" s="851">
        <v>1</v>
      </c>
      <c r="B11" s="644">
        <v>20000000</v>
      </c>
      <c r="C11" s="600" t="s">
        <v>1852</v>
      </c>
      <c r="D11" s="636" t="s">
        <v>1868</v>
      </c>
      <c r="E11" s="631"/>
    </row>
    <row r="12" spans="1:5" ht="39.950000000000003" customHeight="1" x14ac:dyDescent="0.2">
      <c r="A12" s="850">
        <v>2</v>
      </c>
      <c r="B12" s="644">
        <v>50000000</v>
      </c>
      <c r="C12" s="570" t="s">
        <v>1804</v>
      </c>
      <c r="D12" s="637" t="s">
        <v>9</v>
      </c>
      <c r="E12" s="630"/>
    </row>
    <row r="13" spans="1:5" ht="39.950000000000003" customHeight="1" x14ac:dyDescent="0.2">
      <c r="A13" s="645">
        <v>3</v>
      </c>
      <c r="B13" s="646">
        <v>5000000</v>
      </c>
      <c r="C13" s="613" t="s">
        <v>1869</v>
      </c>
      <c r="D13" s="498" t="s">
        <v>9</v>
      </c>
      <c r="E13" s="630"/>
    </row>
    <row r="14" spans="1:5" ht="39.950000000000003" customHeight="1" x14ac:dyDescent="0.2">
      <c r="A14" s="645">
        <v>4</v>
      </c>
      <c r="B14" s="646">
        <v>10000000</v>
      </c>
      <c r="C14" s="613" t="s">
        <v>900</v>
      </c>
      <c r="D14" s="498" t="s">
        <v>1870</v>
      </c>
      <c r="E14" s="630"/>
    </row>
    <row r="15" spans="1:5" ht="39.950000000000003" customHeight="1" x14ac:dyDescent="0.2">
      <c r="A15" s="645">
        <v>5</v>
      </c>
      <c r="B15" s="646">
        <v>20000000</v>
      </c>
      <c r="C15" s="613" t="s">
        <v>900</v>
      </c>
      <c r="D15" s="498" t="s">
        <v>1870</v>
      </c>
      <c r="E15" s="630"/>
    </row>
    <row r="16" spans="1:5" ht="39.950000000000003" customHeight="1" x14ac:dyDescent="0.2">
      <c r="A16" s="645">
        <v>6</v>
      </c>
      <c r="B16" s="644">
        <v>1000000</v>
      </c>
      <c r="C16" s="570" t="s">
        <v>329</v>
      </c>
      <c r="D16" s="637" t="s">
        <v>9</v>
      </c>
      <c r="E16" s="630"/>
    </row>
    <row r="17" spans="1:8" ht="39.950000000000003" customHeight="1" x14ac:dyDescent="0.2">
      <c r="A17" s="645">
        <v>7</v>
      </c>
      <c r="B17" s="644">
        <v>10000000</v>
      </c>
      <c r="C17" s="570" t="s">
        <v>755</v>
      </c>
      <c r="D17" s="637" t="s">
        <v>9</v>
      </c>
      <c r="E17" s="630"/>
    </row>
    <row r="18" spans="1:8" ht="39.950000000000003" customHeight="1" x14ac:dyDescent="0.2">
      <c r="A18" s="645">
        <v>8</v>
      </c>
      <c r="B18" s="644">
        <v>5000000</v>
      </c>
      <c r="C18" s="570" t="s">
        <v>755</v>
      </c>
      <c r="D18" s="637" t="s">
        <v>9</v>
      </c>
      <c r="E18" s="630"/>
    </row>
    <row r="19" spans="1:8" ht="39.950000000000003" customHeight="1" x14ac:dyDescent="0.2">
      <c r="A19" s="645">
        <v>9</v>
      </c>
      <c r="B19" s="644">
        <v>5000000</v>
      </c>
      <c r="C19" s="614" t="s">
        <v>933</v>
      </c>
      <c r="D19" s="643" t="s">
        <v>1871</v>
      </c>
      <c r="E19" s="630"/>
    </row>
    <row r="20" spans="1:8" ht="39.950000000000003" customHeight="1" x14ac:dyDescent="0.2">
      <c r="A20" s="645">
        <v>10</v>
      </c>
      <c r="B20" s="644">
        <v>7200000</v>
      </c>
      <c r="C20" s="570" t="s">
        <v>1315</v>
      </c>
      <c r="D20" s="637" t="s">
        <v>1874</v>
      </c>
      <c r="E20" s="630"/>
    </row>
    <row r="21" spans="1:8" ht="39.950000000000003" customHeight="1" x14ac:dyDescent="0.2">
      <c r="A21" s="485">
        <v>11</v>
      </c>
      <c r="B21" s="15">
        <v>42000000</v>
      </c>
      <c r="C21" s="614" t="s">
        <v>520</v>
      </c>
      <c r="D21" s="638" t="s">
        <v>9</v>
      </c>
      <c r="E21" s="630"/>
    </row>
    <row r="22" spans="1:8" ht="39.950000000000003" customHeight="1" x14ac:dyDescent="0.2">
      <c r="A22" s="849"/>
      <c r="B22" s="15">
        <v>30000000</v>
      </c>
      <c r="C22" s="614" t="s">
        <v>388</v>
      </c>
      <c r="D22" s="15" t="s">
        <v>9</v>
      </c>
      <c r="E22" s="630"/>
    </row>
    <row r="23" spans="1:8" ht="39.950000000000003" customHeight="1" x14ac:dyDescent="0.2">
      <c r="A23" s="849"/>
      <c r="B23" s="15">
        <v>1000000</v>
      </c>
      <c r="C23" s="614" t="s">
        <v>2005</v>
      </c>
      <c r="D23" s="15" t="s">
        <v>2057</v>
      </c>
      <c r="E23" s="630"/>
      <c r="H23" s="445"/>
    </row>
    <row r="24" spans="1:8" ht="39.950000000000003" customHeight="1" x14ac:dyDescent="0.2">
      <c r="A24" s="849"/>
      <c r="B24" s="15">
        <v>14000000</v>
      </c>
      <c r="C24" s="614" t="s">
        <v>2005</v>
      </c>
      <c r="D24" s="15" t="s">
        <v>2057</v>
      </c>
      <c r="E24" s="630"/>
      <c r="H24" s="445"/>
    </row>
    <row r="25" spans="1:8" ht="39.950000000000003" customHeight="1" x14ac:dyDescent="0.2">
      <c r="A25" s="849"/>
      <c r="B25" s="15">
        <v>20000000</v>
      </c>
      <c r="C25" s="614" t="s">
        <v>2005</v>
      </c>
      <c r="D25" s="15" t="s">
        <v>2057</v>
      </c>
      <c r="E25" s="630"/>
    </row>
    <row r="26" spans="1:8" ht="39.950000000000003" customHeight="1" x14ac:dyDescent="0.2">
      <c r="A26" s="849"/>
      <c r="B26" s="15">
        <v>37400000</v>
      </c>
      <c r="C26" s="614" t="s">
        <v>2124</v>
      </c>
      <c r="D26" s="15" t="s">
        <v>2057</v>
      </c>
      <c r="E26" s="630"/>
    </row>
    <row r="27" spans="1:8" ht="39.950000000000003" customHeight="1" x14ac:dyDescent="0.2">
      <c r="A27" s="849"/>
      <c r="B27" s="827">
        <v>2000000</v>
      </c>
      <c r="C27" s="614"/>
      <c r="D27" s="827"/>
      <c r="E27" s="630"/>
    </row>
    <row r="28" spans="1:8" ht="39.950000000000003" customHeight="1" x14ac:dyDescent="0.2">
      <c r="A28" s="849"/>
      <c r="B28" s="827">
        <v>17300000</v>
      </c>
      <c r="C28" s="614" t="s">
        <v>2431</v>
      </c>
      <c r="D28" s="827" t="s">
        <v>2061</v>
      </c>
      <c r="E28" s="630"/>
    </row>
    <row r="29" spans="1:8" ht="39.950000000000003" customHeight="1" x14ac:dyDescent="0.2">
      <c r="A29" s="849"/>
      <c r="B29" s="1138"/>
      <c r="C29" s="1143"/>
      <c r="D29" s="1138"/>
      <c r="E29" s="630"/>
    </row>
    <row r="30" spans="1:8" ht="39.950000000000003" customHeight="1" x14ac:dyDescent="0.2">
      <c r="A30" s="623" t="s">
        <v>903</v>
      </c>
      <c r="B30" s="1947">
        <f>SUM(B11:B29)</f>
        <v>296900000</v>
      </c>
      <c r="C30" s="1948"/>
      <c r="D30" s="1949"/>
      <c r="E30" s="635" t="s">
        <v>2030</v>
      </c>
    </row>
    <row r="31" spans="1:8" ht="39.950000000000003" customHeight="1" thickBot="1" x14ac:dyDescent="0.25">
      <c r="A31" s="198" t="s">
        <v>2031</v>
      </c>
      <c r="B31" s="1944">
        <f>B30-B13-B14-B15</f>
        <v>261900000</v>
      </c>
      <c r="C31" s="1945"/>
      <c r="D31" s="1946"/>
      <c r="E31" s="639"/>
    </row>
    <row r="32" spans="1:8" ht="30" customHeight="1" x14ac:dyDescent="0.2"/>
    <row r="33" spans="1:5" ht="30" customHeight="1" thickBot="1" x14ac:dyDescent="0.25">
      <c r="A33" s="193"/>
      <c r="B33" s="196"/>
      <c r="C33" s="196"/>
      <c r="D33" s="618"/>
      <c r="E33" s="618"/>
    </row>
    <row r="34" spans="1:5" ht="50.1" customHeight="1" x14ac:dyDescent="0.2">
      <c r="A34" s="1950" t="s">
        <v>2024</v>
      </c>
      <c r="B34" s="1951"/>
      <c r="C34" s="1951"/>
      <c r="D34" s="1951"/>
      <c r="E34" s="1952"/>
    </row>
    <row r="35" spans="1:5" ht="50.1" customHeight="1" x14ac:dyDescent="0.2">
      <c r="A35" s="624">
        <v>1</v>
      </c>
      <c r="B35" s="593">
        <v>700000000</v>
      </c>
      <c r="C35" s="616">
        <v>6.0999999999999999E-2</v>
      </c>
      <c r="D35" s="604">
        <v>42500000</v>
      </c>
      <c r="E35" s="619" t="s">
        <v>2025</v>
      </c>
    </row>
    <row r="36" spans="1:5" ht="50.1" customHeight="1" x14ac:dyDescent="0.2">
      <c r="A36" s="626">
        <v>2</v>
      </c>
      <c r="B36" s="602">
        <v>700000000</v>
      </c>
      <c r="C36" s="616">
        <v>6.0999999999999999E-2</v>
      </c>
      <c r="D36" s="602">
        <v>42500000</v>
      </c>
      <c r="E36" s="619" t="s">
        <v>2023</v>
      </c>
    </row>
    <row r="37" spans="1:5" ht="50.1" customHeight="1" x14ac:dyDescent="0.2">
      <c r="A37" s="626">
        <v>3</v>
      </c>
      <c r="B37" s="602">
        <v>650000000</v>
      </c>
      <c r="C37" s="616">
        <v>0.08</v>
      </c>
      <c r="D37" s="602">
        <v>17330000</v>
      </c>
      <c r="E37" s="619" t="s">
        <v>2026</v>
      </c>
    </row>
    <row r="38" spans="1:5" ht="50.1" customHeight="1" x14ac:dyDescent="0.2">
      <c r="A38" s="625">
        <v>4</v>
      </c>
      <c r="B38" s="489">
        <v>2000000000</v>
      </c>
      <c r="C38" s="617">
        <v>0.08</v>
      </c>
      <c r="D38" s="489">
        <f>B38*C38</f>
        <v>160000000</v>
      </c>
      <c r="E38" s="620" t="s">
        <v>2027</v>
      </c>
    </row>
    <row r="39" spans="1:5" ht="50.1" customHeight="1" x14ac:dyDescent="0.2">
      <c r="A39" s="487" t="s">
        <v>2032</v>
      </c>
      <c r="B39" s="1936">
        <f>D35+D36+D37+D38</f>
        <v>262330000</v>
      </c>
      <c r="C39" s="1936"/>
      <c r="D39" s="1936"/>
      <c r="E39" s="1937"/>
    </row>
    <row r="40" spans="1:5" ht="50.1" customHeight="1" x14ac:dyDescent="0.2">
      <c r="A40" s="621" t="s">
        <v>2028</v>
      </c>
      <c r="B40" s="1936">
        <f>B31</f>
        <v>261900000</v>
      </c>
      <c r="C40" s="1936"/>
      <c r="D40" s="1936"/>
      <c r="E40" s="1937"/>
    </row>
    <row r="41" spans="1:5" ht="50.1" customHeight="1" thickBot="1" x14ac:dyDescent="0.25">
      <c r="A41" s="622" t="s">
        <v>2029</v>
      </c>
      <c r="B41" s="1934">
        <f>B39-B40</f>
        <v>430000</v>
      </c>
      <c r="C41" s="1934"/>
      <c r="D41" s="1934"/>
      <c r="E41" s="1935"/>
    </row>
    <row r="42" spans="1:5" ht="50.1" customHeight="1" x14ac:dyDescent="0.2">
      <c r="A42" s="615"/>
      <c r="B42" s="615"/>
      <c r="C42" s="615"/>
      <c r="D42" s="615"/>
      <c r="E42" s="615"/>
    </row>
    <row r="43" spans="1:5" ht="15" thickBot="1" x14ac:dyDescent="0.25"/>
    <row r="44" spans="1:5" ht="50.1" customHeight="1" thickBot="1" x14ac:dyDescent="0.25">
      <c r="A44" s="1941" t="s">
        <v>2745</v>
      </c>
      <c r="B44" s="1942"/>
      <c r="C44" s="1942"/>
      <c r="D44" s="1942"/>
      <c r="E44" s="1943"/>
    </row>
    <row r="45" spans="1:5" ht="50.1" customHeight="1" thickBot="1" x14ac:dyDescent="0.25">
      <c r="A45" s="640" t="s">
        <v>0</v>
      </c>
      <c r="B45" s="641" t="s">
        <v>906</v>
      </c>
      <c r="C45" s="641" t="s">
        <v>889</v>
      </c>
      <c r="D45" s="641" t="s">
        <v>2034</v>
      </c>
      <c r="E45" s="642" t="s">
        <v>271</v>
      </c>
    </row>
    <row r="46" spans="1:5" ht="39.950000000000003" customHeight="1" x14ac:dyDescent="0.2">
      <c r="A46" s="1149">
        <v>1</v>
      </c>
      <c r="B46" s="1138">
        <v>40000000</v>
      </c>
      <c r="C46" s="1143" t="s">
        <v>3041</v>
      </c>
      <c r="D46" s="1339" t="s">
        <v>550</v>
      </c>
      <c r="E46" s="631"/>
    </row>
    <row r="47" spans="1:5" ht="39.950000000000003" customHeight="1" x14ac:dyDescent="0.2">
      <c r="A47" s="1150">
        <v>2</v>
      </c>
      <c r="B47" s="1137">
        <v>90400000</v>
      </c>
      <c r="C47" s="1959" t="s">
        <v>3163</v>
      </c>
      <c r="D47" s="1960"/>
      <c r="E47" s="630"/>
    </row>
    <row r="48" spans="1:5" ht="39.950000000000003" customHeight="1" x14ac:dyDescent="0.2">
      <c r="A48" s="645">
        <v>3</v>
      </c>
      <c r="B48" s="1137">
        <v>29600000</v>
      </c>
      <c r="C48" s="1134" t="s">
        <v>3146</v>
      </c>
      <c r="D48" s="1136" t="s">
        <v>3175</v>
      </c>
      <c r="E48" s="635"/>
    </row>
    <row r="49" spans="1:8" ht="39.950000000000003" customHeight="1" x14ac:dyDescent="0.2">
      <c r="A49" s="645">
        <v>4</v>
      </c>
      <c r="B49" s="1137"/>
      <c r="C49" s="1134"/>
      <c r="D49" s="1136"/>
      <c r="E49" s="630"/>
    </row>
    <row r="50" spans="1:8" ht="39.950000000000003" customHeight="1" x14ac:dyDescent="0.2">
      <c r="A50" s="645">
        <v>5</v>
      </c>
      <c r="B50" s="1137"/>
      <c r="C50" s="1134"/>
      <c r="D50" s="1136"/>
      <c r="E50" s="630"/>
    </row>
    <row r="51" spans="1:8" ht="39.950000000000003" customHeight="1" x14ac:dyDescent="0.2">
      <c r="A51" s="645">
        <v>6</v>
      </c>
      <c r="B51" s="1137"/>
      <c r="C51" s="1134"/>
      <c r="D51" s="1136"/>
      <c r="E51" s="630"/>
    </row>
    <row r="52" spans="1:8" ht="39.950000000000003" customHeight="1" x14ac:dyDescent="0.2">
      <c r="A52" s="645">
        <v>7</v>
      </c>
      <c r="B52" s="1137"/>
      <c r="C52" s="1134"/>
      <c r="D52" s="1136"/>
      <c r="E52" s="630"/>
    </row>
    <row r="53" spans="1:8" ht="39.950000000000003" customHeight="1" x14ac:dyDescent="0.2">
      <c r="A53" s="645">
        <v>8</v>
      </c>
      <c r="B53" s="1137"/>
      <c r="C53" s="1134"/>
      <c r="D53" s="1136"/>
      <c r="E53" s="630"/>
    </row>
    <row r="54" spans="1:8" ht="39.950000000000003" customHeight="1" x14ac:dyDescent="0.2">
      <c r="A54" s="645">
        <v>9</v>
      </c>
      <c r="B54" s="1137"/>
      <c r="C54" s="1143"/>
      <c r="D54" s="1140"/>
      <c r="E54" s="630"/>
    </row>
    <row r="55" spans="1:8" ht="39.950000000000003" customHeight="1" x14ac:dyDescent="0.2">
      <c r="A55" s="645">
        <v>10</v>
      </c>
      <c r="B55" s="1137"/>
      <c r="C55" s="1134"/>
      <c r="D55" s="1136"/>
      <c r="E55" s="630"/>
    </row>
    <row r="56" spans="1:8" ht="39.950000000000003" customHeight="1" x14ac:dyDescent="0.2">
      <c r="A56" s="485">
        <v>11</v>
      </c>
      <c r="B56" s="1138"/>
      <c r="C56" s="1143"/>
      <c r="D56" s="1128"/>
      <c r="E56" s="630"/>
    </row>
    <row r="57" spans="1:8" ht="39.950000000000003" customHeight="1" x14ac:dyDescent="0.2">
      <c r="A57" s="1148"/>
      <c r="B57" s="1138"/>
      <c r="C57" s="1143"/>
      <c r="D57" s="1138"/>
      <c r="E57" s="630"/>
    </row>
    <row r="58" spans="1:8" ht="39.950000000000003" customHeight="1" x14ac:dyDescent="0.2">
      <c r="A58" s="1148"/>
      <c r="B58" s="1138"/>
      <c r="C58" s="1143"/>
      <c r="D58" s="1138"/>
      <c r="E58" s="630"/>
      <c r="H58" s="445"/>
    </row>
    <row r="59" spans="1:8" ht="39.950000000000003" customHeight="1" x14ac:dyDescent="0.2">
      <c r="A59" s="1148"/>
      <c r="B59" s="1138"/>
      <c r="C59" s="1143"/>
      <c r="D59" s="1138"/>
      <c r="E59" s="630"/>
      <c r="H59" s="445"/>
    </row>
    <row r="60" spans="1:8" ht="39.950000000000003" customHeight="1" x14ac:dyDescent="0.2">
      <c r="A60" s="1148"/>
      <c r="B60" s="1138"/>
      <c r="C60" s="1143"/>
      <c r="D60" s="1138"/>
      <c r="E60" s="630"/>
    </row>
    <row r="61" spans="1:8" ht="39.950000000000003" customHeight="1" x14ac:dyDescent="0.2">
      <c r="A61" s="1148"/>
      <c r="B61" s="1138"/>
      <c r="C61" s="1143"/>
      <c r="D61" s="1138"/>
      <c r="E61" s="630"/>
    </row>
    <row r="62" spans="1:8" ht="39.950000000000003" customHeight="1" x14ac:dyDescent="0.2">
      <c r="A62" s="1148"/>
      <c r="B62" s="1138"/>
      <c r="C62" s="1143"/>
      <c r="D62" s="1138"/>
      <c r="E62" s="630"/>
    </row>
    <row r="63" spans="1:8" ht="39.950000000000003" customHeight="1" x14ac:dyDescent="0.2">
      <c r="A63" s="1148"/>
      <c r="B63" s="1138"/>
      <c r="C63" s="1143"/>
      <c r="D63" s="1138"/>
      <c r="E63" s="630"/>
    </row>
    <row r="64" spans="1:8" ht="39.950000000000003" customHeight="1" x14ac:dyDescent="0.2">
      <c r="A64" s="1148"/>
      <c r="B64" s="1138"/>
      <c r="C64" s="1143"/>
      <c r="D64" s="1138"/>
      <c r="E64" s="630"/>
    </row>
    <row r="65" spans="1:5" ht="39.950000000000003" customHeight="1" thickBot="1" x14ac:dyDescent="0.25">
      <c r="A65" s="198" t="s">
        <v>2031</v>
      </c>
      <c r="B65" s="1944">
        <f>SUM(B46:B64)</f>
        <v>160000000</v>
      </c>
      <c r="C65" s="1945"/>
      <c r="D65" s="1946"/>
      <c r="E65" s="639"/>
    </row>
    <row r="68" spans="1:5" ht="15" thickBot="1" x14ac:dyDescent="0.25"/>
    <row r="69" spans="1:5" ht="50.1" customHeight="1" x14ac:dyDescent="0.2">
      <c r="A69" s="1950" t="s">
        <v>2024</v>
      </c>
      <c r="B69" s="1951"/>
      <c r="C69" s="1951"/>
      <c r="D69" s="1951"/>
      <c r="E69" s="1952"/>
    </row>
    <row r="70" spans="1:5" ht="50.1" customHeight="1" x14ac:dyDescent="0.2">
      <c r="A70" s="624">
        <v>1</v>
      </c>
      <c r="B70" s="1138">
        <v>2000000000</v>
      </c>
      <c r="C70" s="616">
        <v>0.08</v>
      </c>
      <c r="D70" s="1138">
        <f>B70*C70</f>
        <v>160000000</v>
      </c>
      <c r="E70" s="620" t="s">
        <v>2746</v>
      </c>
    </row>
    <row r="71" spans="1:5" ht="50.1" customHeight="1" x14ac:dyDescent="0.2">
      <c r="A71" s="626">
        <v>2</v>
      </c>
      <c r="B71" s="1137"/>
      <c r="C71" s="1151"/>
      <c r="D71" s="1137"/>
      <c r="E71" s="619"/>
    </row>
    <row r="72" spans="1:5" ht="50.1" customHeight="1" x14ac:dyDescent="0.2">
      <c r="A72" s="626">
        <v>3</v>
      </c>
      <c r="B72" s="1137"/>
      <c r="C72" s="616"/>
      <c r="D72" s="1137"/>
      <c r="E72" s="619"/>
    </row>
    <row r="73" spans="1:5" ht="50.1" customHeight="1" x14ac:dyDescent="0.2">
      <c r="A73" s="625">
        <v>4</v>
      </c>
      <c r="B73" s="1141"/>
      <c r="C73" s="617"/>
      <c r="D73" s="1141"/>
      <c r="E73" s="620"/>
    </row>
    <row r="74" spans="1:5" ht="50.1" customHeight="1" x14ac:dyDescent="0.2">
      <c r="A74" s="487" t="s">
        <v>2747</v>
      </c>
      <c r="B74" s="1936">
        <f>D70</f>
        <v>160000000</v>
      </c>
      <c r="C74" s="1936"/>
      <c r="D74" s="1936"/>
      <c r="E74" s="1937"/>
    </row>
    <row r="75" spans="1:5" ht="50.1" customHeight="1" x14ac:dyDescent="0.2">
      <c r="A75" s="621" t="s">
        <v>2028</v>
      </c>
      <c r="B75" s="1936">
        <f>B65</f>
        <v>160000000</v>
      </c>
      <c r="C75" s="1936"/>
      <c r="D75" s="1936"/>
      <c r="E75" s="1937"/>
    </row>
    <row r="76" spans="1:5" ht="50.1" customHeight="1" thickBot="1" x14ac:dyDescent="0.25">
      <c r="A76" s="622" t="s">
        <v>2029</v>
      </c>
      <c r="B76" s="1934">
        <f>B74-B75</f>
        <v>0</v>
      </c>
      <c r="C76" s="1934"/>
      <c r="D76" s="1934"/>
      <c r="E76" s="1935"/>
    </row>
    <row r="80" spans="1:5" ht="15" thickBot="1" x14ac:dyDescent="0.25"/>
    <row r="81" spans="1:8" ht="50.1" customHeight="1" thickBot="1" x14ac:dyDescent="0.25">
      <c r="A81" s="1941" t="s">
        <v>3886</v>
      </c>
      <c r="B81" s="1942"/>
      <c r="C81" s="1942"/>
      <c r="D81" s="1942"/>
      <c r="E81" s="1943"/>
    </row>
    <row r="82" spans="1:8" ht="50.1" customHeight="1" thickBot="1" x14ac:dyDescent="0.25">
      <c r="A82" s="640" t="s">
        <v>0</v>
      </c>
      <c r="B82" s="641" t="s">
        <v>906</v>
      </c>
      <c r="C82" s="641" t="s">
        <v>889</v>
      </c>
      <c r="D82" s="641" t="s">
        <v>2034</v>
      </c>
      <c r="E82" s="642" t="s">
        <v>271</v>
      </c>
    </row>
    <row r="83" spans="1:8" ht="39.950000000000003" customHeight="1" x14ac:dyDescent="0.2">
      <c r="A83" s="1149">
        <v>1</v>
      </c>
      <c r="B83" s="1899"/>
      <c r="C83" s="1905"/>
      <c r="D83" s="1905"/>
      <c r="E83" s="631"/>
    </row>
    <row r="84" spans="1:8" ht="39.950000000000003" customHeight="1" x14ac:dyDescent="0.2">
      <c r="A84" s="1150">
        <v>2</v>
      </c>
      <c r="B84" s="1898"/>
      <c r="C84" s="1460"/>
      <c r="D84" s="1905"/>
      <c r="E84" s="630"/>
    </row>
    <row r="85" spans="1:8" ht="39.950000000000003" customHeight="1" x14ac:dyDescent="0.2">
      <c r="A85" s="645">
        <v>3</v>
      </c>
      <c r="B85" s="1898"/>
      <c r="C85" s="1895"/>
      <c r="D85" s="1897"/>
      <c r="E85" s="635"/>
    </row>
    <row r="86" spans="1:8" ht="39.950000000000003" customHeight="1" x14ac:dyDescent="0.2">
      <c r="A86" s="645">
        <v>4</v>
      </c>
      <c r="B86" s="1898"/>
      <c r="C86" s="1895"/>
      <c r="D86" s="1897"/>
      <c r="E86" s="630"/>
    </row>
    <row r="87" spans="1:8" ht="39.950000000000003" customHeight="1" x14ac:dyDescent="0.2">
      <c r="A87" s="645">
        <v>5</v>
      </c>
      <c r="B87" s="1898"/>
      <c r="C87" s="1895"/>
      <c r="D87" s="1897"/>
      <c r="E87" s="630"/>
    </row>
    <row r="88" spans="1:8" ht="39.950000000000003" customHeight="1" x14ac:dyDescent="0.2">
      <c r="A88" s="645">
        <v>6</v>
      </c>
      <c r="B88" s="1898"/>
      <c r="C88" s="1895"/>
      <c r="D88" s="1897"/>
      <c r="E88" s="630"/>
    </row>
    <row r="89" spans="1:8" ht="39.950000000000003" customHeight="1" x14ac:dyDescent="0.2">
      <c r="A89" s="645">
        <v>7</v>
      </c>
      <c r="B89" s="1899">
        <v>23000000</v>
      </c>
      <c r="C89" s="1905" t="s">
        <v>3827</v>
      </c>
      <c r="D89" s="1905" t="s">
        <v>2061</v>
      </c>
      <c r="E89" s="630"/>
    </row>
    <row r="90" spans="1:8" ht="39.950000000000003" customHeight="1" x14ac:dyDescent="0.2">
      <c r="A90" s="645">
        <v>8</v>
      </c>
      <c r="B90" s="1898">
        <v>10000000</v>
      </c>
      <c r="C90" s="1905" t="s">
        <v>3827</v>
      </c>
      <c r="D90" s="1905" t="s">
        <v>2061</v>
      </c>
      <c r="E90" s="630"/>
    </row>
    <row r="91" spans="1:8" ht="39.950000000000003" customHeight="1" x14ac:dyDescent="0.2">
      <c r="A91" s="645">
        <v>9</v>
      </c>
      <c r="B91" s="1898">
        <v>17000000</v>
      </c>
      <c r="C91" s="1895" t="s">
        <v>3827</v>
      </c>
      <c r="D91" s="1897" t="s">
        <v>550</v>
      </c>
      <c r="E91" s="630"/>
    </row>
    <row r="92" spans="1:8" ht="39.950000000000003" customHeight="1" x14ac:dyDescent="0.2">
      <c r="A92" s="645">
        <v>10</v>
      </c>
      <c r="B92" s="1898">
        <v>10000000</v>
      </c>
      <c r="C92" s="1895" t="s">
        <v>3883</v>
      </c>
      <c r="D92" s="1897" t="s">
        <v>550</v>
      </c>
      <c r="E92" s="630"/>
    </row>
    <row r="93" spans="1:8" ht="39.950000000000003" customHeight="1" x14ac:dyDescent="0.2">
      <c r="A93" s="485">
        <v>11</v>
      </c>
      <c r="B93" s="1899">
        <v>12000000</v>
      </c>
      <c r="C93" s="1905" t="s">
        <v>3883</v>
      </c>
      <c r="D93" s="1887" t="s">
        <v>2061</v>
      </c>
      <c r="E93" s="630"/>
    </row>
    <row r="94" spans="1:8" ht="39.950000000000003" customHeight="1" x14ac:dyDescent="0.2">
      <c r="A94" s="1148"/>
      <c r="B94" s="1899"/>
      <c r="C94" s="1905"/>
      <c r="D94" s="1899"/>
      <c r="E94" s="630"/>
    </row>
    <row r="95" spans="1:8" ht="39.950000000000003" customHeight="1" x14ac:dyDescent="0.2">
      <c r="A95" s="1148"/>
      <c r="B95" s="1899"/>
      <c r="C95" s="1905"/>
      <c r="D95" s="1899"/>
      <c r="E95" s="630"/>
      <c r="H95" s="445"/>
    </row>
    <row r="96" spans="1:8" ht="39.950000000000003" customHeight="1" x14ac:dyDescent="0.2">
      <c r="A96" s="1148"/>
      <c r="B96" s="1899"/>
      <c r="C96" s="1905"/>
      <c r="D96" s="1899"/>
      <c r="E96" s="630"/>
      <c r="H96" s="445"/>
    </row>
    <row r="97" spans="1:5" ht="39.950000000000003" customHeight="1" x14ac:dyDescent="0.2">
      <c r="A97" s="1148"/>
      <c r="B97" s="1899"/>
      <c r="C97" s="1905"/>
      <c r="D97" s="1899"/>
      <c r="E97" s="630"/>
    </row>
    <row r="98" spans="1:5" ht="39.950000000000003" customHeight="1" x14ac:dyDescent="0.2">
      <c r="A98" s="1148"/>
      <c r="B98" s="1899"/>
      <c r="C98" s="1905"/>
      <c r="D98" s="1899"/>
      <c r="E98" s="630"/>
    </row>
    <row r="99" spans="1:5" ht="39.950000000000003" customHeight="1" x14ac:dyDescent="0.2">
      <c r="A99" s="1148"/>
      <c r="B99" s="1899"/>
      <c r="C99" s="1905"/>
      <c r="D99" s="1899"/>
      <c r="E99" s="630"/>
    </row>
    <row r="100" spans="1:5" ht="39.950000000000003" customHeight="1" x14ac:dyDescent="0.2">
      <c r="A100" s="1148"/>
      <c r="B100" s="1899"/>
      <c r="C100" s="1905"/>
      <c r="D100" s="1899"/>
      <c r="E100" s="630"/>
    </row>
    <row r="101" spans="1:5" ht="39.950000000000003" customHeight="1" x14ac:dyDescent="0.2">
      <c r="A101" s="1148"/>
      <c r="B101" s="1899"/>
      <c r="C101" s="1905"/>
      <c r="D101" s="1899"/>
      <c r="E101" s="630"/>
    </row>
    <row r="102" spans="1:5" ht="39.950000000000003" customHeight="1" thickBot="1" x14ac:dyDescent="0.25">
      <c r="A102" s="198" t="s">
        <v>2031</v>
      </c>
      <c r="B102" s="1944">
        <f>SUM(B83:B101)</f>
        <v>72000000</v>
      </c>
      <c r="C102" s="1945"/>
      <c r="D102" s="1946"/>
      <c r="E102" s="639"/>
    </row>
    <row r="105" spans="1:5" ht="15" thickBot="1" x14ac:dyDescent="0.25"/>
    <row r="106" spans="1:5" ht="50.1" customHeight="1" x14ac:dyDescent="0.2">
      <c r="A106" s="1950" t="s">
        <v>2024</v>
      </c>
      <c r="B106" s="1951"/>
      <c r="C106" s="1951"/>
      <c r="D106" s="1951"/>
      <c r="E106" s="1952"/>
    </row>
    <row r="107" spans="1:5" ht="50.1" customHeight="1" x14ac:dyDescent="0.2">
      <c r="A107" s="624">
        <v>1</v>
      </c>
      <c r="B107" s="1899">
        <v>2000000000</v>
      </c>
      <c r="C107" s="616">
        <v>0.08</v>
      </c>
      <c r="D107" s="1899">
        <f>B107*C107</f>
        <v>160000000</v>
      </c>
      <c r="E107" s="620" t="s">
        <v>2746</v>
      </c>
    </row>
    <row r="108" spans="1:5" ht="50.1" customHeight="1" x14ac:dyDescent="0.2">
      <c r="A108" s="626">
        <v>2</v>
      </c>
      <c r="B108" s="1898"/>
      <c r="C108" s="1151"/>
      <c r="D108" s="1898"/>
      <c r="E108" s="619"/>
    </row>
    <row r="109" spans="1:5" ht="50.1" customHeight="1" x14ac:dyDescent="0.2">
      <c r="A109" s="626">
        <v>3</v>
      </c>
      <c r="B109" s="1898"/>
      <c r="C109" s="616"/>
      <c r="D109" s="1898"/>
      <c r="E109" s="619"/>
    </row>
    <row r="110" spans="1:5" ht="50.1" customHeight="1" x14ac:dyDescent="0.2">
      <c r="A110" s="625">
        <v>4</v>
      </c>
      <c r="B110" s="1902"/>
      <c r="C110" s="617"/>
      <c r="D110" s="1902"/>
      <c r="E110" s="620"/>
    </row>
    <row r="111" spans="1:5" ht="50.1" customHeight="1" x14ac:dyDescent="0.2">
      <c r="A111" s="487" t="s">
        <v>3887</v>
      </c>
      <c r="B111" s="1936">
        <f>D107</f>
        <v>160000000</v>
      </c>
      <c r="C111" s="1936"/>
      <c r="D111" s="1936"/>
      <c r="E111" s="1937"/>
    </row>
    <row r="112" spans="1:5" ht="50.1" customHeight="1" x14ac:dyDescent="0.2">
      <c r="A112" s="621" t="s">
        <v>2028</v>
      </c>
      <c r="B112" s="1936">
        <f>B102</f>
        <v>72000000</v>
      </c>
      <c r="C112" s="1936"/>
      <c r="D112" s="1936"/>
      <c r="E112" s="1937"/>
    </row>
    <row r="113" spans="1:5" ht="50.1" customHeight="1" thickBot="1" x14ac:dyDescent="0.25">
      <c r="A113" s="622" t="s">
        <v>3888</v>
      </c>
      <c r="B113" s="1934">
        <f>B111-B112</f>
        <v>88000000</v>
      </c>
      <c r="C113" s="1934"/>
      <c r="D113" s="1934"/>
      <c r="E113" s="1935"/>
    </row>
  </sheetData>
  <mergeCells count="26">
    <mergeCell ref="B112:E112"/>
    <mergeCell ref="B113:E113"/>
    <mergeCell ref="A81:E81"/>
    <mergeCell ref="B102:D102"/>
    <mergeCell ref="A106:E106"/>
    <mergeCell ref="B111:E111"/>
    <mergeCell ref="B75:E75"/>
    <mergeCell ref="B76:E76"/>
    <mergeCell ref="A44:E44"/>
    <mergeCell ref="B65:D65"/>
    <mergeCell ref="A69:E69"/>
    <mergeCell ref="B74:E74"/>
    <mergeCell ref="C47:D47"/>
    <mergeCell ref="C3:D3"/>
    <mergeCell ref="C4:D4"/>
    <mergeCell ref="C5:D5"/>
    <mergeCell ref="A1:E1"/>
    <mergeCell ref="C2:D2"/>
    <mergeCell ref="B41:E41"/>
    <mergeCell ref="B39:E39"/>
    <mergeCell ref="B40:E40"/>
    <mergeCell ref="C6:E6"/>
    <mergeCell ref="A9:E9"/>
    <mergeCell ref="B31:D31"/>
    <mergeCell ref="B30:D30"/>
    <mergeCell ref="A34:E3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rightToLeft="1" workbookViewId="0">
      <selection activeCell="B8" sqref="B8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</cols>
  <sheetData>
    <row r="1" spans="1:4" ht="50.1" customHeight="1" thickBot="1" x14ac:dyDescent="0.25">
      <c r="B1" s="1929" t="s">
        <v>1170</v>
      </c>
      <c r="C1" s="1930"/>
      <c r="D1" s="1931"/>
    </row>
    <row r="2" spans="1:4" ht="50.1" customHeight="1" x14ac:dyDescent="0.2">
      <c r="A2" s="10" t="s">
        <v>0</v>
      </c>
      <c r="B2" s="154" t="s">
        <v>906</v>
      </c>
      <c r="C2" s="8" t="s">
        <v>889</v>
      </c>
      <c r="D2" s="155" t="s">
        <v>890</v>
      </c>
    </row>
    <row r="3" spans="1:4" ht="30" customHeight="1" x14ac:dyDescent="0.2">
      <c r="A3" s="231"/>
      <c r="B3" s="156">
        <v>160000000</v>
      </c>
      <c r="C3" s="260" t="s">
        <v>1234</v>
      </c>
      <c r="D3" s="260" t="s">
        <v>1235</v>
      </c>
    </row>
    <row r="4" spans="1:4" ht="30" customHeight="1" x14ac:dyDescent="0.2">
      <c r="A4" s="231">
        <v>1</v>
      </c>
      <c r="B4" s="156">
        <v>120000000</v>
      </c>
      <c r="C4" s="236" t="s">
        <v>1132</v>
      </c>
      <c r="D4" s="158" t="s">
        <v>899</v>
      </c>
    </row>
    <row r="5" spans="1:4" ht="30" customHeight="1" x14ac:dyDescent="0.2">
      <c r="A5" s="153">
        <v>2</v>
      </c>
      <c r="B5" s="156">
        <v>200000000</v>
      </c>
      <c r="C5" s="239" t="s">
        <v>1013</v>
      </c>
      <c r="D5" s="267">
        <v>223334554009</v>
      </c>
    </row>
    <row r="6" spans="1:4" ht="30" customHeight="1" x14ac:dyDescent="0.2">
      <c r="A6" s="231">
        <v>3</v>
      </c>
      <c r="B6" s="156">
        <v>20000000</v>
      </c>
      <c r="C6" s="236" t="s">
        <v>1283</v>
      </c>
      <c r="D6" s="158"/>
    </row>
    <row r="7" spans="1:4" ht="30" customHeight="1" x14ac:dyDescent="0.2">
      <c r="A7" s="153">
        <v>4</v>
      </c>
      <c r="B7" s="156"/>
      <c r="C7" s="236"/>
      <c r="D7" s="158"/>
    </row>
    <row r="8" spans="1:4" ht="30" customHeight="1" x14ac:dyDescent="0.2">
      <c r="A8" s="231">
        <v>5</v>
      </c>
      <c r="B8" s="156"/>
      <c r="C8" s="236"/>
      <c r="D8" s="158"/>
    </row>
    <row r="9" spans="1:4" ht="30" customHeight="1" x14ac:dyDescent="0.2">
      <c r="A9" s="153">
        <v>6</v>
      </c>
      <c r="B9" s="156"/>
      <c r="C9" s="236"/>
      <c r="D9" s="158"/>
    </row>
    <row r="10" spans="1:4" ht="30" customHeight="1" x14ac:dyDescent="0.2">
      <c r="A10" s="231">
        <v>7</v>
      </c>
      <c r="B10" s="156"/>
      <c r="C10" s="236"/>
      <c r="D10" s="158"/>
    </row>
    <row r="11" spans="1:4" ht="30" customHeight="1" x14ac:dyDescent="0.2">
      <c r="A11" s="153">
        <v>8</v>
      </c>
      <c r="B11" s="156"/>
      <c r="C11" s="236"/>
      <c r="D11" s="158"/>
    </row>
    <row r="12" spans="1:4" ht="30" customHeight="1" x14ac:dyDescent="0.2">
      <c r="A12" s="231">
        <v>9</v>
      </c>
      <c r="B12" s="156"/>
      <c r="C12" s="236"/>
      <c r="D12" s="158"/>
    </row>
    <row r="13" spans="1:4" ht="30" customHeight="1" x14ac:dyDescent="0.2">
      <c r="A13" s="153">
        <v>10</v>
      </c>
      <c r="B13" s="156"/>
      <c r="C13" s="236"/>
      <c r="D13" s="159"/>
    </row>
    <row r="14" spans="1:4" ht="30" customHeight="1" x14ac:dyDescent="0.2">
      <c r="A14" s="231">
        <v>11</v>
      </c>
      <c r="B14" s="156"/>
      <c r="C14" s="236"/>
      <c r="D14" s="158"/>
    </row>
    <row r="15" spans="1:4" ht="30" customHeight="1" x14ac:dyDescent="0.2">
      <c r="A15" s="153">
        <v>12</v>
      </c>
      <c r="B15" s="156"/>
      <c r="C15" s="236"/>
      <c r="D15" s="158"/>
    </row>
    <row r="16" spans="1:4" ht="30" customHeight="1" thickBot="1" x14ac:dyDescent="0.25">
      <c r="A16" s="104" t="s">
        <v>903</v>
      </c>
      <c r="B16" s="160">
        <f>SUM(B3:B15)</f>
        <v>500000000</v>
      </c>
      <c r="C16" s="161"/>
      <c r="D16" s="162"/>
    </row>
  </sheetData>
  <mergeCells count="1">
    <mergeCell ref="B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rightToLeft="1" topLeftCell="A17" workbookViewId="0">
      <selection activeCell="H17" sqref="H17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5" max="5" width="15.625" customWidth="1"/>
  </cols>
  <sheetData>
    <row r="1" spans="1:6" ht="50.1" customHeight="1" thickBot="1" x14ac:dyDescent="0.25">
      <c r="A1" s="1950" t="s">
        <v>1220</v>
      </c>
      <c r="B1" s="1951"/>
      <c r="C1" s="1951"/>
      <c r="D1" s="1951"/>
      <c r="E1" s="1951"/>
      <c r="F1" s="1952"/>
    </row>
    <row r="2" spans="1:6" ht="50.1" customHeight="1" x14ac:dyDescent="0.2">
      <c r="A2" s="201" t="s">
        <v>0</v>
      </c>
      <c r="B2" s="154" t="s">
        <v>906</v>
      </c>
      <c r="C2" s="8" t="s">
        <v>1056</v>
      </c>
      <c r="D2" s="155" t="s">
        <v>1057</v>
      </c>
      <c r="E2" s="155" t="s">
        <v>1221</v>
      </c>
      <c r="F2" s="155" t="s">
        <v>1222</v>
      </c>
    </row>
    <row r="3" spans="1:6" ht="30" customHeight="1" thickBot="1" x14ac:dyDescent="0.25">
      <c r="A3" s="197">
        <v>1</v>
      </c>
      <c r="B3" s="198">
        <v>300000000</v>
      </c>
      <c r="C3" s="199">
        <v>7.0000000000000007E-2</v>
      </c>
      <c r="D3" s="162">
        <f>B3*C3</f>
        <v>21000000.000000004</v>
      </c>
      <c r="E3" s="265" t="s">
        <v>902</v>
      </c>
      <c r="F3" s="266" t="s">
        <v>1223</v>
      </c>
    </row>
    <row r="4" spans="1:6" ht="30" customHeight="1" x14ac:dyDescent="0.2">
      <c r="A4" s="257"/>
      <c r="B4" s="257"/>
      <c r="C4" s="214"/>
      <c r="D4" s="257"/>
    </row>
    <row r="5" spans="1:6" s="196" customFormat="1" ht="30" customHeight="1" thickBot="1" x14ac:dyDescent="0.25">
      <c r="A5" s="193"/>
      <c r="B5" s="257"/>
      <c r="C5" s="195"/>
      <c r="D5" s="257"/>
    </row>
    <row r="6" spans="1:6" s="196" customFormat="1" ht="30" customHeight="1" thickBot="1" x14ac:dyDescent="0.25">
      <c r="A6" s="1961" t="s">
        <v>1224</v>
      </c>
      <c r="B6" s="1962"/>
      <c r="C6" s="1962"/>
      <c r="D6" s="1962"/>
      <c r="E6" s="1962"/>
      <c r="F6" s="1963"/>
    </row>
    <row r="7" spans="1:6" s="196" customFormat="1" ht="30" customHeight="1" x14ac:dyDescent="0.2">
      <c r="A7" s="257"/>
      <c r="B7" s="257"/>
      <c r="C7" s="257"/>
      <c r="D7" s="257"/>
    </row>
    <row r="8" spans="1:6" s="196" customFormat="1" ht="30" customHeight="1" thickBot="1" x14ac:dyDescent="0.25">
      <c r="A8" s="1964"/>
      <c r="B8" s="1964"/>
      <c r="C8" s="1964"/>
      <c r="D8" s="1964"/>
    </row>
    <row r="9" spans="1:6" s="196" customFormat="1" ht="30" customHeight="1" thickBot="1" x14ac:dyDescent="0.25">
      <c r="A9" s="1961" t="s">
        <v>1225</v>
      </c>
      <c r="B9" s="1962"/>
      <c r="C9" s="1962"/>
      <c r="D9" s="1962"/>
      <c r="E9" s="1962"/>
      <c r="F9" s="1963"/>
    </row>
    <row r="10" spans="1:6" s="196" customFormat="1" ht="30" customHeight="1" x14ac:dyDescent="0.2">
      <c r="A10" s="257"/>
      <c r="B10" s="257"/>
      <c r="C10" s="257"/>
      <c r="D10" s="257"/>
    </row>
    <row r="11" spans="1:6" s="196" customFormat="1" ht="30" customHeight="1" thickBot="1" x14ac:dyDescent="0.25">
      <c r="A11" s="257"/>
      <c r="B11" s="257"/>
      <c r="C11" s="257"/>
      <c r="D11" s="257"/>
    </row>
    <row r="12" spans="1:6" s="196" customFormat="1" ht="30" customHeight="1" thickBot="1" x14ac:dyDescent="0.25">
      <c r="A12" s="1961" t="s">
        <v>1226</v>
      </c>
      <c r="B12" s="1962"/>
      <c r="C12" s="1962"/>
      <c r="D12" s="1962"/>
      <c r="E12" s="1962"/>
      <c r="F12" s="1963"/>
    </row>
    <row r="13" spans="1:6" s="196" customFormat="1" ht="30" customHeight="1" x14ac:dyDescent="0.2">
      <c r="A13" s="264"/>
      <c r="B13" s="264"/>
      <c r="C13" s="264"/>
      <c r="D13" s="264"/>
      <c r="E13" s="264"/>
      <c r="F13" s="264"/>
    </row>
    <row r="14" spans="1:6" s="196" customFormat="1" ht="30" customHeight="1" x14ac:dyDescent="0.2">
      <c r="A14" s="5"/>
      <c r="B14"/>
      <c r="C14"/>
      <c r="D14"/>
      <c r="E14"/>
      <c r="F14"/>
    </row>
    <row r="15" spans="1:6" s="196" customFormat="1" ht="30" customHeight="1" x14ac:dyDescent="0.2">
      <c r="A15" s="5"/>
      <c r="B15"/>
      <c r="C15"/>
      <c r="D15"/>
      <c r="E15"/>
      <c r="F15"/>
    </row>
  </sheetData>
  <mergeCells count="5">
    <mergeCell ref="A1:F1"/>
    <mergeCell ref="A6:F6"/>
    <mergeCell ref="A9:F9"/>
    <mergeCell ref="A12:F12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rightToLeft="1" workbookViewId="0">
      <selection sqref="A1:XFD1048576"/>
    </sheetView>
  </sheetViews>
  <sheetFormatPr defaultRowHeight="14.25" x14ac:dyDescent="0.2"/>
  <cols>
    <col min="1" max="1" width="15.625" style="5" customWidth="1"/>
    <col min="2" max="2" width="33.625" customWidth="1"/>
    <col min="3" max="3" width="15.75" customWidth="1"/>
    <col min="4" max="4" width="30.625" customWidth="1"/>
    <col min="6" max="6" width="12.375" bestFit="1" customWidth="1"/>
  </cols>
  <sheetData>
    <row r="1" spans="1:7" ht="50.1" customHeight="1" thickBot="1" x14ac:dyDescent="0.25">
      <c r="A1" s="1929" t="s">
        <v>1550</v>
      </c>
      <c r="B1" s="1930"/>
      <c r="C1" s="1930"/>
      <c r="D1" s="1931"/>
    </row>
    <row r="2" spans="1:7" ht="50.1" customHeight="1" x14ac:dyDescent="0.2">
      <c r="A2" s="201" t="s">
        <v>0</v>
      </c>
      <c r="B2" s="154" t="s">
        <v>1549</v>
      </c>
      <c r="C2" s="8" t="s">
        <v>889</v>
      </c>
      <c r="D2" s="155" t="s">
        <v>890</v>
      </c>
      <c r="F2" s="448"/>
      <c r="G2" s="406"/>
    </row>
    <row r="3" spans="1:7" ht="50.1" customHeight="1" thickBot="1" x14ac:dyDescent="0.25">
      <c r="A3" s="204"/>
      <c r="B3" s="156">
        <v>100000000</v>
      </c>
      <c r="C3" s="1965" t="s">
        <v>1551</v>
      </c>
      <c r="D3" s="1966"/>
      <c r="F3" s="406"/>
      <c r="G3" s="406"/>
    </row>
    <row r="4" spans="1:7" ht="50.1" customHeight="1" thickBot="1" x14ac:dyDescent="0.25">
      <c r="A4" s="450"/>
      <c r="B4" s="1929" t="s">
        <v>1554</v>
      </c>
      <c r="C4" s="1930"/>
      <c r="D4" s="1931"/>
      <c r="F4" s="406"/>
      <c r="G4" s="406"/>
    </row>
    <row r="5" spans="1:7" ht="30" customHeight="1" x14ac:dyDescent="0.2">
      <c r="A5" s="205">
        <v>1</v>
      </c>
      <c r="B5" s="156">
        <v>64000000</v>
      </c>
      <c r="C5" s="415" t="s">
        <v>1552</v>
      </c>
      <c r="D5" s="157"/>
      <c r="F5" s="448"/>
      <c r="G5" s="449"/>
    </row>
    <row r="6" spans="1:7" ht="30" customHeight="1" x14ac:dyDescent="0.2">
      <c r="A6" s="205">
        <v>2</v>
      </c>
      <c r="B6" s="156">
        <v>44000000</v>
      </c>
      <c r="C6" s="415" t="s">
        <v>1553</v>
      </c>
      <c r="D6" s="158"/>
      <c r="F6" s="448"/>
      <c r="G6" s="449"/>
    </row>
    <row r="7" spans="1:7" ht="30" customHeight="1" x14ac:dyDescent="0.2">
      <c r="A7" s="205">
        <v>3</v>
      </c>
      <c r="B7" s="156">
        <v>50000000</v>
      </c>
      <c r="C7" s="415" t="s">
        <v>1552</v>
      </c>
      <c r="D7" s="158"/>
      <c r="F7" s="448"/>
      <c r="G7" s="449"/>
    </row>
    <row r="8" spans="1:7" ht="30" customHeight="1" thickBot="1" x14ac:dyDescent="0.25">
      <c r="A8" s="206" t="s">
        <v>903</v>
      </c>
      <c r="B8" s="160">
        <f>SUM(B5:B7)</f>
        <v>158000000</v>
      </c>
      <c r="C8" s="1981"/>
      <c r="D8" s="1982"/>
      <c r="F8" s="448"/>
      <c r="G8" s="449"/>
    </row>
    <row r="9" spans="1:7" ht="30" customHeight="1" thickBot="1" x14ac:dyDescent="0.25">
      <c r="A9" s="407"/>
      <c r="B9" s="451"/>
      <c r="C9" s="407"/>
      <c r="D9" s="407"/>
      <c r="F9" s="448"/>
      <c r="G9" s="449"/>
    </row>
    <row r="10" spans="1:7" ht="30" customHeight="1" thickBot="1" x14ac:dyDescent="0.25">
      <c r="A10" s="1983" t="s">
        <v>1555</v>
      </c>
      <c r="B10" s="1984"/>
      <c r="C10" s="1984"/>
      <c r="D10" s="1985"/>
      <c r="F10" s="448"/>
      <c r="G10" s="449"/>
    </row>
    <row r="11" spans="1:7" ht="30" customHeight="1" thickBot="1" x14ac:dyDescent="0.25">
      <c r="A11" s="407"/>
      <c r="B11" s="407"/>
      <c r="C11" s="407"/>
      <c r="D11" s="407"/>
      <c r="F11" s="448"/>
      <c r="G11" s="449"/>
    </row>
    <row r="12" spans="1:7" ht="30" customHeight="1" thickBot="1" x14ac:dyDescent="0.25">
      <c r="A12" s="1983" t="s">
        <v>1556</v>
      </c>
      <c r="B12" s="1984"/>
      <c r="C12" s="1984"/>
      <c r="D12" s="1985"/>
      <c r="F12" s="448"/>
      <c r="G12" s="449"/>
    </row>
    <row r="13" spans="1:7" ht="30" customHeight="1" thickBot="1" x14ac:dyDescent="0.25">
      <c r="A13" s="407"/>
      <c r="B13" s="407"/>
      <c r="C13" s="407"/>
      <c r="D13" s="407"/>
      <c r="F13" s="448"/>
      <c r="G13" s="449"/>
    </row>
    <row r="14" spans="1:7" ht="30" customHeight="1" thickBot="1" x14ac:dyDescent="0.25">
      <c r="A14" s="1983" t="s">
        <v>1562</v>
      </c>
      <c r="B14" s="1984"/>
      <c r="C14" s="1984"/>
      <c r="D14" s="1985"/>
      <c r="F14" s="448"/>
      <c r="G14" s="449"/>
    </row>
    <row r="15" spans="1:7" ht="30" customHeight="1" thickBot="1" x14ac:dyDescent="0.25">
      <c r="A15" s="407"/>
      <c r="B15" s="407"/>
      <c r="C15" s="407"/>
      <c r="D15" s="407"/>
      <c r="F15" s="448"/>
      <c r="G15" s="449"/>
    </row>
    <row r="16" spans="1:7" ht="30" customHeight="1" x14ac:dyDescent="0.2">
      <c r="A16" s="1969" t="s">
        <v>1557</v>
      </c>
      <c r="B16" s="1970"/>
      <c r="C16" s="1970"/>
      <c r="D16" s="1971"/>
      <c r="F16" s="448"/>
      <c r="G16" s="449"/>
    </row>
    <row r="17" spans="1:7" ht="30" customHeight="1" thickBot="1" x14ac:dyDescent="0.25">
      <c r="A17" s="1972"/>
      <c r="B17" s="1973"/>
      <c r="C17" s="1973"/>
      <c r="D17" s="1974"/>
      <c r="F17" s="448"/>
      <c r="G17" s="449"/>
    </row>
    <row r="18" spans="1:7" ht="30" customHeight="1" thickBot="1" x14ac:dyDescent="0.25">
      <c r="A18" s="407"/>
      <c r="B18" s="407"/>
      <c r="C18" s="407"/>
      <c r="D18" s="407"/>
      <c r="F18" s="448"/>
      <c r="G18" s="449"/>
    </row>
    <row r="19" spans="1:7" ht="30" customHeight="1" thickBot="1" x14ac:dyDescent="0.25">
      <c r="A19" s="1975" t="s">
        <v>1558</v>
      </c>
      <c r="B19" s="1976"/>
      <c r="C19" s="1976"/>
      <c r="D19" s="1977"/>
      <c r="F19" s="448"/>
      <c r="G19" s="449"/>
    </row>
    <row r="20" spans="1:7" ht="30" customHeight="1" thickBot="1" x14ac:dyDescent="0.25">
      <c r="A20" s="452"/>
      <c r="B20" s="452"/>
      <c r="C20" s="452"/>
      <c r="D20" s="452"/>
      <c r="F20" s="448"/>
      <c r="G20" s="449"/>
    </row>
    <row r="21" spans="1:7" ht="30" customHeight="1" thickBot="1" x14ac:dyDescent="0.25">
      <c r="A21" s="1975" t="s">
        <v>1559</v>
      </c>
      <c r="B21" s="1976"/>
      <c r="C21" s="1976"/>
      <c r="D21" s="1977"/>
      <c r="F21" s="448"/>
      <c r="G21" s="449"/>
    </row>
    <row r="22" spans="1:7" ht="30" customHeight="1" thickBot="1" x14ac:dyDescent="0.25">
      <c r="A22" s="452"/>
      <c r="B22" s="452"/>
      <c r="C22" s="452"/>
      <c r="D22" s="452"/>
      <c r="F22" s="448"/>
      <c r="G22" s="449"/>
    </row>
    <row r="23" spans="1:7" ht="30" customHeight="1" thickBot="1" x14ac:dyDescent="0.25">
      <c r="A23" s="1975" t="s">
        <v>1560</v>
      </c>
      <c r="B23" s="1976"/>
      <c r="C23" s="1976"/>
      <c r="D23" s="1977"/>
      <c r="F23" s="448"/>
      <c r="G23" s="449"/>
    </row>
    <row r="24" spans="1:7" ht="30" customHeight="1" thickBot="1" x14ac:dyDescent="0.25">
      <c r="A24" s="407"/>
      <c r="B24" s="451"/>
      <c r="C24" s="407"/>
      <c r="D24" s="407"/>
      <c r="F24" s="448"/>
      <c r="G24" s="449"/>
    </row>
    <row r="25" spans="1:7" ht="50.1" customHeight="1" thickBot="1" x14ac:dyDescent="0.25">
      <c r="A25" s="1978" t="s">
        <v>1550</v>
      </c>
      <c r="B25" s="1979"/>
      <c r="C25" s="1979"/>
      <c r="D25" s="1980"/>
      <c r="F25" s="448"/>
      <c r="G25" s="449"/>
    </row>
    <row r="26" spans="1:7" ht="30" customHeight="1" thickBot="1" x14ac:dyDescent="0.25">
      <c r="A26" s="417" t="s">
        <v>903</v>
      </c>
      <c r="B26" s="453">
        <v>350000000</v>
      </c>
      <c r="C26" s="1967" t="s">
        <v>1561</v>
      </c>
      <c r="D26" s="1968"/>
    </row>
  </sheetData>
  <mergeCells count="13">
    <mergeCell ref="C3:D3"/>
    <mergeCell ref="C26:D26"/>
    <mergeCell ref="A16:D17"/>
    <mergeCell ref="A19:D19"/>
    <mergeCell ref="A1:D1"/>
    <mergeCell ref="A25:D25"/>
    <mergeCell ref="A21:D21"/>
    <mergeCell ref="A23:D23"/>
    <mergeCell ref="C8:D8"/>
    <mergeCell ref="B4:D4"/>
    <mergeCell ref="A10:D10"/>
    <mergeCell ref="A12:D12"/>
    <mergeCell ref="A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علی آقا عبداللهی</vt:lpstr>
      <vt:lpstr>علیرضا خالقی</vt:lpstr>
      <vt:lpstr>رضا احمدی</vt:lpstr>
      <vt:lpstr>مهدی علیمحمدی</vt:lpstr>
      <vt:lpstr>علی غلامی تیگا</vt:lpstr>
      <vt:lpstr>جواد حاتم زاده فهندری</vt:lpstr>
      <vt:lpstr>مجتبی کامکاری</vt:lpstr>
      <vt:lpstr>محسن عبداللهی</vt:lpstr>
      <vt:lpstr>احمدرضا افضلی پل بندی</vt:lpstr>
      <vt:lpstr>علی غلامی</vt:lpstr>
      <vt:lpstr>جواد حاتم زاده</vt:lpstr>
      <vt:lpstr>غلامرضا یگانه</vt:lpstr>
      <vt:lpstr>آقای سحابی ( رفیعی )</vt:lpstr>
      <vt:lpstr>قاسم جوینی</vt:lpstr>
      <vt:lpstr>حمیده بیرجندی</vt:lpstr>
      <vt:lpstr>زهرا جلالی-خانم محمود جلالی</vt:lpstr>
      <vt:lpstr>مرضیه احیایی</vt:lpstr>
      <vt:lpstr>سالانه</vt:lpstr>
      <vt:lpstr>اطلاعات مشتریان</vt:lpstr>
      <vt:lpstr>خرداد</vt:lpstr>
      <vt:lpstr>تیر</vt:lpstr>
      <vt:lpstr>مرداد</vt:lpstr>
      <vt:lpstr>شهریور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2022-09-19T09:15:08Z</dcterms:modified>
</cp:coreProperties>
</file>