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9" activeTab="27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غلامرضا یگانه" sheetId="26" r:id="rId12"/>
    <sheet name="آقای سحابی ( رفیعی )" sheetId="23" r:id="rId13"/>
    <sheet name="قاسم جوینی" sheetId="27" r:id="rId14"/>
    <sheet name="علی عبداللهی" sheetId="34" r:id="rId15"/>
    <sheet name="حمیده بیرجندی" sheetId="13" r:id="rId16"/>
    <sheet name="زهرا جلالی-خانم محمود جلالی" sheetId="15" r:id="rId17"/>
    <sheet name="مرضیه احیایی" sheetId="31" r:id="rId18"/>
    <sheet name="رویا رمضان زاده" sheetId="33" r:id="rId19"/>
    <sheet name="سالانه" sheetId="7" r:id="rId20"/>
    <sheet name="اطلاعات مشتریان" sheetId="19" r:id="rId21"/>
    <sheet name="خرداد" sheetId="3" r:id="rId22"/>
    <sheet name="تیر" sheetId="20" r:id="rId23"/>
    <sheet name="مرداد" sheetId="28" r:id="rId24"/>
    <sheet name="شهریور" sheetId="30" r:id="rId25"/>
    <sheet name="مهر" sheetId="32" r:id="rId26"/>
    <sheet name="مهر نهایی" sheetId="36" r:id="rId27"/>
    <sheet name="آبان" sheetId="35" r:id="rId28"/>
  </sheets>
  <calcPr calcId="152511"/>
</workbook>
</file>

<file path=xl/calcChain.xml><?xml version="1.0" encoding="utf-8"?>
<calcChain xmlns="http://schemas.openxmlformats.org/spreadsheetml/2006/main">
  <c r="F546" i="35" l="1"/>
  <c r="F547" i="35"/>
  <c r="F545" i="35"/>
  <c r="F548" i="35"/>
  <c r="D548" i="35"/>
  <c r="D392" i="35"/>
  <c r="F391" i="35"/>
  <c r="D598" i="35"/>
  <c r="F673" i="35"/>
  <c r="D676" i="35"/>
  <c r="F675" i="35"/>
  <c r="F674" i="35"/>
  <c r="F743" i="35" l="1"/>
  <c r="F3" i="15"/>
  <c r="J50" i="35" l="1"/>
  <c r="J876" i="35"/>
  <c r="J868" i="35"/>
  <c r="K868" i="35" s="1"/>
  <c r="J71" i="35"/>
  <c r="J608" i="35"/>
  <c r="J591" i="35"/>
  <c r="K591" i="35" s="1"/>
  <c r="J370" i="35"/>
  <c r="F371" i="35"/>
  <c r="F370" i="35"/>
  <c r="K370" i="35" l="1"/>
  <c r="J755" i="35"/>
  <c r="F755" i="35"/>
  <c r="K755" i="35" s="1"/>
  <c r="J292" i="35"/>
  <c r="J823" i="35"/>
  <c r="F823" i="35"/>
  <c r="J882" i="35"/>
  <c r="J819" i="35"/>
  <c r="J843" i="35"/>
  <c r="F843" i="35"/>
  <c r="K843" i="35" s="1"/>
  <c r="J739" i="35"/>
  <c r="J881" i="35"/>
  <c r="F881" i="35"/>
  <c r="J858" i="35"/>
  <c r="F822" i="35"/>
  <c r="J822" i="35"/>
  <c r="K822" i="35" l="1"/>
  <c r="K881" i="35"/>
  <c r="K823" i="35"/>
  <c r="F62" i="35"/>
  <c r="F78" i="35" l="1"/>
  <c r="F79" i="35"/>
  <c r="F80" i="35"/>
  <c r="F81" i="35"/>
  <c r="F82" i="35"/>
  <c r="F664" i="35"/>
  <c r="F663" i="35"/>
  <c r="F662" i="35"/>
  <c r="F661" i="35"/>
  <c r="F596" i="36"/>
  <c r="F595" i="36"/>
  <c r="F643" i="30"/>
  <c r="J640" i="30"/>
  <c r="F676" i="35"/>
  <c r="D607" i="36"/>
  <c r="F607" i="36" s="1"/>
  <c r="F605" i="36"/>
  <c r="F604" i="36"/>
  <c r="F653" i="30"/>
  <c r="F652" i="30"/>
  <c r="F20" i="35" l="1"/>
  <c r="F34" i="36"/>
  <c r="F33" i="36"/>
  <c r="F32" i="36"/>
  <c r="F30" i="36"/>
  <c r="F709" i="35"/>
  <c r="F710" i="35"/>
  <c r="F711" i="35"/>
  <c r="F712" i="35"/>
  <c r="F713" i="35"/>
  <c r="J473" i="35"/>
  <c r="K473" i="35" s="1"/>
  <c r="D467" i="35"/>
  <c r="D468" i="35" s="1"/>
  <c r="D469" i="35" s="1"/>
  <c r="D470" i="35" s="1"/>
  <c r="D471" i="35" s="1"/>
  <c r="D472" i="35" s="1"/>
  <c r="E472" i="35" s="1"/>
  <c r="J479" i="35"/>
  <c r="K479" i="35" s="1"/>
  <c r="F483" i="35"/>
  <c r="J483" i="35"/>
  <c r="F484" i="35"/>
  <c r="J484" i="35"/>
  <c r="F485" i="35"/>
  <c r="F486" i="35"/>
  <c r="J486" i="35"/>
  <c r="D431" i="36"/>
  <c r="D432" i="36" s="1"/>
  <c r="D433" i="36" s="1"/>
  <c r="D434" i="36" s="1"/>
  <c r="K484" i="35" l="1"/>
  <c r="K486" i="35"/>
  <c r="K483" i="35"/>
  <c r="D476" i="35"/>
  <c r="E476" i="35" s="1"/>
  <c r="F716" i="35"/>
  <c r="D692" i="35"/>
  <c r="F691" i="35"/>
  <c r="J682" i="35"/>
  <c r="F682" i="35"/>
  <c r="F794" i="35" l="1"/>
  <c r="F739" i="35"/>
  <c r="K739" i="35" s="1"/>
  <c r="F735" i="35"/>
  <c r="F734" i="35"/>
  <c r="F868" i="35"/>
  <c r="F838" i="35"/>
  <c r="F837" i="35"/>
  <c r="F757" i="36"/>
  <c r="F877" i="35" l="1"/>
  <c r="F878" i="35"/>
  <c r="F876" i="35"/>
  <c r="K876" i="35" s="1"/>
  <c r="F425" i="3"/>
  <c r="F486" i="20"/>
  <c r="J514" i="35"/>
  <c r="F514" i="35"/>
  <c r="F875" i="35"/>
  <c r="F765" i="36"/>
  <c r="F690" i="35"/>
  <c r="F157" i="35"/>
  <c r="F120" i="35"/>
  <c r="F121" i="35"/>
  <c r="F119" i="35"/>
  <c r="F118" i="35"/>
  <c r="F117" i="35"/>
  <c r="F116" i="35"/>
  <c r="K514" i="35" l="1"/>
  <c r="F183" i="35"/>
  <c r="F182" i="35"/>
  <c r="F382" i="35" l="1"/>
  <c r="F357" i="36"/>
  <c r="J381" i="35"/>
  <c r="F381" i="35"/>
  <c r="F636" i="35"/>
  <c r="K381" i="35" l="1"/>
  <c r="F83" i="35"/>
  <c r="F84" i="35"/>
  <c r="F819" i="35" l="1"/>
  <c r="K819" i="35" s="1"/>
  <c r="F818" i="35"/>
  <c r="F739" i="36"/>
  <c r="F738" i="36"/>
  <c r="J447" i="35" l="1"/>
  <c r="F266" i="35"/>
  <c r="J265" i="35"/>
  <c r="F592" i="36"/>
  <c r="F637" i="30"/>
  <c r="F658" i="35"/>
  <c r="D259" i="35" l="1"/>
  <c r="F259" i="35" s="1"/>
  <c r="F258" i="35"/>
  <c r="J210" i="36" l="1"/>
  <c r="J227" i="30"/>
  <c r="F265" i="35" l="1"/>
  <c r="K265" i="35" s="1"/>
  <c r="F496" i="35" l="1"/>
  <c r="F715" i="35"/>
  <c r="F601" i="35"/>
  <c r="J631" i="35" l="1"/>
  <c r="J502" i="35"/>
  <c r="F440" i="36"/>
  <c r="F465" i="35"/>
  <c r="F183" i="7"/>
  <c r="F649" i="35"/>
  <c r="D650" i="35"/>
  <c r="J763" i="36"/>
  <c r="J567" i="36"/>
  <c r="J764" i="36"/>
  <c r="K764" i="36" s="1"/>
  <c r="J142" i="36"/>
  <c r="F842" i="35"/>
  <c r="J637" i="35"/>
  <c r="K637" i="35" s="1"/>
  <c r="J255" i="36"/>
  <c r="J874" i="35" l="1"/>
  <c r="F874" i="35"/>
  <c r="K874" i="35" s="1"/>
  <c r="J671" i="35"/>
  <c r="F692" i="35"/>
  <c r="F689" i="35"/>
  <c r="J432" i="35"/>
  <c r="J457" i="35"/>
  <c r="F458" i="35"/>
  <c r="J828" i="35"/>
  <c r="F828" i="35"/>
  <c r="J305" i="35"/>
  <c r="F873" i="35"/>
  <c r="J872" i="35"/>
  <c r="K828" i="35" l="1"/>
  <c r="F312" i="35"/>
  <c r="B48" i="8" l="1"/>
  <c r="B37" i="8"/>
  <c r="B29" i="8"/>
  <c r="B30" i="8" s="1"/>
  <c r="B31" i="8" s="1"/>
  <c r="B38" i="8" s="1"/>
  <c r="B39" i="8" l="1"/>
  <c r="B40" i="8" s="1"/>
  <c r="B49" i="8" s="1"/>
  <c r="J166" i="35"/>
  <c r="J164" i="35"/>
  <c r="J857" i="35"/>
  <c r="J4" i="35"/>
  <c r="K4" i="35" s="1"/>
  <c r="J573" i="35"/>
  <c r="J92" i="35"/>
  <c r="B50" i="8" l="1"/>
  <c r="B51" i="8" s="1"/>
  <c r="F494" i="35"/>
  <c r="F246" i="35"/>
  <c r="G866" i="35" l="1"/>
  <c r="J865" i="35"/>
  <c r="F795" i="35"/>
  <c r="J583" i="35"/>
  <c r="F583" i="35"/>
  <c r="J27" i="35"/>
  <c r="K583" i="35" l="1"/>
  <c r="E865" i="35"/>
  <c r="J814" i="35"/>
  <c r="F814" i="35"/>
  <c r="F508" i="35"/>
  <c r="J786" i="35"/>
  <c r="J429" i="35"/>
  <c r="J37" i="35"/>
  <c r="D439" i="35"/>
  <c r="F439" i="35" s="1"/>
  <c r="F438" i="35"/>
  <c r="K814" i="35" l="1"/>
  <c r="F611" i="35"/>
  <c r="F863" i="35"/>
  <c r="F864" i="35"/>
  <c r="F746" i="35"/>
  <c r="F747" i="35"/>
  <c r="F86" i="35" l="1"/>
  <c r="F632" i="35"/>
  <c r="J628" i="35"/>
  <c r="K628" i="35" s="1"/>
  <c r="J506" i="35"/>
  <c r="F162" i="35"/>
  <c r="J860" i="35"/>
  <c r="J133" i="35"/>
  <c r="J861" i="35"/>
  <c r="F861" i="35"/>
  <c r="J18" i="35"/>
  <c r="F18" i="35"/>
  <c r="F688" i="35"/>
  <c r="K18" i="35" l="1"/>
  <c r="F27" i="35"/>
  <c r="F734" i="30" l="1"/>
  <c r="F704" i="36"/>
  <c r="J784" i="35"/>
  <c r="F784" i="35"/>
  <c r="J204" i="35"/>
  <c r="K204" i="35" s="1"/>
  <c r="J8" i="35"/>
  <c r="J150" i="35"/>
  <c r="J327" i="35"/>
  <c r="J185" i="35" l="1"/>
  <c r="F860" i="35" l="1"/>
  <c r="K860" i="35" s="1"/>
  <c r="F859" i="35"/>
  <c r="F394" i="35"/>
  <c r="F390" i="35"/>
  <c r="F386" i="35" l="1"/>
  <c r="J405" i="35"/>
  <c r="J763" i="35"/>
  <c r="F788" i="35"/>
  <c r="D789" i="35"/>
  <c r="J362" i="35"/>
  <c r="J136" i="35"/>
  <c r="J355" i="35"/>
  <c r="J856" i="35"/>
  <c r="F856" i="35"/>
  <c r="J855" i="35"/>
  <c r="F855" i="35"/>
  <c r="J854" i="35"/>
  <c r="F854" i="35"/>
  <c r="J295" i="35"/>
  <c r="J613" i="35"/>
  <c r="K854" i="35" l="1"/>
  <c r="K856" i="35"/>
  <c r="K855" i="35"/>
  <c r="F853" i="35"/>
  <c r="J513" i="35"/>
  <c r="F513" i="35"/>
  <c r="F314" i="35"/>
  <c r="J602" i="35"/>
  <c r="F605" i="35"/>
  <c r="J325" i="35"/>
  <c r="F524" i="35"/>
  <c r="J214" i="35"/>
  <c r="J754" i="35"/>
  <c r="F754" i="35"/>
  <c r="J134" i="35"/>
  <c r="F134" i="35"/>
  <c r="J540" i="35"/>
  <c r="F540" i="35"/>
  <c r="F851" i="35"/>
  <c r="B12" i="9"/>
  <c r="F839" i="35"/>
  <c r="J849" i="35"/>
  <c r="J89" i="35"/>
  <c r="F771" i="35"/>
  <c r="J702" i="35"/>
  <c r="K134" i="35" l="1"/>
  <c r="K513" i="35"/>
  <c r="K754" i="35"/>
  <c r="F353" i="36"/>
  <c r="K353" i="36" s="1"/>
  <c r="F379" i="35"/>
  <c r="J440" i="35"/>
  <c r="J60" i="35"/>
  <c r="J757" i="35"/>
  <c r="J758" i="36"/>
  <c r="J755" i="36"/>
  <c r="F755" i="36"/>
  <c r="J754" i="36"/>
  <c r="J753" i="36"/>
  <c r="J752" i="36"/>
  <c r="F751" i="36"/>
  <c r="F747" i="36"/>
  <c r="F746" i="36"/>
  <c r="F744" i="36"/>
  <c r="F743" i="36"/>
  <c r="J742" i="36"/>
  <c r="J741" i="36"/>
  <c r="J740" i="36"/>
  <c r="F740" i="36"/>
  <c r="J737" i="36"/>
  <c r="J735" i="36"/>
  <c r="K735" i="36" s="1"/>
  <c r="E734" i="36"/>
  <c r="J732" i="36"/>
  <c r="F731" i="36"/>
  <c r="J730" i="36"/>
  <c r="F730" i="36"/>
  <c r="J728" i="36"/>
  <c r="J727" i="36"/>
  <c r="F727" i="36"/>
  <c r="J726" i="36"/>
  <c r="F726" i="36"/>
  <c r="D725" i="36"/>
  <c r="J724" i="36"/>
  <c r="F724" i="36"/>
  <c r="J723" i="36"/>
  <c r="J722" i="36"/>
  <c r="F721" i="36"/>
  <c r="F720" i="36"/>
  <c r="J719" i="36"/>
  <c r="K719" i="36" s="1"/>
  <c r="F718" i="36"/>
  <c r="F717" i="36"/>
  <c r="J716" i="36"/>
  <c r="K716" i="36" s="1"/>
  <c r="J715" i="36"/>
  <c r="F715" i="36"/>
  <c r="J713" i="36"/>
  <c r="F713" i="36"/>
  <c r="F712" i="36"/>
  <c r="J711" i="36"/>
  <c r="F711" i="36"/>
  <c r="J710" i="36"/>
  <c r="F710" i="36"/>
  <c r="J709" i="36"/>
  <c r="F709" i="36"/>
  <c r="J707" i="36"/>
  <c r="F707" i="36"/>
  <c r="J706" i="36"/>
  <c r="K706" i="36" s="1"/>
  <c r="J705" i="36"/>
  <c r="K705" i="36" s="1"/>
  <c r="E705" i="36"/>
  <c r="J703" i="36"/>
  <c r="F703" i="36"/>
  <c r="F702" i="36"/>
  <c r="J701" i="36"/>
  <c r="J700" i="36"/>
  <c r="F700" i="36"/>
  <c r="J699" i="36"/>
  <c r="F699" i="36"/>
  <c r="J698" i="36"/>
  <c r="F698" i="36"/>
  <c r="J697" i="36"/>
  <c r="F697" i="36"/>
  <c r="F696" i="36"/>
  <c r="J695" i="36"/>
  <c r="F695" i="36"/>
  <c r="J694" i="36"/>
  <c r="F694" i="36"/>
  <c r="J693" i="36"/>
  <c r="F693" i="36"/>
  <c r="J692" i="36"/>
  <c r="J691" i="36"/>
  <c r="K691" i="36" s="1"/>
  <c r="J690" i="36"/>
  <c r="F690" i="36"/>
  <c r="J689" i="36"/>
  <c r="F689" i="36"/>
  <c r="J688" i="36"/>
  <c r="F687" i="36"/>
  <c r="J686" i="36"/>
  <c r="F686" i="36"/>
  <c r="J685" i="36"/>
  <c r="F685" i="36"/>
  <c r="J684" i="36"/>
  <c r="F684" i="36"/>
  <c r="F683" i="36"/>
  <c r="J682" i="36"/>
  <c r="K682" i="36" s="1"/>
  <c r="J681" i="36"/>
  <c r="F681" i="36"/>
  <c r="F680" i="36"/>
  <c r="J679" i="36"/>
  <c r="F679" i="36"/>
  <c r="J677" i="36"/>
  <c r="F675" i="36"/>
  <c r="J674" i="36"/>
  <c r="F674" i="36"/>
  <c r="J672" i="36"/>
  <c r="F672" i="36"/>
  <c r="J671" i="36"/>
  <c r="F671" i="36"/>
  <c r="D670" i="36"/>
  <c r="F670" i="36" s="1"/>
  <c r="G670" i="36" s="1"/>
  <c r="J670" i="36" s="1"/>
  <c r="J669" i="36"/>
  <c r="F669" i="36"/>
  <c r="J664" i="36"/>
  <c r="K664" i="36" s="1"/>
  <c r="J663" i="36"/>
  <c r="J662" i="36"/>
  <c r="J661" i="36"/>
  <c r="K661" i="36" s="1"/>
  <c r="J660" i="36"/>
  <c r="K660" i="36" s="1"/>
  <c r="J659" i="36"/>
  <c r="K659" i="36" s="1"/>
  <c r="J658" i="36"/>
  <c r="K658" i="36" s="1"/>
  <c r="J657" i="36"/>
  <c r="F657" i="36"/>
  <c r="K657" i="36" s="1"/>
  <c r="J656" i="36"/>
  <c r="F656" i="36"/>
  <c r="J655" i="36"/>
  <c r="F655" i="36"/>
  <c r="J654" i="36"/>
  <c r="K654" i="36" s="1"/>
  <c r="J652" i="36"/>
  <c r="F652" i="36"/>
  <c r="F651" i="36"/>
  <c r="J647" i="36"/>
  <c r="F647" i="36"/>
  <c r="J646" i="36"/>
  <c r="K646" i="36" s="1"/>
  <c r="F646" i="36"/>
  <c r="J645" i="36"/>
  <c r="F645" i="36"/>
  <c r="J644" i="36"/>
  <c r="F644" i="36"/>
  <c r="J641" i="36"/>
  <c r="F641" i="36"/>
  <c r="J640" i="36"/>
  <c r="F640" i="36"/>
  <c r="J639" i="36"/>
  <c r="F639" i="36"/>
  <c r="J638" i="36"/>
  <c r="F638" i="36"/>
  <c r="J637" i="36"/>
  <c r="F637" i="36"/>
  <c r="J636" i="36"/>
  <c r="F636" i="36"/>
  <c r="J635" i="36"/>
  <c r="J634" i="36"/>
  <c r="F634" i="36"/>
  <c r="J633" i="36"/>
  <c r="F633" i="36"/>
  <c r="J632" i="36"/>
  <c r="F632" i="36"/>
  <c r="J631" i="36"/>
  <c r="F631" i="36"/>
  <c r="F630" i="36"/>
  <c r="F629" i="36"/>
  <c r="J628" i="36"/>
  <c r="F628" i="36"/>
  <c r="F627" i="36"/>
  <c r="D626" i="36"/>
  <c r="F625" i="36"/>
  <c r="F624" i="36"/>
  <c r="F623" i="36"/>
  <c r="F622" i="36"/>
  <c r="J621" i="36"/>
  <c r="F621" i="36"/>
  <c r="J620" i="36"/>
  <c r="K620" i="36" s="1"/>
  <c r="F619" i="36"/>
  <c r="J615" i="36"/>
  <c r="J614" i="36"/>
  <c r="J613" i="36"/>
  <c r="F613" i="36"/>
  <c r="K614" i="36" s="1"/>
  <c r="J608" i="36"/>
  <c r="K608" i="36" s="1"/>
  <c r="F603" i="36"/>
  <c r="K603" i="36" s="1"/>
  <c r="J602" i="36"/>
  <c r="F602" i="36"/>
  <c r="G602" i="36" s="1"/>
  <c r="J601" i="36"/>
  <c r="F601" i="36"/>
  <c r="J599" i="36"/>
  <c r="F599" i="36"/>
  <c r="F598" i="36"/>
  <c r="J597" i="36"/>
  <c r="F597" i="36"/>
  <c r="J595" i="36"/>
  <c r="K595" i="36" s="1"/>
  <c r="J594" i="36"/>
  <c r="K594" i="36" s="1"/>
  <c r="J593" i="36"/>
  <c r="F593" i="36"/>
  <c r="J592" i="36"/>
  <c r="K592" i="36" s="1"/>
  <c r="J591" i="36"/>
  <c r="J590" i="36"/>
  <c r="F590" i="36"/>
  <c r="J589" i="36"/>
  <c r="F589" i="36"/>
  <c r="J588" i="36"/>
  <c r="F588" i="36"/>
  <c r="K588" i="36" s="1"/>
  <c r="J587" i="36"/>
  <c r="F587" i="36"/>
  <c r="J586" i="36"/>
  <c r="F586" i="36"/>
  <c r="J584" i="36"/>
  <c r="D584" i="36"/>
  <c r="F583" i="36"/>
  <c r="F582" i="36"/>
  <c r="F581" i="36"/>
  <c r="F580" i="36"/>
  <c r="F579" i="36"/>
  <c r="J578" i="36"/>
  <c r="F578" i="36"/>
  <c r="J573" i="36"/>
  <c r="K573" i="36" s="1"/>
  <c r="E573" i="36"/>
  <c r="J572" i="36"/>
  <c r="F572" i="36"/>
  <c r="J570" i="36"/>
  <c r="F570" i="36"/>
  <c r="J569" i="36"/>
  <c r="F569" i="36"/>
  <c r="F567" i="36"/>
  <c r="K567" i="36" s="1"/>
  <c r="J566" i="36"/>
  <c r="F566" i="36"/>
  <c r="J565" i="36"/>
  <c r="F565" i="36"/>
  <c r="J564" i="36"/>
  <c r="F564" i="36"/>
  <c r="J563" i="36"/>
  <c r="F563" i="36"/>
  <c r="J562" i="36"/>
  <c r="F562" i="36"/>
  <c r="J560" i="36"/>
  <c r="F560" i="36"/>
  <c r="J559" i="36"/>
  <c r="J558" i="36"/>
  <c r="F558" i="36"/>
  <c r="J556" i="36"/>
  <c r="F556" i="36"/>
  <c r="J555" i="36"/>
  <c r="K555" i="36" s="1"/>
  <c r="J554" i="36"/>
  <c r="F554" i="36"/>
  <c r="J553" i="36"/>
  <c r="F553" i="36"/>
  <c r="J552" i="36"/>
  <c r="F552" i="36"/>
  <c r="J551" i="36"/>
  <c r="K551" i="36" s="1"/>
  <c r="J550" i="36"/>
  <c r="F550" i="36"/>
  <c r="J549" i="36"/>
  <c r="J548" i="36"/>
  <c r="J547" i="36"/>
  <c r="F547" i="36"/>
  <c r="J546" i="36"/>
  <c r="F546" i="36"/>
  <c r="F545" i="36"/>
  <c r="F544" i="36"/>
  <c r="F543" i="36"/>
  <c r="F542" i="36"/>
  <c r="J540" i="36"/>
  <c r="F540" i="36"/>
  <c r="J539" i="36"/>
  <c r="F539" i="36"/>
  <c r="J538" i="36"/>
  <c r="K538" i="36" s="1"/>
  <c r="J537" i="36"/>
  <c r="F537" i="36"/>
  <c r="J536" i="36"/>
  <c r="K536" i="36" s="1"/>
  <c r="J535" i="36"/>
  <c r="K535" i="36" s="1"/>
  <c r="J534" i="36"/>
  <c r="K534" i="36" s="1"/>
  <c r="D531" i="36"/>
  <c r="J521" i="36"/>
  <c r="K521" i="36" s="1"/>
  <c r="F520" i="36"/>
  <c r="J519" i="36"/>
  <c r="F519" i="36"/>
  <c r="J517" i="36"/>
  <c r="K517" i="36" s="1"/>
  <c r="J516" i="36"/>
  <c r="K516" i="36" s="1"/>
  <c r="F514" i="36"/>
  <c r="J513" i="36"/>
  <c r="F513" i="36"/>
  <c r="J512" i="36"/>
  <c r="F512" i="36"/>
  <c r="J511" i="36"/>
  <c r="F511" i="36"/>
  <c r="J510" i="36"/>
  <c r="F510" i="36"/>
  <c r="J509" i="36"/>
  <c r="F509" i="36"/>
  <c r="J508" i="36"/>
  <c r="F508" i="36"/>
  <c r="J507" i="36"/>
  <c r="K507" i="36" s="1"/>
  <c r="J503" i="36"/>
  <c r="F503" i="36"/>
  <c r="J502" i="36"/>
  <c r="F502" i="36"/>
  <c r="J501" i="36"/>
  <c r="F501" i="36"/>
  <c r="J500" i="36"/>
  <c r="F500" i="36"/>
  <c r="J499" i="36"/>
  <c r="K499" i="36" s="1"/>
  <c r="F499" i="36"/>
  <c r="J498" i="36"/>
  <c r="K498" i="36" s="1"/>
  <c r="J497" i="36"/>
  <c r="F497" i="36"/>
  <c r="J496" i="36"/>
  <c r="F496" i="36"/>
  <c r="J495" i="36"/>
  <c r="F495" i="36"/>
  <c r="J492" i="36"/>
  <c r="F492" i="36"/>
  <c r="F491" i="36"/>
  <c r="J490" i="36"/>
  <c r="F488" i="36"/>
  <c r="F487" i="36"/>
  <c r="F485" i="36"/>
  <c r="F484" i="36"/>
  <c r="F483" i="36"/>
  <c r="F482" i="36"/>
  <c r="D480" i="36"/>
  <c r="D481" i="36" s="1"/>
  <c r="D486" i="36" s="1"/>
  <c r="D489" i="36" s="1"/>
  <c r="F479" i="36"/>
  <c r="F478" i="36"/>
  <c r="F477" i="36"/>
  <c r="F476" i="36"/>
  <c r="F475" i="36"/>
  <c r="J474" i="36"/>
  <c r="K474" i="36" s="1"/>
  <c r="F474" i="36"/>
  <c r="J473" i="36"/>
  <c r="F473" i="36"/>
  <c r="J472" i="36"/>
  <c r="F472" i="36"/>
  <c r="F471" i="36"/>
  <c r="J470" i="36"/>
  <c r="F470" i="36"/>
  <c r="J469" i="36"/>
  <c r="F469" i="36"/>
  <c r="J468" i="36"/>
  <c r="F468" i="36"/>
  <c r="J467" i="36"/>
  <c r="K467" i="36" s="1"/>
  <c r="E467" i="36"/>
  <c r="F466" i="36"/>
  <c r="K466" i="36" s="1"/>
  <c r="F465" i="36"/>
  <c r="J464" i="36"/>
  <c r="F464" i="36"/>
  <c r="F462" i="36"/>
  <c r="K462" i="36" s="1"/>
  <c r="J460" i="36"/>
  <c r="K460" i="36" s="1"/>
  <c r="J459" i="36"/>
  <c r="F459" i="36"/>
  <c r="J458" i="36"/>
  <c r="F458" i="36"/>
  <c r="J457" i="36"/>
  <c r="F457" i="36"/>
  <c r="J456" i="36"/>
  <c r="F456" i="36"/>
  <c r="J455" i="36"/>
  <c r="F455" i="36"/>
  <c r="F454" i="36"/>
  <c r="J453" i="36"/>
  <c r="J452" i="36"/>
  <c r="F452" i="36"/>
  <c r="J451" i="36"/>
  <c r="F451" i="36"/>
  <c r="J450" i="36"/>
  <c r="K450" i="36" s="1"/>
  <c r="F450" i="36"/>
  <c r="J449" i="36"/>
  <c r="F449" i="36"/>
  <c r="J448" i="36"/>
  <c r="F448" i="36"/>
  <c r="J447" i="36"/>
  <c r="K447" i="36" s="1"/>
  <c r="J446" i="36"/>
  <c r="F446" i="36"/>
  <c r="J445" i="36"/>
  <c r="F445" i="36"/>
  <c r="F444" i="36"/>
  <c r="J443" i="36"/>
  <c r="F443" i="36"/>
  <c r="F442" i="36"/>
  <c r="J441" i="36"/>
  <c r="F441" i="36"/>
  <c r="J439" i="36"/>
  <c r="F439" i="36"/>
  <c r="J435" i="36"/>
  <c r="K435" i="36" s="1"/>
  <c r="J428" i="36"/>
  <c r="F428" i="36"/>
  <c r="J427" i="36"/>
  <c r="F427" i="36"/>
  <c r="J426" i="36"/>
  <c r="K426" i="36" s="1"/>
  <c r="J425" i="36"/>
  <c r="K425" i="36" s="1"/>
  <c r="J424" i="36"/>
  <c r="F424" i="36"/>
  <c r="F423" i="36"/>
  <c r="J422" i="36"/>
  <c r="F422" i="36"/>
  <c r="J421" i="36"/>
  <c r="F421" i="36"/>
  <c r="J420" i="36"/>
  <c r="F420" i="36"/>
  <c r="J419" i="36"/>
  <c r="F419" i="36"/>
  <c r="J418" i="36"/>
  <c r="F418" i="36"/>
  <c r="J417" i="36"/>
  <c r="F417" i="36"/>
  <c r="F416" i="36"/>
  <c r="J415" i="36"/>
  <c r="F415" i="36"/>
  <c r="J414" i="36"/>
  <c r="K414" i="36" s="1"/>
  <c r="J413" i="36"/>
  <c r="F413" i="36"/>
  <c r="J412" i="36"/>
  <c r="F411" i="36"/>
  <c r="F410" i="36"/>
  <c r="F409" i="36"/>
  <c r="F408" i="36"/>
  <c r="F407" i="36"/>
  <c r="J405" i="36"/>
  <c r="D405" i="36"/>
  <c r="F405" i="36" s="1"/>
  <c r="J404" i="36"/>
  <c r="F404" i="36"/>
  <c r="J403" i="36"/>
  <c r="F403" i="36"/>
  <c r="J402" i="36"/>
  <c r="F402" i="36"/>
  <c r="J401" i="36"/>
  <c r="K401" i="36" s="1"/>
  <c r="F400" i="36"/>
  <c r="J399" i="36"/>
  <c r="J397" i="36"/>
  <c r="K397" i="36" s="1"/>
  <c r="F397" i="36"/>
  <c r="J396" i="36"/>
  <c r="F396" i="36"/>
  <c r="J394" i="36"/>
  <c r="K394" i="36" s="1"/>
  <c r="J393" i="36"/>
  <c r="F393" i="36"/>
  <c r="F392" i="36"/>
  <c r="J391" i="36"/>
  <c r="F391" i="36"/>
  <c r="J390" i="36"/>
  <c r="F390" i="36"/>
  <c r="J388" i="36"/>
  <c r="D388" i="36"/>
  <c r="F386" i="36"/>
  <c r="F385" i="36"/>
  <c r="F384" i="36"/>
  <c r="F383" i="36"/>
  <c r="J382" i="36"/>
  <c r="F382" i="36"/>
  <c r="J381" i="36"/>
  <c r="F381" i="36"/>
  <c r="J380" i="36"/>
  <c r="F380" i="36"/>
  <c r="J379" i="36"/>
  <c r="F379" i="36"/>
  <c r="J378" i="36"/>
  <c r="F378" i="36"/>
  <c r="J376" i="36"/>
  <c r="F376" i="36"/>
  <c r="J375" i="36"/>
  <c r="F375" i="36"/>
  <c r="K375" i="36" s="1"/>
  <c r="J373" i="36"/>
  <c r="F373" i="36"/>
  <c r="J372" i="36"/>
  <c r="K372" i="36" s="1"/>
  <c r="E372" i="36"/>
  <c r="J371" i="36"/>
  <c r="K371" i="36" s="1"/>
  <c r="J370" i="36"/>
  <c r="J369" i="36"/>
  <c r="F369" i="36"/>
  <c r="J368" i="36"/>
  <c r="F368" i="36"/>
  <c r="J367" i="36"/>
  <c r="F367" i="36"/>
  <c r="K367" i="36" s="1"/>
  <c r="F366" i="36"/>
  <c r="J365" i="36"/>
  <c r="F365" i="36"/>
  <c r="J364" i="36"/>
  <c r="F364" i="36"/>
  <c r="J363" i="36"/>
  <c r="F363" i="36"/>
  <c r="J362" i="36"/>
  <c r="F362" i="36"/>
  <c r="J361" i="36"/>
  <c r="F361" i="36"/>
  <c r="F360" i="36"/>
  <c r="J359" i="36"/>
  <c r="F359" i="36"/>
  <c r="J358" i="36"/>
  <c r="F358" i="36"/>
  <c r="J356" i="36"/>
  <c r="F356" i="36"/>
  <c r="F352" i="36"/>
  <c r="J351" i="36"/>
  <c r="F351" i="36"/>
  <c r="J350" i="36"/>
  <c r="K350" i="36" s="1"/>
  <c r="J349" i="36"/>
  <c r="F349" i="36"/>
  <c r="J348" i="36"/>
  <c r="F348" i="36"/>
  <c r="J347" i="36"/>
  <c r="F347" i="36"/>
  <c r="J346" i="36"/>
  <c r="F346" i="36"/>
  <c r="F345" i="36"/>
  <c r="J344" i="36"/>
  <c r="F344" i="36"/>
  <c r="J343" i="36"/>
  <c r="F343" i="36"/>
  <c r="J342" i="36"/>
  <c r="F342" i="36"/>
  <c r="J341" i="36"/>
  <c r="F341" i="36"/>
  <c r="F340" i="36"/>
  <c r="F339" i="36"/>
  <c r="F338" i="36"/>
  <c r="F337" i="36"/>
  <c r="F336" i="36"/>
  <c r="J335" i="36"/>
  <c r="F335" i="36"/>
  <c r="J334" i="36"/>
  <c r="F334" i="36"/>
  <c r="J332" i="36"/>
  <c r="F332" i="36"/>
  <c r="J331" i="36"/>
  <c r="K331" i="36" s="1"/>
  <c r="E331" i="36"/>
  <c r="J330" i="36"/>
  <c r="F330" i="36"/>
  <c r="J329" i="36"/>
  <c r="F329" i="36"/>
  <c r="K329" i="36" s="1"/>
  <c r="F328" i="36"/>
  <c r="J327" i="36"/>
  <c r="F327" i="36"/>
  <c r="F326" i="36"/>
  <c r="F325" i="36"/>
  <c r="J324" i="36"/>
  <c r="F324" i="36"/>
  <c r="J323" i="36"/>
  <c r="F323" i="36"/>
  <c r="J322" i="36"/>
  <c r="F322" i="36"/>
  <c r="J321" i="36"/>
  <c r="F321" i="36"/>
  <c r="J320" i="36"/>
  <c r="F320" i="36"/>
  <c r="J319" i="36"/>
  <c r="F319" i="36"/>
  <c r="J318" i="36"/>
  <c r="J317" i="36"/>
  <c r="F317" i="36"/>
  <c r="J316" i="36"/>
  <c r="F316" i="36"/>
  <c r="J313" i="36"/>
  <c r="F313" i="36"/>
  <c r="K313" i="36" s="1"/>
  <c r="J312" i="36"/>
  <c r="F312" i="36"/>
  <c r="J311" i="36"/>
  <c r="F311" i="36"/>
  <c r="K311" i="36" s="1"/>
  <c r="F310" i="36"/>
  <c r="K310" i="36" s="1"/>
  <c r="J309" i="36"/>
  <c r="J308" i="36"/>
  <c r="F308" i="36"/>
  <c r="J307" i="36"/>
  <c r="F307" i="36"/>
  <c r="J306" i="36"/>
  <c r="F306" i="36"/>
  <c r="J305" i="36"/>
  <c r="F305" i="36"/>
  <c r="K305" i="36" s="1"/>
  <c r="J304" i="36"/>
  <c r="K304" i="36" s="1"/>
  <c r="J303" i="36"/>
  <c r="F303" i="36"/>
  <c r="J302" i="36"/>
  <c r="F302" i="36"/>
  <c r="J301" i="36"/>
  <c r="F301" i="36"/>
  <c r="J300" i="36"/>
  <c r="F300" i="36"/>
  <c r="J299" i="36"/>
  <c r="F299" i="36"/>
  <c r="F298" i="36"/>
  <c r="J297" i="36"/>
  <c r="F297" i="36"/>
  <c r="J296" i="36"/>
  <c r="F296" i="36"/>
  <c r="J295" i="36"/>
  <c r="F295" i="36"/>
  <c r="J294" i="36"/>
  <c r="F294" i="36"/>
  <c r="J293" i="36"/>
  <c r="F293" i="36"/>
  <c r="J292" i="36"/>
  <c r="K292" i="36" s="1"/>
  <c r="J291" i="36"/>
  <c r="F291" i="36"/>
  <c r="J290" i="36"/>
  <c r="F290" i="36"/>
  <c r="J289" i="36"/>
  <c r="K289" i="36" s="1"/>
  <c r="J288" i="36"/>
  <c r="F288" i="36"/>
  <c r="J287" i="36"/>
  <c r="F287" i="36"/>
  <c r="K287" i="36" s="1"/>
  <c r="F286" i="36"/>
  <c r="J285" i="36"/>
  <c r="F285" i="36"/>
  <c r="J284" i="36"/>
  <c r="F284" i="36"/>
  <c r="J283" i="36"/>
  <c r="F283" i="36"/>
  <c r="J282" i="36"/>
  <c r="F282" i="36"/>
  <c r="J276" i="36"/>
  <c r="K276" i="36" s="1"/>
  <c r="F276" i="36"/>
  <c r="J274" i="36"/>
  <c r="K274" i="36" s="1"/>
  <c r="J273" i="36"/>
  <c r="F273" i="36"/>
  <c r="F272" i="36"/>
  <c r="J271" i="36"/>
  <c r="F271" i="36"/>
  <c r="J270" i="36"/>
  <c r="F270" i="36"/>
  <c r="J269" i="36"/>
  <c r="F269" i="36"/>
  <c r="F268" i="36"/>
  <c r="K268" i="36" s="1"/>
  <c r="J267" i="36"/>
  <c r="F267" i="36"/>
  <c r="J266" i="36"/>
  <c r="F266" i="36"/>
  <c r="J265" i="36"/>
  <c r="F265" i="36"/>
  <c r="K265" i="36" s="1"/>
  <c r="J264" i="36"/>
  <c r="F264" i="36"/>
  <c r="J262" i="36"/>
  <c r="F262" i="36"/>
  <c r="K262" i="36" s="1"/>
  <c r="J261" i="36"/>
  <c r="F261" i="36"/>
  <c r="K261" i="36" s="1"/>
  <c r="J260" i="36"/>
  <c r="K260" i="36" s="1"/>
  <c r="J259" i="36"/>
  <c r="F259" i="36"/>
  <c r="J258" i="36"/>
  <c r="K258" i="36" s="1"/>
  <c r="J257" i="36"/>
  <c r="F257" i="36"/>
  <c r="J256" i="36"/>
  <c r="F256" i="36"/>
  <c r="K256" i="36" s="1"/>
  <c r="J254" i="36"/>
  <c r="F254" i="36"/>
  <c r="K255" i="36" s="1"/>
  <c r="F249" i="36"/>
  <c r="J248" i="36"/>
  <c r="F248" i="36"/>
  <c r="J247" i="36"/>
  <c r="F247" i="36"/>
  <c r="J246" i="36"/>
  <c r="F246" i="36"/>
  <c r="J245" i="36"/>
  <c r="F245" i="36"/>
  <c r="J244" i="36"/>
  <c r="F244" i="36"/>
  <c r="J243" i="36"/>
  <c r="F243" i="36"/>
  <c r="J242" i="36"/>
  <c r="F242" i="36"/>
  <c r="J241" i="36"/>
  <c r="F241" i="36"/>
  <c r="J240" i="36"/>
  <c r="F240" i="36"/>
  <c r="J239" i="36"/>
  <c r="F239" i="36"/>
  <c r="J238" i="36"/>
  <c r="F238" i="36"/>
  <c r="J237" i="36"/>
  <c r="F237" i="36"/>
  <c r="J236" i="36"/>
  <c r="F236" i="36"/>
  <c r="J235" i="36"/>
  <c r="F235" i="36"/>
  <c r="J234" i="36"/>
  <c r="F234" i="36"/>
  <c r="J232" i="36"/>
  <c r="F232" i="36"/>
  <c r="J231" i="36"/>
  <c r="F231" i="36"/>
  <c r="J230" i="36"/>
  <c r="F230" i="36"/>
  <c r="K230" i="36" s="1"/>
  <c r="F229" i="36"/>
  <c r="K229" i="36" s="1"/>
  <c r="J228" i="36"/>
  <c r="F228" i="36"/>
  <c r="J227" i="36"/>
  <c r="F227" i="36"/>
  <c r="K227" i="36" s="1"/>
  <c r="J225" i="36"/>
  <c r="K225" i="36" s="1"/>
  <c r="J224" i="36"/>
  <c r="F224" i="36"/>
  <c r="J223" i="36"/>
  <c r="F223" i="36"/>
  <c r="J222" i="36"/>
  <c r="F222" i="36"/>
  <c r="J221" i="36"/>
  <c r="F221" i="36"/>
  <c r="J220" i="36"/>
  <c r="F220" i="36"/>
  <c r="J219" i="36"/>
  <c r="F219" i="36"/>
  <c r="F218" i="36"/>
  <c r="K218" i="36" s="1"/>
  <c r="J217" i="36"/>
  <c r="F217" i="36"/>
  <c r="K217" i="36" s="1"/>
  <c r="J216" i="36"/>
  <c r="F216" i="36"/>
  <c r="J215" i="36"/>
  <c r="F215" i="36"/>
  <c r="K215" i="36" s="1"/>
  <c r="F210" i="36"/>
  <c r="J209" i="36"/>
  <c r="J208" i="36"/>
  <c r="F208" i="36"/>
  <c r="J207" i="36"/>
  <c r="F207" i="36"/>
  <c r="J206" i="36"/>
  <c r="F206" i="36"/>
  <c r="J205" i="36"/>
  <c r="F205" i="36"/>
  <c r="F204" i="36"/>
  <c r="F203" i="36"/>
  <c r="J201" i="36"/>
  <c r="F201" i="36"/>
  <c r="F200" i="36"/>
  <c r="J199" i="36"/>
  <c r="F199" i="36"/>
  <c r="J198" i="36"/>
  <c r="F198" i="36"/>
  <c r="J196" i="36"/>
  <c r="J195" i="36"/>
  <c r="F195" i="36"/>
  <c r="J193" i="36"/>
  <c r="F193" i="36"/>
  <c r="J192" i="36"/>
  <c r="F192" i="36"/>
  <c r="J191" i="36"/>
  <c r="F191" i="36"/>
  <c r="J190" i="36"/>
  <c r="J189" i="36"/>
  <c r="F189" i="36"/>
  <c r="J187" i="36"/>
  <c r="F187" i="36"/>
  <c r="J186" i="36"/>
  <c r="F186" i="36"/>
  <c r="J185" i="36"/>
  <c r="F185" i="36"/>
  <c r="J184" i="36"/>
  <c r="F184" i="36"/>
  <c r="J182" i="36"/>
  <c r="F182" i="36"/>
  <c r="J181" i="36"/>
  <c r="F181" i="36"/>
  <c r="J180" i="36"/>
  <c r="K180" i="36" s="1"/>
  <c r="J179" i="36"/>
  <c r="F179" i="36"/>
  <c r="J176" i="36"/>
  <c r="F175" i="36"/>
  <c r="F174" i="36"/>
  <c r="J173" i="36"/>
  <c r="F173" i="36"/>
  <c r="J172" i="36"/>
  <c r="F172" i="36"/>
  <c r="J170" i="36"/>
  <c r="K170" i="36" s="1"/>
  <c r="F169" i="36"/>
  <c r="J168" i="36"/>
  <c r="J167" i="36"/>
  <c r="F167" i="36"/>
  <c r="J166" i="36"/>
  <c r="K166" i="36" s="1"/>
  <c r="J165" i="36"/>
  <c r="F165" i="36"/>
  <c r="J164" i="36"/>
  <c r="F164" i="36"/>
  <c r="J163" i="36"/>
  <c r="F163" i="36"/>
  <c r="J162" i="36"/>
  <c r="F162" i="36"/>
  <c r="J161" i="36"/>
  <c r="F161" i="36"/>
  <c r="J160" i="36"/>
  <c r="K160" i="36" s="1"/>
  <c r="J159" i="36"/>
  <c r="F159" i="36"/>
  <c r="J158" i="36"/>
  <c r="F158" i="36"/>
  <c r="J157" i="36"/>
  <c r="K157" i="36" s="1"/>
  <c r="J156" i="36"/>
  <c r="J155" i="36"/>
  <c r="F155" i="36"/>
  <c r="J154" i="36"/>
  <c r="F154" i="36"/>
  <c r="J153" i="36"/>
  <c r="K153" i="36" s="1"/>
  <c r="F151" i="36"/>
  <c r="J150" i="36"/>
  <c r="K150" i="36" s="1"/>
  <c r="J149" i="36"/>
  <c r="F149" i="36"/>
  <c r="J148" i="36"/>
  <c r="F148" i="36"/>
  <c r="F147" i="36"/>
  <c r="K147" i="36" s="1"/>
  <c r="F146" i="36"/>
  <c r="J146" i="36" s="1"/>
  <c r="J145" i="36"/>
  <c r="F145" i="36"/>
  <c r="J144" i="36"/>
  <c r="F144" i="36"/>
  <c r="F141" i="36"/>
  <c r="J140" i="36"/>
  <c r="E140" i="36"/>
  <c r="J139" i="36"/>
  <c r="K139" i="36" s="1"/>
  <c r="E139" i="36"/>
  <c r="F138" i="36"/>
  <c r="J137" i="36"/>
  <c r="F137" i="36"/>
  <c r="J135" i="36"/>
  <c r="F135" i="36"/>
  <c r="F134" i="36"/>
  <c r="J133" i="36"/>
  <c r="J132" i="36"/>
  <c r="K132" i="36" s="1"/>
  <c r="J131" i="36"/>
  <c r="K131" i="36" s="1"/>
  <c r="E131" i="36"/>
  <c r="J130" i="36"/>
  <c r="F130" i="36"/>
  <c r="J128" i="36"/>
  <c r="K128" i="36" s="1"/>
  <c r="E128" i="36"/>
  <c r="J127" i="36"/>
  <c r="F127" i="36"/>
  <c r="J126" i="36"/>
  <c r="F126" i="36"/>
  <c r="J125" i="36"/>
  <c r="F125" i="36"/>
  <c r="J124" i="36"/>
  <c r="F124" i="36"/>
  <c r="J123" i="36"/>
  <c r="K123" i="36" s="1"/>
  <c r="J122" i="36"/>
  <c r="F122" i="36"/>
  <c r="J121" i="36"/>
  <c r="F121" i="36"/>
  <c r="F120" i="36"/>
  <c r="J119" i="36"/>
  <c r="F119" i="36"/>
  <c r="J118" i="36"/>
  <c r="F118" i="36"/>
  <c r="F117" i="36"/>
  <c r="F116" i="36"/>
  <c r="F115" i="36"/>
  <c r="J114" i="36"/>
  <c r="F114" i="36"/>
  <c r="J113" i="36"/>
  <c r="F113" i="36"/>
  <c r="J111" i="36"/>
  <c r="F111" i="36"/>
  <c r="F110" i="36"/>
  <c r="J109" i="36"/>
  <c r="F109" i="36"/>
  <c r="J108" i="36"/>
  <c r="F108" i="36"/>
  <c r="J107" i="36"/>
  <c r="J106" i="36"/>
  <c r="K106" i="36" s="1"/>
  <c r="E106" i="36"/>
  <c r="J105" i="36"/>
  <c r="F105" i="36"/>
  <c r="E104" i="36"/>
  <c r="J103" i="36"/>
  <c r="K103" i="36" s="1"/>
  <c r="E103" i="36"/>
  <c r="F102" i="36"/>
  <c r="K102" i="36" s="1"/>
  <c r="J101" i="36"/>
  <c r="F101" i="36"/>
  <c r="F100" i="36"/>
  <c r="J99" i="36"/>
  <c r="F99" i="36"/>
  <c r="J98" i="36"/>
  <c r="F98" i="36"/>
  <c r="J97" i="36"/>
  <c r="F97" i="36"/>
  <c r="J96" i="36"/>
  <c r="F96" i="36"/>
  <c r="F95" i="36"/>
  <c r="F94" i="36"/>
  <c r="J93" i="36"/>
  <c r="F93" i="36"/>
  <c r="J92" i="36"/>
  <c r="K92" i="36" s="1"/>
  <c r="F90" i="36"/>
  <c r="F88" i="36"/>
  <c r="F87" i="36"/>
  <c r="F86" i="36"/>
  <c r="F85" i="36"/>
  <c r="D84" i="36"/>
  <c r="D89" i="36" s="1"/>
  <c r="F89" i="36" s="1"/>
  <c r="F81" i="36"/>
  <c r="K79" i="36" s="1"/>
  <c r="D80" i="36"/>
  <c r="J77" i="36"/>
  <c r="K77" i="36" s="1"/>
  <c r="J76" i="36"/>
  <c r="F76" i="36"/>
  <c r="F75" i="36"/>
  <c r="J74" i="36"/>
  <c r="F74" i="36"/>
  <c r="J73" i="36"/>
  <c r="K73" i="36" s="1"/>
  <c r="E73" i="36"/>
  <c r="J72" i="36"/>
  <c r="F71" i="36"/>
  <c r="J70" i="36"/>
  <c r="J69" i="36"/>
  <c r="J68" i="36"/>
  <c r="F68" i="36"/>
  <c r="J67" i="36"/>
  <c r="F67" i="36"/>
  <c r="J66" i="36"/>
  <c r="F66" i="36"/>
  <c r="F61" i="36"/>
  <c r="D59" i="36"/>
  <c r="D60" i="36" s="1"/>
  <c r="F60" i="36" s="1"/>
  <c r="F58" i="36"/>
  <c r="J56" i="36"/>
  <c r="F56" i="36"/>
  <c r="J55" i="36"/>
  <c r="F55" i="36"/>
  <c r="F54" i="36"/>
  <c r="J53" i="36"/>
  <c r="F53" i="36"/>
  <c r="K52" i="36"/>
  <c r="J51" i="36"/>
  <c r="F51" i="36"/>
  <c r="K50" i="36"/>
  <c r="K49" i="36"/>
  <c r="J48" i="36"/>
  <c r="F48" i="36"/>
  <c r="F47" i="36"/>
  <c r="J46" i="36"/>
  <c r="F46" i="36"/>
  <c r="J45" i="36"/>
  <c r="F45" i="36"/>
  <c r="J44" i="36"/>
  <c r="K44" i="36" s="1"/>
  <c r="F43" i="36"/>
  <c r="F42" i="36"/>
  <c r="J41" i="36"/>
  <c r="F41" i="36"/>
  <c r="J40" i="36"/>
  <c r="F40" i="36"/>
  <c r="J39" i="36"/>
  <c r="F39" i="36"/>
  <c r="J37" i="36"/>
  <c r="F37" i="36"/>
  <c r="J36" i="36"/>
  <c r="J35" i="36"/>
  <c r="F35" i="36"/>
  <c r="F29" i="36"/>
  <c r="J28" i="36"/>
  <c r="F28" i="36"/>
  <c r="K27" i="36"/>
  <c r="J27" i="36"/>
  <c r="J26" i="36"/>
  <c r="F26" i="36"/>
  <c r="J25" i="36"/>
  <c r="F25" i="36"/>
  <c r="K25" i="36" s="1"/>
  <c r="J24" i="36"/>
  <c r="F24" i="36"/>
  <c r="J22" i="36"/>
  <c r="K22" i="36" s="1"/>
  <c r="E22" i="36"/>
  <c r="J21" i="36"/>
  <c r="F21" i="36"/>
  <c r="J20" i="36"/>
  <c r="F20" i="36"/>
  <c r="J19" i="36"/>
  <c r="F19" i="36"/>
  <c r="J18" i="36"/>
  <c r="F18" i="36"/>
  <c r="J17" i="36"/>
  <c r="F17" i="36"/>
  <c r="F16" i="36"/>
  <c r="F15" i="36"/>
  <c r="J14" i="36"/>
  <c r="K14" i="36" s="1"/>
  <c r="E14" i="36"/>
  <c r="F13" i="36"/>
  <c r="J12" i="36"/>
  <c r="F12" i="36"/>
  <c r="J11" i="36"/>
  <c r="F11" i="36"/>
  <c r="J10" i="36"/>
  <c r="F10" i="36"/>
  <c r="J9" i="36"/>
  <c r="F9" i="36"/>
  <c r="J8" i="36"/>
  <c r="F8" i="36"/>
  <c r="J7" i="36"/>
  <c r="F7" i="36"/>
  <c r="J6" i="36"/>
  <c r="K6" i="36" s="1"/>
  <c r="J5" i="36"/>
  <c r="F5" i="36"/>
  <c r="J4" i="36"/>
  <c r="K4" i="36" s="1"/>
  <c r="J3" i="36"/>
  <c r="F3" i="36"/>
  <c r="J2" i="36"/>
  <c r="F2" i="36"/>
  <c r="K247" i="36" l="1"/>
  <c r="K307" i="36"/>
  <c r="K161" i="36"/>
  <c r="K45" i="36"/>
  <c r="K105" i="36"/>
  <c r="K121" i="36"/>
  <c r="K163" i="36"/>
  <c r="K209" i="36"/>
  <c r="K19" i="36"/>
  <c r="K21" i="36"/>
  <c r="K24" i="36"/>
  <c r="K28" i="36"/>
  <c r="K66" i="36"/>
  <c r="K114" i="36"/>
  <c r="K122" i="36"/>
  <c r="K135" i="36"/>
  <c r="K181" i="36"/>
  <c r="K707" i="36"/>
  <c r="K710" i="36"/>
  <c r="K697" i="36"/>
  <c r="K380" i="36"/>
  <c r="K699" i="36"/>
  <c r="K283" i="36"/>
  <c r="K740" i="36"/>
  <c r="K299" i="36"/>
  <c r="K364" i="36"/>
  <c r="K417" i="36"/>
  <c r="K419" i="36"/>
  <c r="K421" i="36"/>
  <c r="K539" i="36"/>
  <c r="K628" i="36"/>
  <c r="K726" i="36"/>
  <c r="K755" i="36"/>
  <c r="K428" i="36"/>
  <c r="K231" i="36"/>
  <c r="K327" i="36"/>
  <c r="K363" i="36"/>
  <c r="K393" i="36"/>
  <c r="K405" i="36"/>
  <c r="K472" i="36"/>
  <c r="K578" i="36"/>
  <c r="K599" i="36"/>
  <c r="K9" i="36"/>
  <c r="K11" i="36"/>
  <c r="K37" i="36"/>
  <c r="K40" i="36"/>
  <c r="K98" i="36"/>
  <c r="K206" i="36"/>
  <c r="K219" i="36"/>
  <c r="K221" i="36"/>
  <c r="K301" i="36"/>
  <c r="K341" i="36"/>
  <c r="K358" i="36"/>
  <c r="K369" i="36"/>
  <c r="K464" i="36"/>
  <c r="K500" i="36"/>
  <c r="K563" i="36"/>
  <c r="K565" i="36"/>
  <c r="K638" i="36"/>
  <c r="K686" i="36"/>
  <c r="K559" i="36"/>
  <c r="K158" i="36"/>
  <c r="K167" i="36"/>
  <c r="K179" i="36"/>
  <c r="K308" i="36"/>
  <c r="K342" i="36"/>
  <c r="K553" i="36"/>
  <c r="K562" i="36"/>
  <c r="K586" i="36"/>
  <c r="K593" i="36"/>
  <c r="K639" i="36"/>
  <c r="K645" i="36"/>
  <c r="K656" i="36"/>
  <c r="K672" i="36"/>
  <c r="K130" i="36"/>
  <c r="K185" i="36"/>
  <c r="K187" i="36"/>
  <c r="K420" i="36"/>
  <c r="K7" i="36"/>
  <c r="K8" i="36"/>
  <c r="K113" i="36"/>
  <c r="K223" i="36"/>
  <c r="K346" i="36"/>
  <c r="K362" i="36"/>
  <c r="K67" i="36"/>
  <c r="K248" i="36"/>
  <c r="K453" i="36"/>
  <c r="K468" i="36"/>
  <c r="K390" i="36"/>
  <c r="K633" i="36"/>
  <c r="K497" i="36"/>
  <c r="K5" i="36"/>
  <c r="K35" i="36"/>
  <c r="K111" i="36"/>
  <c r="K144" i="36"/>
  <c r="K228" i="36"/>
  <c r="K232" i="36"/>
  <c r="K235" i="36"/>
  <c r="K239" i="36"/>
  <c r="K254" i="36"/>
  <c r="K321" i="36"/>
  <c r="K330" i="36"/>
  <c r="K332" i="36"/>
  <c r="K335" i="36"/>
  <c r="K396" i="36"/>
  <c r="K427" i="36"/>
  <c r="K452" i="36"/>
  <c r="K455" i="36"/>
  <c r="K495" i="36"/>
  <c r="K546" i="36"/>
  <c r="K636" i="36"/>
  <c r="K690" i="36"/>
  <c r="K693" i="36"/>
  <c r="K46" i="36"/>
  <c r="K155" i="36"/>
  <c r="K193" i="36"/>
  <c r="K519" i="36"/>
  <c r="K2" i="36"/>
  <c r="K18" i="36"/>
  <c r="K39" i="36"/>
  <c r="K68" i="36"/>
  <c r="K101" i="36"/>
  <c r="K119" i="36"/>
  <c r="K125" i="36"/>
  <c r="K127" i="36"/>
  <c r="K154" i="36"/>
  <c r="K195" i="36"/>
  <c r="K201" i="36"/>
  <c r="K207" i="36"/>
  <c r="K240" i="36"/>
  <c r="K244" i="36"/>
  <c r="K246" i="36"/>
  <c r="K269" i="36"/>
  <c r="K271" i="36"/>
  <c r="K284" i="36"/>
  <c r="K291" i="36"/>
  <c r="K293" i="36"/>
  <c r="K295" i="36"/>
  <c r="K347" i="36"/>
  <c r="K379" i="36"/>
  <c r="F388" i="36"/>
  <c r="K384" i="36" s="1"/>
  <c r="K391" i="36"/>
  <c r="K439" i="36"/>
  <c r="K451" i="36"/>
  <c r="K456" i="36"/>
  <c r="K501" i="36"/>
  <c r="K503" i="36"/>
  <c r="K508" i="36"/>
  <c r="K510" i="36"/>
  <c r="K569" i="36"/>
  <c r="K572" i="36"/>
  <c r="K601" i="36"/>
  <c r="K15" i="36"/>
  <c r="K164" i="36"/>
  <c r="K711" i="36"/>
  <c r="K109" i="36"/>
  <c r="K159" i="36"/>
  <c r="K165" i="36"/>
  <c r="K182" i="36"/>
  <c r="K224" i="36"/>
  <c r="K316" i="36"/>
  <c r="K322" i="36"/>
  <c r="K344" i="36"/>
  <c r="K373" i="36"/>
  <c r="K445" i="36"/>
  <c r="G545" i="36"/>
  <c r="K556" i="36"/>
  <c r="K590" i="36"/>
  <c r="K597" i="36"/>
  <c r="K684" i="36"/>
  <c r="K713" i="36"/>
  <c r="K41" i="36"/>
  <c r="K48" i="36"/>
  <c r="K51" i="36"/>
  <c r="K56" i="36"/>
  <c r="K93" i="36"/>
  <c r="K97" i="36"/>
  <c r="K124" i="36"/>
  <c r="K126" i="36"/>
  <c r="K137" i="36"/>
  <c r="K162" i="36"/>
  <c r="K184" i="36"/>
  <c r="K186" i="36"/>
  <c r="K189" i="36"/>
  <c r="K198" i="36"/>
  <c r="K236" i="36"/>
  <c r="K238" i="36"/>
  <c r="K241" i="36"/>
  <c r="K243" i="36"/>
  <c r="K266" i="36"/>
  <c r="K296" i="36"/>
  <c r="K302" i="36"/>
  <c r="K319" i="36"/>
  <c r="K334" i="36"/>
  <c r="K376" i="36"/>
  <c r="K404" i="36"/>
  <c r="K457" i="36"/>
  <c r="K459" i="36"/>
  <c r="K470" i="36"/>
  <c r="K511" i="36"/>
  <c r="K548" i="36"/>
  <c r="K550" i="36"/>
  <c r="K554" i="36"/>
  <c r="K560" i="36"/>
  <c r="K566" i="36"/>
  <c r="K587" i="36"/>
  <c r="K589" i="36"/>
  <c r="K632" i="36"/>
  <c r="K644" i="36"/>
  <c r="K669" i="36"/>
  <c r="K679" i="36"/>
  <c r="K694" i="36"/>
  <c r="K700" i="36"/>
  <c r="K703" i="36"/>
  <c r="F59" i="36"/>
  <c r="K69" i="36"/>
  <c r="K140" i="36"/>
  <c r="K145" i="36"/>
  <c r="K149" i="36"/>
  <c r="K173" i="36"/>
  <c r="K191" i="36"/>
  <c r="K208" i="36"/>
  <c r="K285" i="36"/>
  <c r="K356" i="36"/>
  <c r="K365" i="36"/>
  <c r="K382" i="36"/>
  <c r="F480" i="36"/>
  <c r="K513" i="36"/>
  <c r="K540" i="36"/>
  <c r="K558" i="36"/>
  <c r="F584" i="36"/>
  <c r="K584" i="36" s="1"/>
  <c r="F626" i="36"/>
  <c r="K621" i="36" s="1"/>
  <c r="K641" i="36"/>
  <c r="K3" i="36"/>
  <c r="K10" i="36"/>
  <c r="K55" i="36"/>
  <c r="F84" i="36"/>
  <c r="K96" i="36"/>
  <c r="K99" i="36"/>
  <c r="K237" i="36"/>
  <c r="K245" i="36"/>
  <c r="K259" i="36"/>
  <c r="K270" i="36"/>
  <c r="K290" i="36"/>
  <c r="K297" i="36"/>
  <c r="K306" i="36"/>
  <c r="K317" i="36"/>
  <c r="F412" i="36"/>
  <c r="K412" i="36" s="1"/>
  <c r="K422" i="36"/>
  <c r="K441" i="36"/>
  <c r="K443" i="36"/>
  <c r="K465" i="36"/>
  <c r="K492" i="36"/>
  <c r="K537" i="36"/>
  <c r="K547" i="36"/>
  <c r="K635" i="36"/>
  <c r="K655" i="36"/>
  <c r="K715" i="36"/>
  <c r="K17" i="36"/>
  <c r="K20" i="36"/>
  <c r="K29" i="36"/>
  <c r="K53" i="36"/>
  <c r="K74" i="36"/>
  <c r="K108" i="36"/>
  <c r="K118" i="36"/>
  <c r="K146" i="36"/>
  <c r="K148" i="36"/>
  <c r="K172" i="36"/>
  <c r="K192" i="36"/>
  <c r="K199" i="36"/>
  <c r="K267" i="36"/>
  <c r="K303" i="36"/>
  <c r="K348" i="36"/>
  <c r="K361" i="36"/>
  <c r="K381" i="36"/>
  <c r="K402" i="36"/>
  <c r="K413" i="36"/>
  <c r="K415" i="36"/>
  <c r="K446" i="36"/>
  <c r="K448" i="36"/>
  <c r="K469" i="36"/>
  <c r="K473" i="36"/>
  <c r="F481" i="36"/>
  <c r="F486" i="36" s="1"/>
  <c r="K490" i="36" s="1"/>
  <c r="K502" i="36"/>
  <c r="K512" i="36"/>
  <c r="K570" i="36"/>
  <c r="K640" i="36"/>
  <c r="K671" i="36"/>
  <c r="K351" i="36"/>
  <c r="K359" i="36"/>
  <c r="K205" i="36"/>
  <c r="K282" i="36"/>
  <c r="K349" i="36"/>
  <c r="K403" i="36"/>
  <c r="K418" i="36"/>
  <c r="K629" i="36"/>
  <c r="K216" i="36"/>
  <c r="K222" i="36"/>
  <c r="K234" i="36"/>
  <c r="K242" i="36"/>
  <c r="K257" i="36"/>
  <c r="K288" i="36"/>
  <c r="K294" i="36"/>
  <c r="K312" i="36"/>
  <c r="K378" i="36"/>
  <c r="K424" i="36"/>
  <c r="K449" i="36"/>
  <c r="K509" i="36"/>
  <c r="G544" i="36"/>
  <c r="K631" i="36"/>
  <c r="K652" i="36"/>
  <c r="K730" i="36"/>
  <c r="K264" i="36"/>
  <c r="K273" i="36"/>
  <c r="K300" i="36"/>
  <c r="K320" i="36"/>
  <c r="K343" i="36"/>
  <c r="K352" i="36"/>
  <c r="K458" i="36"/>
  <c r="K552" i="36"/>
  <c r="K564" i="36"/>
  <c r="K637" i="36"/>
  <c r="K647" i="36"/>
  <c r="K681" i="36"/>
  <c r="K698" i="36"/>
  <c r="K709" i="36"/>
  <c r="K727" i="36"/>
  <c r="D406" i="36"/>
  <c r="F406" i="36" s="1"/>
  <c r="F489" i="36" l="1"/>
  <c r="G756" i="32"/>
  <c r="F756" i="32"/>
  <c r="G88" i="32"/>
  <c r="G86" i="32"/>
  <c r="G78" i="32"/>
  <c r="G618" i="32"/>
  <c r="F848" i="35"/>
  <c r="E549" i="35"/>
  <c r="F550" i="35"/>
  <c r="F330" i="35"/>
  <c r="J207" i="35"/>
  <c r="J557" i="35"/>
  <c r="J760" i="35"/>
  <c r="J174" i="35"/>
  <c r="J847" i="35"/>
  <c r="J805" i="35"/>
  <c r="J695" i="35"/>
  <c r="J767" i="35"/>
  <c r="F846" i="35"/>
  <c r="J570" i="35"/>
  <c r="F687" i="35"/>
  <c r="F686" i="35"/>
  <c r="F136" i="35"/>
  <c r="F137" i="35"/>
  <c r="F138" i="35"/>
  <c r="F139" i="35"/>
  <c r="F140" i="35"/>
  <c r="F414" i="35" l="1"/>
  <c r="J506" i="30"/>
  <c r="F90" i="32"/>
  <c r="F89" i="32"/>
  <c r="F105" i="35"/>
  <c r="F432" i="35" l="1"/>
  <c r="K432" i="35" s="1"/>
  <c r="F355" i="35"/>
  <c r="K355" i="35" s="1"/>
  <c r="G539" i="32" l="1"/>
  <c r="G540" i="32"/>
  <c r="F540" i="32"/>
  <c r="F115" i="32"/>
  <c r="F667" i="32"/>
  <c r="K621" i="32"/>
  <c r="F621" i="32"/>
  <c r="F622" i="32"/>
  <c r="J554" i="32" l="1"/>
  <c r="J586" i="32"/>
  <c r="F193" i="35"/>
  <c r="F112" i="35"/>
  <c r="F96" i="35"/>
  <c r="D61" i="35"/>
  <c r="F60" i="35"/>
  <c r="J840" i="35"/>
  <c r="F835" i="35"/>
  <c r="J834" i="35"/>
  <c r="J833" i="35"/>
  <c r="J832" i="35"/>
  <c r="F831" i="35"/>
  <c r="F827" i="35"/>
  <c r="F826" i="35"/>
  <c r="F824" i="35"/>
  <c r="J821" i="35"/>
  <c r="J820" i="35"/>
  <c r="F820" i="35"/>
  <c r="J818" i="35"/>
  <c r="K818" i="35" s="1"/>
  <c r="F816" i="35"/>
  <c r="J815" i="35"/>
  <c r="F815" i="35"/>
  <c r="J813" i="35"/>
  <c r="J812" i="35"/>
  <c r="F812" i="35"/>
  <c r="J811" i="35"/>
  <c r="F811" i="35"/>
  <c r="D810" i="35"/>
  <c r="J809" i="35"/>
  <c r="F809" i="35"/>
  <c r="J808" i="35"/>
  <c r="J807" i="35"/>
  <c r="F806" i="35"/>
  <c r="F805" i="35"/>
  <c r="K805" i="35" s="1"/>
  <c r="J804" i="35"/>
  <c r="K804" i="35" s="1"/>
  <c r="F803" i="35"/>
  <c r="F802" i="35"/>
  <c r="J801" i="35"/>
  <c r="K801" i="35" s="1"/>
  <c r="J800" i="35"/>
  <c r="F800" i="35"/>
  <c r="J798" i="35"/>
  <c r="F798" i="35"/>
  <c r="F797" i="35"/>
  <c r="J796" i="35"/>
  <c r="F796" i="35"/>
  <c r="J793" i="35"/>
  <c r="F793" i="35"/>
  <c r="J792" i="35"/>
  <c r="F792" i="35"/>
  <c r="J790" i="35"/>
  <c r="F790" i="35"/>
  <c r="K786" i="35"/>
  <c r="J785" i="35"/>
  <c r="K785" i="35" s="1"/>
  <c r="E785" i="35"/>
  <c r="K784" i="35"/>
  <c r="J783" i="35"/>
  <c r="F783" i="35"/>
  <c r="F782" i="35"/>
  <c r="J781" i="35"/>
  <c r="J780" i="35"/>
  <c r="F780" i="35"/>
  <c r="J779" i="35"/>
  <c r="F779" i="35"/>
  <c r="J778" i="35"/>
  <c r="F778" i="35"/>
  <c r="J777" i="35"/>
  <c r="F777" i="35"/>
  <c r="F776" i="35"/>
  <c r="J775" i="35"/>
  <c r="F775" i="35"/>
  <c r="J774" i="35"/>
  <c r="F774" i="35"/>
  <c r="J773" i="35"/>
  <c r="F773" i="35"/>
  <c r="J772" i="35"/>
  <c r="J771" i="35"/>
  <c r="K771" i="35" s="1"/>
  <c r="J770" i="35"/>
  <c r="F770" i="35"/>
  <c r="J769" i="35"/>
  <c r="F769" i="35"/>
  <c r="J768" i="35"/>
  <c r="F767" i="35"/>
  <c r="K767" i="35" s="1"/>
  <c r="J766" i="35"/>
  <c r="F766" i="35"/>
  <c r="J765" i="35"/>
  <c r="F765" i="35"/>
  <c r="J764" i="35"/>
  <c r="F764" i="35"/>
  <c r="F763" i="35"/>
  <c r="K763" i="35" s="1"/>
  <c r="J762" i="35"/>
  <c r="K762" i="35" s="1"/>
  <c r="J761" i="35"/>
  <c r="F761" i="35"/>
  <c r="F760" i="35"/>
  <c r="K760" i="35" s="1"/>
  <c r="J759" i="35"/>
  <c r="F759" i="35"/>
  <c r="F756" i="35"/>
  <c r="J752" i="35"/>
  <c r="F752" i="35"/>
  <c r="J750" i="35"/>
  <c r="F750" i="35"/>
  <c r="J749" i="35"/>
  <c r="F749" i="35"/>
  <c r="D748" i="35"/>
  <c r="F748" i="35" s="1"/>
  <c r="J748" i="35" s="1"/>
  <c r="J745" i="35"/>
  <c r="F745" i="35"/>
  <c r="J744" i="35"/>
  <c r="K744" i="35" s="1"/>
  <c r="J743" i="35"/>
  <c r="K743" i="35" s="1"/>
  <c r="J742" i="35"/>
  <c r="F742" i="35"/>
  <c r="J741" i="35"/>
  <c r="F741" i="35"/>
  <c r="J740" i="35"/>
  <c r="F740" i="35"/>
  <c r="J738" i="35"/>
  <c r="K738" i="35" s="1"/>
  <c r="J736" i="35"/>
  <c r="F736" i="35"/>
  <c r="F733" i="35"/>
  <c r="F729" i="35"/>
  <c r="J728" i="35"/>
  <c r="K728" i="35" s="1"/>
  <c r="F728" i="35"/>
  <c r="J727" i="35"/>
  <c r="F727" i="35"/>
  <c r="J726" i="35"/>
  <c r="F726" i="35"/>
  <c r="J723" i="35"/>
  <c r="F723" i="35"/>
  <c r="J722" i="35"/>
  <c r="F722" i="35"/>
  <c r="J721" i="35"/>
  <c r="F721" i="35"/>
  <c r="J720" i="35"/>
  <c r="F720" i="35"/>
  <c r="J719" i="35"/>
  <c r="F719" i="35"/>
  <c r="J718" i="35"/>
  <c r="F718" i="35"/>
  <c r="F708" i="35"/>
  <c r="J707" i="35"/>
  <c r="F707" i="35"/>
  <c r="J706" i="35"/>
  <c r="F706" i="35"/>
  <c r="J705" i="35"/>
  <c r="F705" i="35"/>
  <c r="F702" i="35"/>
  <c r="K702" i="35" s="1"/>
  <c r="F701" i="35"/>
  <c r="D700" i="35"/>
  <c r="F699" i="35"/>
  <c r="F698" i="35"/>
  <c r="F697" i="35"/>
  <c r="F696" i="35"/>
  <c r="F695" i="35"/>
  <c r="J694" i="35"/>
  <c r="K694" i="35" s="1"/>
  <c r="J683" i="35"/>
  <c r="F683" i="35"/>
  <c r="J677" i="35"/>
  <c r="K677" i="35" s="1"/>
  <c r="F672" i="35"/>
  <c r="K672" i="35" s="1"/>
  <c r="F671" i="35"/>
  <c r="K671" i="35" s="1"/>
  <c r="J670" i="35"/>
  <c r="F670" i="35"/>
  <c r="J668" i="35"/>
  <c r="F668" i="35"/>
  <c r="F667" i="35"/>
  <c r="J666" i="35"/>
  <c r="F666" i="35"/>
  <c r="J661" i="35"/>
  <c r="J660" i="35"/>
  <c r="K660" i="35" s="1"/>
  <c r="J659" i="35"/>
  <c r="F659" i="35"/>
  <c r="J658" i="35"/>
  <c r="K658" i="35" s="1"/>
  <c r="J657" i="35"/>
  <c r="J656" i="35"/>
  <c r="F656" i="35"/>
  <c r="J655" i="35"/>
  <c r="F655" i="35"/>
  <c r="J654" i="35"/>
  <c r="F654" i="35"/>
  <c r="K654" i="35" s="1"/>
  <c r="J653" i="35"/>
  <c r="F653" i="35"/>
  <c r="J652" i="35"/>
  <c r="F652" i="35"/>
  <c r="F648" i="35"/>
  <c r="F647" i="35"/>
  <c r="F646" i="35"/>
  <c r="F645" i="35"/>
  <c r="F644" i="35"/>
  <c r="J643" i="35"/>
  <c r="F643" i="35"/>
  <c r="J642" i="35"/>
  <c r="F642" i="35"/>
  <c r="J640" i="35"/>
  <c r="F640" i="35"/>
  <c r="J639" i="35"/>
  <c r="F639" i="35"/>
  <c r="F637" i="35"/>
  <c r="F633" i="35"/>
  <c r="J627" i="35"/>
  <c r="F627" i="35"/>
  <c r="J626" i="35"/>
  <c r="F626" i="35"/>
  <c r="J625" i="35"/>
  <c r="F625" i="35"/>
  <c r="J624" i="35"/>
  <c r="F624" i="35"/>
  <c r="J622" i="35"/>
  <c r="F622" i="35"/>
  <c r="J621" i="35"/>
  <c r="J620" i="35"/>
  <c r="F620" i="35"/>
  <c r="J618" i="35"/>
  <c r="F618" i="35"/>
  <c r="J617" i="35"/>
  <c r="K617" i="35" s="1"/>
  <c r="J616" i="35"/>
  <c r="F616" i="35"/>
  <c r="J615" i="35"/>
  <c r="F615" i="35"/>
  <c r="F613" i="35"/>
  <c r="J612" i="35"/>
  <c r="K612" i="35" s="1"/>
  <c r="J610" i="35"/>
  <c r="F610" i="35"/>
  <c r="J609" i="35"/>
  <c r="J607" i="35"/>
  <c r="F607" i="35"/>
  <c r="K608" i="35" s="1"/>
  <c r="J606" i="35"/>
  <c r="F606" i="35"/>
  <c r="F604" i="35"/>
  <c r="F603" i="35"/>
  <c r="F602" i="35"/>
  <c r="J600" i="35"/>
  <c r="F600" i="35"/>
  <c r="J599" i="35"/>
  <c r="F599" i="35"/>
  <c r="J590" i="35"/>
  <c r="K590" i="35" s="1"/>
  <c r="J589" i="35"/>
  <c r="F589" i="35"/>
  <c r="J588" i="35"/>
  <c r="K588" i="35" s="1"/>
  <c r="J587" i="35"/>
  <c r="K587" i="35" s="1"/>
  <c r="J586" i="35"/>
  <c r="K586" i="35" s="1"/>
  <c r="K573" i="35"/>
  <c r="F571" i="35"/>
  <c r="F570" i="35"/>
  <c r="J568" i="35"/>
  <c r="K568" i="35" s="1"/>
  <c r="J567" i="35"/>
  <c r="K567" i="35" s="1"/>
  <c r="F565" i="35"/>
  <c r="J564" i="35"/>
  <c r="F564" i="35"/>
  <c r="J563" i="35"/>
  <c r="F563" i="35"/>
  <c r="J562" i="35"/>
  <c r="F562" i="35"/>
  <c r="J561" i="35"/>
  <c r="F561" i="35"/>
  <c r="J560" i="35"/>
  <c r="F560" i="35"/>
  <c r="J559" i="35"/>
  <c r="F559" i="35"/>
  <c r="J558" i="35"/>
  <c r="K558" i="35" s="1"/>
  <c r="J556" i="35"/>
  <c r="F556" i="35"/>
  <c r="J555" i="35"/>
  <c r="F555" i="35"/>
  <c r="J554" i="35"/>
  <c r="F554" i="35"/>
  <c r="J553" i="35"/>
  <c r="K553" i="35" s="1"/>
  <c r="F553" i="35"/>
  <c r="J552" i="35"/>
  <c r="K552" i="35" s="1"/>
  <c r="J551" i="35"/>
  <c r="F551" i="35"/>
  <c r="J550" i="35"/>
  <c r="J549" i="35"/>
  <c r="K549" i="35" s="1"/>
  <c r="J544" i="35"/>
  <c r="F544" i="35"/>
  <c r="F543" i="35"/>
  <c r="J542" i="35"/>
  <c r="F538" i="35"/>
  <c r="F537" i="35"/>
  <c r="F535" i="35"/>
  <c r="F534" i="35"/>
  <c r="F533" i="35"/>
  <c r="F532" i="35"/>
  <c r="D530" i="35"/>
  <c r="D531" i="35" s="1"/>
  <c r="D536" i="35" s="1"/>
  <c r="D539" i="35" s="1"/>
  <c r="D541" i="35" s="1"/>
  <c r="F529" i="35"/>
  <c r="F528" i="35"/>
  <c r="F527" i="35"/>
  <c r="F526" i="35"/>
  <c r="F525" i="35"/>
  <c r="J523" i="35"/>
  <c r="K523" i="35" s="1"/>
  <c r="F523" i="35"/>
  <c r="J522" i="35"/>
  <c r="F522" i="35"/>
  <c r="J521" i="35"/>
  <c r="F521" i="35"/>
  <c r="F520" i="35"/>
  <c r="J519" i="35"/>
  <c r="F519" i="35"/>
  <c r="J518" i="35"/>
  <c r="F518" i="35"/>
  <c r="J517" i="35"/>
  <c r="F517" i="35"/>
  <c r="J516" i="35"/>
  <c r="K516" i="35" s="1"/>
  <c r="E516" i="35"/>
  <c r="F515" i="35"/>
  <c r="K515" i="35" s="1"/>
  <c r="J512" i="35"/>
  <c r="F512" i="35"/>
  <c r="J511" i="35"/>
  <c r="F511" i="35"/>
  <c r="F509" i="35"/>
  <c r="K509" i="35" s="1"/>
  <c r="K506" i="35"/>
  <c r="J505" i="35"/>
  <c r="F505" i="35"/>
  <c r="J504" i="35"/>
  <c r="F504" i="35"/>
  <c r="J503" i="35"/>
  <c r="F503" i="35"/>
  <c r="J501" i="35"/>
  <c r="F501" i="35"/>
  <c r="K502" i="35" s="1"/>
  <c r="F500" i="35"/>
  <c r="J499" i="35"/>
  <c r="J498" i="35"/>
  <c r="F498" i="35"/>
  <c r="J497" i="35"/>
  <c r="F497" i="35"/>
  <c r="F495" i="35"/>
  <c r="J493" i="35"/>
  <c r="F493" i="35"/>
  <c r="J492" i="35"/>
  <c r="F492" i="35"/>
  <c r="J491" i="35"/>
  <c r="K491" i="35" s="1"/>
  <c r="J490" i="35"/>
  <c r="F490" i="35"/>
  <c r="J489" i="35"/>
  <c r="F489" i="35"/>
  <c r="F488" i="35"/>
  <c r="J487" i="35"/>
  <c r="F487" i="35"/>
  <c r="F464" i="35"/>
  <c r="J463" i="35"/>
  <c r="F463" i="35"/>
  <c r="J462" i="35"/>
  <c r="K462" i="35" s="1"/>
  <c r="J461" i="35"/>
  <c r="K461" i="35" s="1"/>
  <c r="J460" i="35"/>
  <c r="F460" i="35"/>
  <c r="F457" i="35"/>
  <c r="K457" i="35" s="1"/>
  <c r="J456" i="35"/>
  <c r="F456" i="35"/>
  <c r="J455" i="35"/>
  <c r="F455" i="35"/>
  <c r="J454" i="35"/>
  <c r="F454" i="35"/>
  <c r="J453" i="35"/>
  <c r="F453" i="35"/>
  <c r="J452" i="35"/>
  <c r="F452" i="35"/>
  <c r="J451" i="35"/>
  <c r="F451" i="35"/>
  <c r="F450" i="35"/>
  <c r="J449" i="35"/>
  <c r="F449" i="35"/>
  <c r="J448" i="35"/>
  <c r="K448" i="35" s="1"/>
  <c r="J446" i="35"/>
  <c r="F446" i="35"/>
  <c r="J445" i="35"/>
  <c r="F444" i="35"/>
  <c r="F443" i="35"/>
  <c r="F442" i="35"/>
  <c r="F441" i="35"/>
  <c r="F440" i="35"/>
  <c r="K440" i="35" s="1"/>
  <c r="J437" i="35"/>
  <c r="J436" i="35"/>
  <c r="F436" i="35"/>
  <c r="J435" i="35"/>
  <c r="F435" i="35"/>
  <c r="J434" i="35"/>
  <c r="F434" i="35"/>
  <c r="J433" i="35"/>
  <c r="K433" i="35" s="1"/>
  <c r="J431" i="35"/>
  <c r="F431" i="35"/>
  <c r="K429" i="35"/>
  <c r="J428" i="35"/>
  <c r="F428" i="35"/>
  <c r="F427" i="35"/>
  <c r="J426" i="35"/>
  <c r="F426" i="35"/>
  <c r="J425" i="35"/>
  <c r="F425" i="35"/>
  <c r="J423" i="35"/>
  <c r="D423" i="35"/>
  <c r="F421" i="35"/>
  <c r="F420" i="35"/>
  <c r="F419" i="35"/>
  <c r="F418" i="35"/>
  <c r="J417" i="35"/>
  <c r="F417" i="35"/>
  <c r="J416" i="35"/>
  <c r="F416" i="35"/>
  <c r="J415" i="35"/>
  <c r="F415" i="35"/>
  <c r="F411" i="35"/>
  <c r="J410" i="35"/>
  <c r="F410" i="35"/>
  <c r="J408" i="35"/>
  <c r="F408" i="35"/>
  <c r="J407" i="35"/>
  <c r="F407" i="35"/>
  <c r="F405" i="35"/>
  <c r="J404" i="35"/>
  <c r="K404" i="35" s="1"/>
  <c r="E404" i="35"/>
  <c r="J403" i="35"/>
  <c r="K403" i="35" s="1"/>
  <c r="F401" i="35"/>
  <c r="F400" i="35"/>
  <c r="J399" i="35"/>
  <c r="F399" i="35"/>
  <c r="F398" i="35"/>
  <c r="J397" i="35"/>
  <c r="F397" i="35"/>
  <c r="J396" i="35"/>
  <c r="F396" i="35"/>
  <c r="J395" i="35"/>
  <c r="F395" i="35"/>
  <c r="J393" i="35"/>
  <c r="F393" i="35"/>
  <c r="J389" i="35"/>
  <c r="F389" i="35"/>
  <c r="F388" i="35"/>
  <c r="J387" i="35"/>
  <c r="F387" i="35"/>
  <c r="F385" i="35"/>
  <c r="J380" i="35"/>
  <c r="F380" i="35"/>
  <c r="J378" i="35"/>
  <c r="F378" i="35"/>
  <c r="J377" i="35"/>
  <c r="F377" i="35"/>
  <c r="J376" i="35"/>
  <c r="K376" i="35" s="1"/>
  <c r="J375" i="35"/>
  <c r="F375" i="35"/>
  <c r="J374" i="35"/>
  <c r="F374" i="35"/>
  <c r="J373" i="35"/>
  <c r="F373" i="35"/>
  <c r="J372" i="35"/>
  <c r="F372" i="35"/>
  <c r="F369" i="35"/>
  <c r="J368" i="35"/>
  <c r="F368" i="35"/>
  <c r="J367" i="35"/>
  <c r="F367" i="35"/>
  <c r="J366" i="35"/>
  <c r="F366" i="35"/>
  <c r="J365" i="35"/>
  <c r="F365" i="35"/>
  <c r="F364" i="35"/>
  <c r="F363" i="35"/>
  <c r="F362" i="35"/>
  <c r="J361" i="35"/>
  <c r="F361" i="35"/>
  <c r="J359" i="35"/>
  <c r="F359" i="35"/>
  <c r="J358" i="35"/>
  <c r="K358" i="35" s="1"/>
  <c r="E358" i="35"/>
  <c r="J357" i="35"/>
  <c r="F357" i="35"/>
  <c r="J356" i="35"/>
  <c r="F356" i="35"/>
  <c r="F354" i="35"/>
  <c r="F353" i="35"/>
  <c r="J352" i="35"/>
  <c r="K352" i="35" s="1"/>
  <c r="F352" i="35"/>
  <c r="J351" i="35"/>
  <c r="F351" i="35"/>
  <c r="J350" i="35"/>
  <c r="F350" i="35"/>
  <c r="J349" i="35"/>
  <c r="F349" i="35"/>
  <c r="J347" i="35"/>
  <c r="F347" i="35"/>
  <c r="K348" i="35" s="1"/>
  <c r="J346" i="35"/>
  <c r="F346" i="35"/>
  <c r="J345" i="35"/>
  <c r="J344" i="35"/>
  <c r="F344" i="35"/>
  <c r="J343" i="35"/>
  <c r="F343" i="35"/>
  <c r="J340" i="35"/>
  <c r="F340" i="35"/>
  <c r="J339" i="35"/>
  <c r="F339" i="35"/>
  <c r="J338" i="35"/>
  <c r="F338" i="35"/>
  <c r="F337" i="35"/>
  <c r="K337" i="35" s="1"/>
  <c r="J336" i="35"/>
  <c r="J335" i="35"/>
  <c r="F335" i="35"/>
  <c r="J334" i="35"/>
  <c r="F334" i="35"/>
  <c r="J333" i="35"/>
  <c r="F333" i="35"/>
  <c r="J332" i="35"/>
  <c r="F332" i="35"/>
  <c r="J331" i="35"/>
  <c r="K331" i="35" s="1"/>
  <c r="J329" i="35"/>
  <c r="F329" i="35"/>
  <c r="J328" i="35"/>
  <c r="F328" i="35"/>
  <c r="J326" i="35"/>
  <c r="F326" i="35"/>
  <c r="J324" i="35"/>
  <c r="F324" i="35"/>
  <c r="J323" i="35"/>
  <c r="F323" i="35"/>
  <c r="F322" i="35"/>
  <c r="J321" i="35"/>
  <c r="F321" i="35"/>
  <c r="J320" i="35"/>
  <c r="F320" i="35"/>
  <c r="J319" i="35"/>
  <c r="F319" i="35"/>
  <c r="J318" i="35"/>
  <c r="F318" i="35"/>
  <c r="J317" i="35"/>
  <c r="K317" i="35" s="1"/>
  <c r="J316" i="35"/>
  <c r="F316" i="35"/>
  <c r="J315" i="35"/>
  <c r="F315" i="35"/>
  <c r="J313" i="35"/>
  <c r="K313" i="35" s="1"/>
  <c r="J312" i="35"/>
  <c r="F311" i="35"/>
  <c r="J310" i="35"/>
  <c r="F310" i="35"/>
  <c r="J309" i="35"/>
  <c r="F309" i="35"/>
  <c r="J308" i="35"/>
  <c r="F308" i="35"/>
  <c r="J307" i="35"/>
  <c r="F307" i="35"/>
  <c r="J303" i="35"/>
  <c r="F303" i="35"/>
  <c r="J301" i="35"/>
  <c r="K301" i="35" s="1"/>
  <c r="J300" i="35"/>
  <c r="F300" i="35"/>
  <c r="F299" i="35"/>
  <c r="J298" i="35"/>
  <c r="F298" i="35"/>
  <c r="J297" i="35"/>
  <c r="F297" i="35"/>
  <c r="J296" i="35"/>
  <c r="F296" i="35"/>
  <c r="F295" i="35"/>
  <c r="K295" i="35" s="1"/>
  <c r="J294" i="35"/>
  <c r="F294" i="35"/>
  <c r="J293" i="35"/>
  <c r="F293" i="35"/>
  <c r="J291" i="35"/>
  <c r="F291" i="35"/>
  <c r="J289" i="35"/>
  <c r="F289" i="35"/>
  <c r="J288" i="35"/>
  <c r="F288" i="35"/>
  <c r="J287" i="35"/>
  <c r="K287" i="35" s="1"/>
  <c r="J286" i="35"/>
  <c r="F286" i="35"/>
  <c r="J285" i="35"/>
  <c r="K285" i="35" s="1"/>
  <c r="J284" i="35"/>
  <c r="F284" i="35"/>
  <c r="J283" i="35"/>
  <c r="F283" i="35"/>
  <c r="F282" i="35"/>
  <c r="F277" i="35"/>
  <c r="J276" i="35"/>
  <c r="F276" i="35"/>
  <c r="J275" i="35"/>
  <c r="F275" i="35"/>
  <c r="J274" i="35"/>
  <c r="F274" i="35"/>
  <c r="J273" i="35"/>
  <c r="F273" i="35"/>
  <c r="J272" i="35"/>
  <c r="F272" i="35"/>
  <c r="J271" i="35"/>
  <c r="F271" i="35"/>
  <c r="J270" i="35"/>
  <c r="F270" i="35"/>
  <c r="J269" i="35"/>
  <c r="F269" i="35"/>
  <c r="J268" i="35"/>
  <c r="F268" i="35"/>
  <c r="J267" i="35"/>
  <c r="F267" i="35"/>
  <c r="J264" i="35"/>
  <c r="F264" i="35"/>
  <c r="J263" i="35"/>
  <c r="F263" i="35"/>
  <c r="J262" i="35"/>
  <c r="F262" i="35"/>
  <c r="J261" i="35"/>
  <c r="F261" i="35"/>
  <c r="J260" i="35"/>
  <c r="F260" i="35"/>
  <c r="F256" i="35"/>
  <c r="J255" i="35"/>
  <c r="F255" i="35"/>
  <c r="J254" i="35"/>
  <c r="F254" i="35"/>
  <c r="K254" i="35" s="1"/>
  <c r="F253" i="35"/>
  <c r="K253" i="35" s="1"/>
  <c r="J252" i="35"/>
  <c r="F252" i="35"/>
  <c r="J251" i="35"/>
  <c r="F251" i="35"/>
  <c r="J250" i="35"/>
  <c r="F250" i="35"/>
  <c r="J249" i="35"/>
  <c r="F249" i="35"/>
  <c r="J248" i="35"/>
  <c r="F248" i="35"/>
  <c r="J247" i="35"/>
  <c r="F247" i="35"/>
  <c r="J245" i="35"/>
  <c r="F245" i="35"/>
  <c r="F244" i="35"/>
  <c r="K244" i="35" s="1"/>
  <c r="J243" i="35"/>
  <c r="F243" i="35"/>
  <c r="J242" i="35"/>
  <c r="F242" i="35"/>
  <c r="J241" i="35"/>
  <c r="F241" i="35"/>
  <c r="F235" i="35"/>
  <c r="J234" i="35"/>
  <c r="J233" i="35"/>
  <c r="F233" i="35"/>
  <c r="J232" i="35"/>
  <c r="F232" i="35"/>
  <c r="J231" i="35"/>
  <c r="F231" i="35"/>
  <c r="J230" i="35"/>
  <c r="F230" i="35"/>
  <c r="F229" i="35"/>
  <c r="F228" i="35"/>
  <c r="J226" i="35"/>
  <c r="F226" i="35"/>
  <c r="F225" i="35"/>
  <c r="J224" i="35"/>
  <c r="F224" i="35"/>
  <c r="J223" i="35"/>
  <c r="F223" i="35"/>
  <c r="J221" i="35"/>
  <c r="J220" i="35"/>
  <c r="F220" i="35"/>
  <c r="J218" i="35"/>
  <c r="F218" i="35"/>
  <c r="J217" i="35"/>
  <c r="F217" i="35"/>
  <c r="J216" i="35"/>
  <c r="F216" i="35"/>
  <c r="F214" i="35"/>
  <c r="K214" i="35" s="1"/>
  <c r="J212" i="35"/>
  <c r="F212" i="35"/>
  <c r="J210" i="35"/>
  <c r="F210" i="35"/>
  <c r="J209" i="35"/>
  <c r="F209" i="35"/>
  <c r="J208" i="35"/>
  <c r="F208" i="35"/>
  <c r="F207" i="35"/>
  <c r="J203" i="35"/>
  <c r="F203" i="35"/>
  <c r="J202" i="35"/>
  <c r="K202" i="35" s="1"/>
  <c r="J201" i="35"/>
  <c r="F201" i="35"/>
  <c r="F200" i="35"/>
  <c r="F199" i="35"/>
  <c r="J198" i="35"/>
  <c r="F198" i="35"/>
  <c r="J197" i="35"/>
  <c r="F197" i="35"/>
  <c r="J195" i="35"/>
  <c r="K195" i="35" s="1"/>
  <c r="J193" i="35"/>
  <c r="J192" i="35"/>
  <c r="K192" i="35" s="1"/>
  <c r="J191" i="35"/>
  <c r="F191" i="35"/>
  <c r="J190" i="35"/>
  <c r="F190" i="35"/>
  <c r="J189" i="35"/>
  <c r="F189" i="35"/>
  <c r="J188" i="35"/>
  <c r="F188" i="35"/>
  <c r="J187" i="35"/>
  <c r="F187" i="35"/>
  <c r="J186" i="35"/>
  <c r="K186" i="35" s="1"/>
  <c r="J184" i="35"/>
  <c r="F184" i="35"/>
  <c r="F181" i="35"/>
  <c r="J180" i="35"/>
  <c r="K180" i="35" s="1"/>
  <c r="J179" i="35"/>
  <c r="J178" i="35"/>
  <c r="F178" i="35"/>
  <c r="J177" i="35"/>
  <c r="F177" i="35"/>
  <c r="J176" i="35"/>
  <c r="K176" i="35" s="1"/>
  <c r="F174" i="35"/>
  <c r="K174" i="35" s="1"/>
  <c r="J173" i="35"/>
  <c r="K173" i="35" s="1"/>
  <c r="J172" i="35"/>
  <c r="F172" i="35"/>
  <c r="J171" i="35"/>
  <c r="F171" i="35"/>
  <c r="F170" i="35"/>
  <c r="J169" i="35"/>
  <c r="F169" i="35"/>
  <c r="J168" i="35"/>
  <c r="F168" i="35"/>
  <c r="F165" i="35"/>
  <c r="E164" i="35"/>
  <c r="J163" i="35"/>
  <c r="K163" i="35" s="1"/>
  <c r="E163" i="35"/>
  <c r="F161" i="35"/>
  <c r="J160" i="35"/>
  <c r="F160" i="35"/>
  <c r="J158" i="35"/>
  <c r="F158" i="35"/>
  <c r="F156" i="35"/>
  <c r="J154" i="35"/>
  <c r="K154" i="35" s="1"/>
  <c r="J152" i="35"/>
  <c r="K152" i="35" s="1"/>
  <c r="E152" i="35"/>
  <c r="J151" i="35"/>
  <c r="F151" i="35"/>
  <c r="K150" i="35"/>
  <c r="E150" i="35"/>
  <c r="J149" i="35"/>
  <c r="F149" i="35"/>
  <c r="J148" i="35"/>
  <c r="F148" i="35"/>
  <c r="J147" i="35"/>
  <c r="F147" i="35"/>
  <c r="J146" i="35"/>
  <c r="F146" i="35"/>
  <c r="J145" i="35"/>
  <c r="K145" i="35" s="1"/>
  <c r="J144" i="35"/>
  <c r="F144" i="35"/>
  <c r="J143" i="35"/>
  <c r="F142" i="35"/>
  <c r="J141" i="35"/>
  <c r="F141" i="35"/>
  <c r="J135" i="35"/>
  <c r="F135" i="35"/>
  <c r="F133" i="35"/>
  <c r="K133" i="35" s="1"/>
  <c r="F132" i="35"/>
  <c r="J131" i="35"/>
  <c r="F131" i="35"/>
  <c r="J130" i="35"/>
  <c r="F130" i="35"/>
  <c r="J128" i="35"/>
  <c r="F128" i="35"/>
  <c r="F127" i="35"/>
  <c r="J126" i="35"/>
  <c r="F126" i="35"/>
  <c r="J125" i="35"/>
  <c r="F125" i="35"/>
  <c r="K124" i="35"/>
  <c r="E124" i="35"/>
  <c r="J123" i="35"/>
  <c r="F123" i="35"/>
  <c r="E122" i="35"/>
  <c r="J116" i="35"/>
  <c r="K116" i="35" s="1"/>
  <c r="F115" i="35"/>
  <c r="K115" i="35" s="1"/>
  <c r="J114" i="35"/>
  <c r="F114" i="35"/>
  <c r="F113" i="35"/>
  <c r="J112" i="35"/>
  <c r="J111" i="35"/>
  <c r="F111" i="35"/>
  <c r="J110" i="35"/>
  <c r="F110" i="35"/>
  <c r="J109" i="35"/>
  <c r="F109" i="35"/>
  <c r="J106" i="35"/>
  <c r="F106" i="35"/>
  <c r="J104" i="35"/>
  <c r="K104" i="35" s="1"/>
  <c r="F102" i="35"/>
  <c r="F91" i="35"/>
  <c r="K89" i="35" s="1"/>
  <c r="D90" i="35"/>
  <c r="J87" i="35"/>
  <c r="K87" i="35" s="1"/>
  <c r="J85" i="35"/>
  <c r="F85" i="35"/>
  <c r="F77" i="35"/>
  <c r="F76" i="35"/>
  <c r="J75" i="35"/>
  <c r="K75" i="35" s="1"/>
  <c r="E75" i="35"/>
  <c r="J74" i="35"/>
  <c r="F73" i="35"/>
  <c r="J72" i="35"/>
  <c r="F72" i="35"/>
  <c r="J70" i="35"/>
  <c r="F70" i="35"/>
  <c r="K71" i="35" s="1"/>
  <c r="J69" i="35"/>
  <c r="F69" i="35"/>
  <c r="F64" i="35"/>
  <c r="J59" i="35"/>
  <c r="F59" i="35"/>
  <c r="F58" i="35"/>
  <c r="J57" i="35"/>
  <c r="F57" i="35"/>
  <c r="K56" i="35"/>
  <c r="J55" i="35"/>
  <c r="F55" i="35"/>
  <c r="K54" i="35"/>
  <c r="K53" i="35"/>
  <c r="J51" i="35"/>
  <c r="F51" i="35"/>
  <c r="F49" i="35"/>
  <c r="J48" i="35"/>
  <c r="F48" i="35"/>
  <c r="J47" i="35"/>
  <c r="F47" i="35"/>
  <c r="J46" i="35"/>
  <c r="K46" i="35" s="1"/>
  <c r="F45" i="35"/>
  <c r="F44" i="35"/>
  <c r="J43" i="35"/>
  <c r="F43" i="35"/>
  <c r="J42" i="35"/>
  <c r="F42" i="35"/>
  <c r="J41" i="35"/>
  <c r="F41" i="35"/>
  <c r="J39" i="35"/>
  <c r="F39" i="35"/>
  <c r="F37" i="35"/>
  <c r="K37" i="35" s="1"/>
  <c r="J34" i="35"/>
  <c r="F34" i="35"/>
  <c r="J33" i="35"/>
  <c r="F33" i="35"/>
  <c r="K32" i="35"/>
  <c r="J32" i="35"/>
  <c r="J30" i="35"/>
  <c r="F30" i="35"/>
  <c r="J29" i="35"/>
  <c r="F29" i="35"/>
  <c r="K29" i="35" s="1"/>
  <c r="J28" i="35"/>
  <c r="F28" i="35"/>
  <c r="J25" i="35"/>
  <c r="K25" i="35" s="1"/>
  <c r="E25" i="35"/>
  <c r="J24" i="35"/>
  <c r="F24" i="35"/>
  <c r="J23" i="35"/>
  <c r="F23" i="35"/>
  <c r="J22" i="35"/>
  <c r="F22" i="35"/>
  <c r="J21" i="35"/>
  <c r="F21" i="35"/>
  <c r="J19" i="35"/>
  <c r="F19" i="35"/>
  <c r="J17" i="35"/>
  <c r="K17" i="35" s="1"/>
  <c r="E17" i="35"/>
  <c r="F16" i="35"/>
  <c r="J15" i="35"/>
  <c r="F15" i="35"/>
  <c r="J14" i="35"/>
  <c r="F14" i="35"/>
  <c r="J13" i="35"/>
  <c r="F13" i="35"/>
  <c r="J12" i="35"/>
  <c r="F12" i="35"/>
  <c r="J11" i="35"/>
  <c r="F11" i="35"/>
  <c r="J10" i="35"/>
  <c r="F10" i="35"/>
  <c r="J9" i="35"/>
  <c r="K9" i="35" s="1"/>
  <c r="F8" i="35"/>
  <c r="J7" i="35"/>
  <c r="K7" i="35" s="1"/>
  <c r="J3" i="35"/>
  <c r="F3" i="35"/>
  <c r="J2" i="35"/>
  <c r="F2" i="35"/>
  <c r="K752" i="35" l="1"/>
  <c r="H79" i="35"/>
  <c r="G79" i="35" s="1"/>
  <c r="F61" i="35"/>
  <c r="D63" i="35"/>
  <c r="F63" i="35" s="1"/>
  <c r="F402" i="35"/>
  <c r="K729" i="35"/>
  <c r="K809" i="35"/>
  <c r="F650" i="35"/>
  <c r="K650" i="35" s="1"/>
  <c r="K456" i="35"/>
  <c r="K765" i="35"/>
  <c r="K106" i="35"/>
  <c r="K362" i="35"/>
  <c r="K198" i="35"/>
  <c r="K247" i="35"/>
  <c r="K775" i="35"/>
  <c r="K378" i="35"/>
  <c r="K602" i="35"/>
  <c r="K329" i="35"/>
  <c r="K570" i="35"/>
  <c r="K659" i="35"/>
  <c r="K624" i="35"/>
  <c r="K790" i="35"/>
  <c r="K811" i="35"/>
  <c r="K606" i="35"/>
  <c r="K770" i="35"/>
  <c r="K405" i="35"/>
  <c r="K366" i="35"/>
  <c r="K335" i="35"/>
  <c r="K346" i="35"/>
  <c r="K349" i="35"/>
  <c r="K326" i="35"/>
  <c r="K320" i="35"/>
  <c r="K255" i="35"/>
  <c r="K262" i="35"/>
  <c r="K272" i="35"/>
  <c r="K616" i="35"/>
  <c r="K243" i="35"/>
  <c r="K231" i="35"/>
  <c r="K764" i="35"/>
  <c r="K268" i="35"/>
  <c r="K426" i="35"/>
  <c r="K499" i="35"/>
  <c r="K503" i="35"/>
  <c r="K555" i="35"/>
  <c r="K705" i="35"/>
  <c r="K761" i="35"/>
  <c r="K143" i="35"/>
  <c r="K434" i="35"/>
  <c r="K436" i="35"/>
  <c r="K670" i="35"/>
  <c r="K740" i="35"/>
  <c r="K742" i="35"/>
  <c r="K749" i="35"/>
  <c r="K778" i="35"/>
  <c r="K780" i="35"/>
  <c r="K190" i="35"/>
  <c r="K282" i="35"/>
  <c r="K293" i="35"/>
  <c r="K332" i="35"/>
  <c r="K343" i="35"/>
  <c r="K395" i="35"/>
  <c r="K615" i="35"/>
  <c r="K639" i="35"/>
  <c r="K642" i="35"/>
  <c r="K643" i="35"/>
  <c r="K719" i="35"/>
  <c r="K723" i="35"/>
  <c r="K727" i="35"/>
  <c r="K777" i="35"/>
  <c r="K800" i="35"/>
  <c r="K158" i="35"/>
  <c r="K512" i="35"/>
  <c r="K3" i="35"/>
  <c r="K13" i="35"/>
  <c r="K19" i="35"/>
  <c r="K168" i="35"/>
  <c r="K191" i="35"/>
  <c r="K201" i="35"/>
  <c r="K220" i="35"/>
  <c r="K256" i="35"/>
  <c r="K267" i="35"/>
  <c r="K396" i="35"/>
  <c r="F423" i="35"/>
  <c r="K419" i="35" s="1"/>
  <c r="K451" i="35"/>
  <c r="K489" i="35"/>
  <c r="K599" i="35"/>
  <c r="K759" i="35"/>
  <c r="K798" i="35"/>
  <c r="K273" i="35"/>
  <c r="K296" i="35"/>
  <c r="K307" i="35"/>
  <c r="K309" i="35"/>
  <c r="K350" i="35"/>
  <c r="K385" i="35"/>
  <c r="K407" i="35"/>
  <c r="K415" i="35"/>
  <c r="K431" i="35"/>
  <c r="K463" i="35"/>
  <c r="K487" i="35"/>
  <c r="K505" i="35"/>
  <c r="K511" i="35"/>
  <c r="K126" i="35"/>
  <c r="K39" i="35"/>
  <c r="K42" i="35"/>
  <c r="K128" i="35"/>
  <c r="K147" i="35"/>
  <c r="K151" i="35"/>
  <c r="K164" i="35"/>
  <c r="K178" i="35"/>
  <c r="K188" i="35"/>
  <c r="K197" i="35"/>
  <c r="K207" i="35"/>
  <c r="K242" i="35"/>
  <c r="K252" i="35"/>
  <c r="K275" i="35"/>
  <c r="K357" i="35"/>
  <c r="K359" i="35"/>
  <c r="K372" i="35"/>
  <c r="K411" i="35"/>
  <c r="K453" i="35"/>
  <c r="K497" i="35"/>
  <c r="K750" i="35"/>
  <c r="K234" i="35"/>
  <c r="K368" i="35"/>
  <c r="K613" i="35"/>
  <c r="K656" i="35"/>
  <c r="K14" i="35"/>
  <c r="K208" i="35"/>
  <c r="K210" i="35"/>
  <c r="K216" i="35"/>
  <c r="K223" i="35"/>
  <c r="K249" i="35"/>
  <c r="K251" i="35"/>
  <c r="K294" i="35"/>
  <c r="K347" i="35"/>
  <c r="K356" i="35"/>
  <c r="K373" i="35"/>
  <c r="K375" i="35"/>
  <c r="K380" i="35"/>
  <c r="K387" i="35"/>
  <c r="K428" i="35"/>
  <c r="K435" i="35"/>
  <c r="K454" i="35"/>
  <c r="K501" i="35"/>
  <c r="K519" i="35"/>
  <c r="K554" i="35"/>
  <c r="K589" i="35"/>
  <c r="K627" i="35"/>
  <c r="K653" i="35"/>
  <c r="K655" i="35"/>
  <c r="K736" i="35"/>
  <c r="K114" i="35"/>
  <c r="K112" i="35"/>
  <c r="K110" i="35"/>
  <c r="K12" i="35"/>
  <c r="K23" i="35"/>
  <c r="K48" i="35"/>
  <c r="K55" i="35"/>
  <c r="K271" i="35"/>
  <c r="K625" i="35"/>
  <c r="K796" i="35"/>
  <c r="K24" i="35"/>
  <c r="K59" i="35"/>
  <c r="K123" i="35"/>
  <c r="K130" i="35"/>
  <c r="K141" i="35"/>
  <c r="K146" i="35"/>
  <c r="K148" i="35"/>
  <c r="K177" i="35"/>
  <c r="K209" i="35"/>
  <c r="K212" i="35"/>
  <c r="K286" i="35"/>
  <c r="K288" i="35"/>
  <c r="K308" i="35"/>
  <c r="K361" i="35"/>
  <c r="K374" i="35"/>
  <c r="K425" i="35"/>
  <c r="K455" i="35"/>
  <c r="K550" i="35"/>
  <c r="K551" i="35"/>
  <c r="K561" i="35"/>
  <c r="K618" i="35"/>
  <c r="K626" i="35"/>
  <c r="K633" i="35"/>
  <c r="K718" i="35"/>
  <c r="K70" i="35"/>
  <c r="K76" i="35"/>
  <c r="K109" i="35"/>
  <c r="K111" i="35"/>
  <c r="K125" i="35"/>
  <c r="K144" i="35"/>
  <c r="K160" i="35"/>
  <c r="K169" i="35"/>
  <c r="K171" i="35"/>
  <c r="K187" i="35"/>
  <c r="K189" i="35"/>
  <c r="K193" i="35"/>
  <c r="K203" i="35"/>
  <c r="K218" i="35"/>
  <c r="K226" i="35"/>
  <c r="K230" i="35"/>
  <c r="K250" i="35"/>
  <c r="K263" i="35"/>
  <c r="K276" i="35"/>
  <c r="K328" i="35"/>
  <c r="K338" i="35"/>
  <c r="K365" i="35"/>
  <c r="K377" i="35"/>
  <c r="K452" i="35"/>
  <c r="K464" i="35"/>
  <c r="K521" i="35"/>
  <c r="K544" i="35"/>
  <c r="K562" i="35"/>
  <c r="K607" i="35"/>
  <c r="K610" i="35"/>
  <c r="K622" i="35"/>
  <c r="K640" i="35"/>
  <c r="K652" i="35"/>
  <c r="K706" i="35"/>
  <c r="K720" i="35"/>
  <c r="K722" i="35"/>
  <c r="K741" i="35"/>
  <c r="K774" i="35"/>
  <c r="K792" i="35"/>
  <c r="K815" i="35"/>
  <c r="K820" i="35"/>
  <c r="K69" i="35"/>
  <c r="K2" i="35"/>
  <c r="K10" i="35"/>
  <c r="K22" i="35"/>
  <c r="K43" i="35"/>
  <c r="K131" i="35"/>
  <c r="K135" i="35"/>
  <c r="K184" i="35"/>
  <c r="K224" i="35"/>
  <c r="K232" i="35"/>
  <c r="K248" i="35"/>
  <c r="K269" i="35"/>
  <c r="K289" i="35"/>
  <c r="K315" i="35"/>
  <c r="K324" i="35"/>
  <c r="K340" i="35"/>
  <c r="K344" i="35"/>
  <c r="K389" i="35"/>
  <c r="K416" i="35"/>
  <c r="K449" i="35"/>
  <c r="K492" i="35"/>
  <c r="K522" i="35"/>
  <c r="K556" i="35"/>
  <c r="K563" i="35"/>
  <c r="K721" i="35"/>
  <c r="K726" i="35"/>
  <c r="K812" i="35"/>
  <c r="K11" i="35"/>
  <c r="K47" i="35"/>
  <c r="K261" i="35"/>
  <c r="K312" i="35"/>
  <c r="K318" i="35"/>
  <c r="K323" i="35"/>
  <c r="K333" i="35"/>
  <c r="K397" i="35"/>
  <c r="K408" i="35"/>
  <c r="K498" i="35"/>
  <c r="K517" i="35"/>
  <c r="F530" i="35"/>
  <c r="F531" i="35" s="1"/>
  <c r="F536" i="35" s="1"/>
  <c r="K559" i="35"/>
  <c r="K600" i="35"/>
  <c r="K773" i="35"/>
  <c r="K779" i="35"/>
  <c r="K793" i="35"/>
  <c r="K149" i="35"/>
  <c r="K172" i="35"/>
  <c r="K217" i="35"/>
  <c r="K241" i="35"/>
  <c r="K283" i="35"/>
  <c r="K310" i="35"/>
  <c r="F445" i="35"/>
  <c r="K445" i="35" s="1"/>
  <c r="K666" i="35"/>
  <c r="F700" i="35"/>
  <c r="K60" i="35"/>
  <c r="K57" i="35"/>
  <c r="K41" i="35"/>
  <c r="K33" i="35"/>
  <c r="K28" i="35"/>
  <c r="K21" i="35"/>
  <c r="K8" i="35"/>
  <c r="K72" i="35"/>
  <c r="J170" i="35"/>
  <c r="K170" i="35" s="1"/>
  <c r="K233" i="35"/>
  <c r="K260" i="35"/>
  <c r="K270" i="35"/>
  <c r="K284" i="35"/>
  <c r="K319" i="35"/>
  <c r="K321" i="35"/>
  <c r="K339" i="35"/>
  <c r="K410" i="35"/>
  <c r="K460" i="35"/>
  <c r="K493" i="35"/>
  <c r="K560" i="35"/>
  <c r="K707" i="35"/>
  <c r="K745" i="35"/>
  <c r="K766" i="35"/>
  <c r="K291" i="35"/>
  <c r="K300" i="35"/>
  <c r="K367" i="35"/>
  <c r="K504" i="35"/>
  <c r="K245" i="35"/>
  <c r="K264" i="35"/>
  <c r="K274" i="35"/>
  <c r="K298" i="35"/>
  <c r="K316" i="35"/>
  <c r="K334" i="35"/>
  <c r="K393" i="35"/>
  <c r="K417" i="35"/>
  <c r="K446" i="35"/>
  <c r="K490" i="35"/>
  <c r="K518" i="35"/>
  <c r="K564" i="35"/>
  <c r="K668" i="35"/>
  <c r="K783" i="35"/>
  <c r="F437" i="35"/>
  <c r="K437" i="35" s="1"/>
  <c r="F119" i="30"/>
  <c r="F539" i="35" l="1"/>
  <c r="F541" i="35" s="1"/>
  <c r="K542" i="35"/>
  <c r="J42" i="32"/>
  <c r="J677" i="32"/>
  <c r="F381" i="32"/>
  <c r="F380" i="32"/>
  <c r="J380" i="32"/>
  <c r="J607" i="32"/>
  <c r="J606" i="32"/>
  <c r="F660" i="30"/>
  <c r="F611" i="32"/>
  <c r="J68" i="32"/>
  <c r="K380" i="32" l="1"/>
  <c r="B33" i="23"/>
  <c r="F619" i="32"/>
  <c r="F617" i="32"/>
  <c r="D618" i="32"/>
  <c r="J613" i="32"/>
  <c r="J590" i="32"/>
  <c r="F103" i="30"/>
  <c r="D55" i="32"/>
  <c r="D56" i="32" s="1"/>
  <c r="F56" i="32" s="1"/>
  <c r="F54" i="32"/>
  <c r="F491" i="32"/>
  <c r="F543" i="30"/>
  <c r="F715" i="30"/>
  <c r="F678" i="32"/>
  <c r="F405" i="32"/>
  <c r="E102" i="32"/>
  <c r="E101" i="32"/>
  <c r="F55" i="32" l="1"/>
  <c r="F201" i="32" l="1"/>
  <c r="F200" i="32"/>
  <c r="H166" i="7"/>
  <c r="E728" i="32"/>
  <c r="F721" i="32" l="1"/>
  <c r="F108" i="32"/>
  <c r="F329" i="32"/>
  <c r="F620" i="32"/>
  <c r="F668" i="30"/>
  <c r="F113" i="32"/>
  <c r="F114" i="32"/>
  <c r="J112" i="32"/>
  <c r="F484" i="32"/>
  <c r="J193" i="32"/>
  <c r="J656" i="32"/>
  <c r="K656" i="32" s="1"/>
  <c r="D526" i="32"/>
  <c r="J516" i="32"/>
  <c r="B55" i="27"/>
  <c r="B53" i="27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4" i="27"/>
  <c r="F44" i="27" s="1"/>
  <c r="E43" i="27"/>
  <c r="F43" i="27" s="1"/>
  <c r="E42" i="27"/>
  <c r="F42" i="27" s="1"/>
  <c r="D42" i="27"/>
  <c r="E41" i="27"/>
  <c r="F41" i="27" s="1"/>
  <c r="F53" i="27" s="1"/>
  <c r="B54" i="27" s="1"/>
  <c r="B56" i="27" s="1"/>
  <c r="D40" i="27"/>
  <c r="D53" i="27" s="1"/>
  <c r="E53" i="27" l="1"/>
  <c r="F84" i="32"/>
  <c r="F83" i="32"/>
  <c r="F82" i="32"/>
  <c r="F81" i="32"/>
  <c r="D80" i="32"/>
  <c r="D85" i="32" s="1"/>
  <c r="F85" i="32" s="1"/>
  <c r="J751" i="32"/>
  <c r="F715" i="32"/>
  <c r="J748" i="32"/>
  <c r="F748" i="32"/>
  <c r="J747" i="32"/>
  <c r="J392" i="32"/>
  <c r="J746" i="32"/>
  <c r="J745" i="32"/>
  <c r="J705" i="32"/>
  <c r="J707" i="32"/>
  <c r="F707" i="32"/>
  <c r="J37" i="32"/>
  <c r="J289" i="32"/>
  <c r="J666" i="32"/>
  <c r="F666" i="32"/>
  <c r="F744" i="32"/>
  <c r="K707" i="32" l="1"/>
  <c r="K748" i="32"/>
  <c r="J429" i="32"/>
  <c r="F740" i="32" l="1"/>
  <c r="J187" i="32"/>
  <c r="F438" i="32"/>
  <c r="J703" i="32"/>
  <c r="J683" i="32"/>
  <c r="J718" i="32"/>
  <c r="J704" i="32"/>
  <c r="J498" i="32"/>
  <c r="J593" i="32"/>
  <c r="F739" i="32" l="1"/>
  <c r="F737" i="32"/>
  <c r="E9" i="33"/>
  <c r="D9" i="33"/>
  <c r="B9" i="33"/>
  <c r="B10" i="33"/>
  <c r="D10" i="33" s="1"/>
  <c r="B8" i="33"/>
  <c r="D8" i="33" s="1"/>
  <c r="E8" i="33" s="1"/>
  <c r="B7" i="33"/>
  <c r="D7" i="33" s="1"/>
  <c r="E7" i="33" s="1"/>
  <c r="B5" i="33"/>
  <c r="D5" i="33"/>
  <c r="E5" i="33" s="1"/>
  <c r="B6" i="33" s="1"/>
  <c r="D6" i="33" s="1"/>
  <c r="E6" i="33" s="1"/>
  <c r="D4" i="33"/>
  <c r="E4" i="33" s="1"/>
  <c r="E10" i="33" l="1"/>
  <c r="B11" i="33" s="1"/>
  <c r="J66" i="32"/>
  <c r="J65" i="32"/>
  <c r="J491" i="32"/>
  <c r="D11" i="33" l="1"/>
  <c r="E11" i="33" s="1"/>
  <c r="B12" i="33" s="1"/>
  <c r="F289" i="32"/>
  <c r="K289" i="32" s="1"/>
  <c r="F718" i="32"/>
  <c r="F756" i="30"/>
  <c r="D12" i="33" l="1"/>
  <c r="E12" i="33" s="1"/>
  <c r="B13" i="33" s="1"/>
  <c r="F736" i="32"/>
  <c r="D13" i="33" l="1"/>
  <c r="E13" i="33" s="1"/>
  <c r="B14" i="33" s="1"/>
  <c r="J29" i="32"/>
  <c r="J417" i="32"/>
  <c r="J165" i="32"/>
  <c r="F649" i="32"/>
  <c r="D14" i="33" l="1"/>
  <c r="E14" i="33" s="1"/>
  <c r="B15" i="33" s="1"/>
  <c r="J735" i="32"/>
  <c r="J734" i="32"/>
  <c r="J227" i="32"/>
  <c r="K227" i="32" s="1"/>
  <c r="J733" i="32"/>
  <c r="F733" i="32"/>
  <c r="J397" i="32"/>
  <c r="F395" i="32"/>
  <c r="F398" i="32"/>
  <c r="J688" i="32"/>
  <c r="J138" i="32"/>
  <c r="J72" i="32"/>
  <c r="J573" i="32"/>
  <c r="F573" i="32"/>
  <c r="J183" i="32"/>
  <c r="F166" i="32"/>
  <c r="J32" i="32"/>
  <c r="J691" i="32"/>
  <c r="J204" i="30"/>
  <c r="J410" i="32"/>
  <c r="J648" i="32"/>
  <c r="J624" i="32"/>
  <c r="J350" i="32"/>
  <c r="F704" i="32"/>
  <c r="K704" i="32" s="1"/>
  <c r="K573" i="32" l="1"/>
  <c r="K733" i="32"/>
  <c r="D15" i="33"/>
  <c r="E15" i="33" s="1"/>
  <c r="J710" i="32"/>
  <c r="K710" i="32" s="1"/>
  <c r="J709" i="32"/>
  <c r="J655" i="32"/>
  <c r="J319" i="32"/>
  <c r="J223" i="32"/>
  <c r="J173" i="32"/>
  <c r="J369" i="32"/>
  <c r="K369" i="32" s="1"/>
  <c r="J386" i="32"/>
  <c r="J314" i="32"/>
  <c r="J275" i="32"/>
  <c r="J731" i="32"/>
  <c r="J729" i="32"/>
  <c r="K729" i="32" s="1"/>
  <c r="J596" i="32"/>
  <c r="J627" i="32"/>
  <c r="J726" i="32"/>
  <c r="F725" i="32"/>
  <c r="F689" i="32"/>
  <c r="F688" i="32"/>
  <c r="J395" i="32" l="1"/>
  <c r="K395" i="32" s="1"/>
  <c r="F598" i="20"/>
  <c r="F726" i="30"/>
  <c r="F725" i="30"/>
  <c r="J724" i="32" l="1"/>
  <c r="F724" i="32"/>
  <c r="J687" i="32"/>
  <c r="F667" i="28"/>
  <c r="F669" i="30"/>
  <c r="K724" i="32" l="1"/>
  <c r="F624" i="32"/>
  <c r="K624" i="32" s="1"/>
  <c r="F623" i="32"/>
  <c r="J440" i="32"/>
  <c r="J545" i="32"/>
  <c r="F341" i="32"/>
  <c r="J511" i="32"/>
  <c r="F340" i="32"/>
  <c r="F339" i="32"/>
  <c r="F338" i="32"/>
  <c r="F337" i="32"/>
  <c r="J325" i="32"/>
  <c r="F326" i="32"/>
  <c r="F327" i="32"/>
  <c r="J324" i="32"/>
  <c r="F195" i="32"/>
  <c r="J195" i="32"/>
  <c r="F625" i="32"/>
  <c r="J720" i="32"/>
  <c r="J196" i="32"/>
  <c r="F197" i="32"/>
  <c r="J722" i="32"/>
  <c r="J186" i="32"/>
  <c r="J686" i="32"/>
  <c r="J160" i="32"/>
  <c r="F248" i="32"/>
  <c r="J721" i="32"/>
  <c r="K721" i="32" s="1"/>
  <c r="F495" i="32"/>
  <c r="J371" i="32"/>
  <c r="K195" i="32" l="1"/>
  <c r="F172" i="32"/>
  <c r="F548" i="32" l="1"/>
  <c r="F696" i="32"/>
  <c r="F733" i="30"/>
  <c r="F599" i="30"/>
  <c r="F352" i="30" l="1"/>
  <c r="J351" i="30"/>
  <c r="J206" i="32" l="1"/>
  <c r="F626" i="32"/>
  <c r="K627" i="32" s="1"/>
  <c r="J535" i="32"/>
  <c r="J192" i="32"/>
  <c r="J486" i="32"/>
  <c r="E332" i="32"/>
  <c r="F692" i="32" l="1"/>
  <c r="F720" i="32"/>
  <c r="K720" i="32" s="1"/>
  <c r="J693" i="32" l="1"/>
  <c r="D719" i="32"/>
  <c r="J131" i="32"/>
  <c r="J142" i="32"/>
  <c r="J5" i="32"/>
  <c r="J67" i="30" l="1"/>
  <c r="J756" i="30"/>
  <c r="J705" i="30"/>
  <c r="F705" i="30"/>
  <c r="J126" i="30"/>
  <c r="K126" i="30" s="1"/>
  <c r="J163" i="30"/>
  <c r="F164" i="30"/>
  <c r="F165" i="30"/>
  <c r="J706" i="30"/>
  <c r="F706" i="30"/>
  <c r="J714" i="30"/>
  <c r="J52" i="30"/>
  <c r="J53" i="30"/>
  <c r="J292" i="30"/>
  <c r="J710" i="30"/>
  <c r="K706" i="30" l="1"/>
  <c r="K705" i="30"/>
  <c r="J662" i="30"/>
  <c r="J717" i="30"/>
  <c r="J91" i="32"/>
  <c r="F93" i="32"/>
  <c r="J682" i="32"/>
  <c r="J717" i="32"/>
  <c r="J716" i="32"/>
  <c r="J654" i="32"/>
  <c r="J105" i="32"/>
  <c r="F223" i="32"/>
  <c r="K223" i="32" s="1"/>
  <c r="J158" i="32"/>
  <c r="J70" i="32"/>
  <c r="F103" i="32" l="1"/>
  <c r="J103" i="32"/>
  <c r="E104" i="32"/>
  <c r="J104" i="32"/>
  <c r="K104" i="32" s="1"/>
  <c r="F106" i="32"/>
  <c r="J106" i="32"/>
  <c r="F107" i="32"/>
  <c r="J107" i="32"/>
  <c r="F109" i="32"/>
  <c r="J109" i="32"/>
  <c r="F111" i="32"/>
  <c r="J111" i="32"/>
  <c r="F112" i="32"/>
  <c r="F116" i="32"/>
  <c r="J116" i="32"/>
  <c r="F117" i="32"/>
  <c r="J117" i="32"/>
  <c r="F118" i="32"/>
  <c r="F701" i="32"/>
  <c r="F596" i="32"/>
  <c r="G596" i="32" s="1"/>
  <c r="F468" i="32"/>
  <c r="J444" i="32"/>
  <c r="F417" i="32"/>
  <c r="K417" i="32" s="1"/>
  <c r="D403" i="32"/>
  <c r="F403" i="32" l="1"/>
  <c r="D404" i="32"/>
  <c r="F404" i="32" s="1"/>
  <c r="K116" i="32"/>
  <c r="K112" i="32"/>
  <c r="K109" i="32"/>
  <c r="K117" i="32"/>
  <c r="K107" i="32"/>
  <c r="K103" i="32"/>
  <c r="K111" i="32"/>
  <c r="K106" i="32"/>
  <c r="J240" i="32"/>
  <c r="J155" i="32"/>
  <c r="E137" i="32"/>
  <c r="F128" i="32"/>
  <c r="F98" i="32"/>
  <c r="F80" i="32"/>
  <c r="F71" i="32"/>
  <c r="F70" i="32"/>
  <c r="J40" i="32"/>
  <c r="K40" i="32" s="1"/>
  <c r="F41" i="32"/>
  <c r="J41" i="32"/>
  <c r="F42" i="32"/>
  <c r="F43" i="32"/>
  <c r="E14" i="32"/>
  <c r="F5" i="32"/>
  <c r="F714" i="32"/>
  <c r="J713" i="32"/>
  <c r="K713" i="32" s="1"/>
  <c r="F712" i="32"/>
  <c r="F711" i="32"/>
  <c r="F709" i="32"/>
  <c r="K709" i="32" s="1"/>
  <c r="F706" i="32"/>
  <c r="K705" i="32" s="1"/>
  <c r="F705" i="32"/>
  <c r="F703" i="32"/>
  <c r="K703" i="32" s="1"/>
  <c r="J701" i="32"/>
  <c r="K701" i="32" s="1"/>
  <c r="J700" i="32"/>
  <c r="K700" i="32" s="1"/>
  <c r="J699" i="32"/>
  <c r="K699" i="32" s="1"/>
  <c r="E699" i="32"/>
  <c r="J697" i="32"/>
  <c r="K697" i="32" s="1"/>
  <c r="J696" i="32"/>
  <c r="K696" i="32" s="1"/>
  <c r="F695" i="32"/>
  <c r="J694" i="32"/>
  <c r="F693" i="32"/>
  <c r="K693" i="32" s="1"/>
  <c r="J692" i="32"/>
  <c r="K692" i="32" s="1"/>
  <c r="F691" i="32"/>
  <c r="K691" i="32" s="1"/>
  <c r="J690" i="32"/>
  <c r="F690" i="32"/>
  <c r="F687" i="32"/>
  <c r="K687" i="32" s="1"/>
  <c r="F686" i="32"/>
  <c r="K686" i="32" s="1"/>
  <c r="J685" i="32"/>
  <c r="J684" i="32"/>
  <c r="K684" i="32" s="1"/>
  <c r="F683" i="32"/>
  <c r="K683" i="32" s="1"/>
  <c r="F682" i="32"/>
  <c r="J681" i="32"/>
  <c r="F680" i="32"/>
  <c r="J679" i="32"/>
  <c r="F679" i="32"/>
  <c r="J678" i="32"/>
  <c r="F677" i="32"/>
  <c r="K677" i="32" s="1"/>
  <c r="F676" i="32"/>
  <c r="J675" i="32"/>
  <c r="K675" i="32" s="1"/>
  <c r="J674" i="32"/>
  <c r="F674" i="32"/>
  <c r="F673" i="32"/>
  <c r="J672" i="32"/>
  <c r="F672" i="32"/>
  <c r="J670" i="32"/>
  <c r="F669" i="32"/>
  <c r="J664" i="32"/>
  <c r="F664" i="32"/>
  <c r="J663" i="32"/>
  <c r="F663" i="32"/>
  <c r="D662" i="32"/>
  <c r="F662" i="32" s="1"/>
  <c r="G662" i="32" s="1"/>
  <c r="J662" i="32" s="1"/>
  <c r="J661" i="32"/>
  <c r="F661" i="32"/>
  <c r="J653" i="32"/>
  <c r="K653" i="32" s="1"/>
  <c r="J652" i="32"/>
  <c r="K652" i="32" s="1"/>
  <c r="J651" i="32"/>
  <c r="K651" i="32" s="1"/>
  <c r="J650" i="32"/>
  <c r="K650" i="32" s="1"/>
  <c r="J649" i="32"/>
  <c r="K649" i="32" s="1"/>
  <c r="F648" i="32"/>
  <c r="K648" i="32" s="1"/>
  <c r="J647" i="32"/>
  <c r="F647" i="32"/>
  <c r="J646" i="32"/>
  <c r="K646" i="32" s="1"/>
  <c r="J644" i="32"/>
  <c r="F644" i="32"/>
  <c r="F643" i="32"/>
  <c r="J639" i="32"/>
  <c r="F639" i="32"/>
  <c r="J638" i="32"/>
  <c r="K638" i="32" s="1"/>
  <c r="F638" i="32"/>
  <c r="J637" i="32"/>
  <c r="F637" i="32"/>
  <c r="J636" i="32"/>
  <c r="F636" i="32"/>
  <c r="J633" i="32"/>
  <c r="F633" i="32"/>
  <c r="J632" i="32"/>
  <c r="F632" i="32"/>
  <c r="J631" i="32"/>
  <c r="F631" i="32"/>
  <c r="J630" i="32"/>
  <c r="F630" i="32"/>
  <c r="J629" i="32"/>
  <c r="F629" i="32"/>
  <c r="J628" i="32"/>
  <c r="F628" i="32"/>
  <c r="J626" i="32"/>
  <c r="J625" i="32"/>
  <c r="K625" i="32" s="1"/>
  <c r="J623" i="32"/>
  <c r="K623" i="32" s="1"/>
  <c r="J620" i="32"/>
  <c r="K620" i="32" s="1"/>
  <c r="F616" i="32"/>
  <c r="F615" i="32"/>
  <c r="F614" i="32"/>
  <c r="F613" i="32"/>
  <c r="J612" i="32"/>
  <c r="K612" i="32" s="1"/>
  <c r="J605" i="32"/>
  <c r="F605" i="32"/>
  <c r="K606" i="32" s="1"/>
  <c r="J600" i="32"/>
  <c r="K600" i="32" s="1"/>
  <c r="F597" i="32"/>
  <c r="J595" i="32"/>
  <c r="F595" i="32"/>
  <c r="F593" i="32"/>
  <c r="K593" i="32" s="1"/>
  <c r="F592" i="32"/>
  <c r="J591" i="32"/>
  <c r="F591" i="32"/>
  <c r="K590" i="32"/>
  <c r="J589" i="32"/>
  <c r="K589" i="32" s="1"/>
  <c r="J588" i="32"/>
  <c r="F588" i="32"/>
  <c r="J587" i="32"/>
  <c r="K587" i="32" s="1"/>
  <c r="J585" i="32"/>
  <c r="F585" i="32"/>
  <c r="J584" i="32"/>
  <c r="F584" i="32"/>
  <c r="J583" i="32"/>
  <c r="F583" i="32"/>
  <c r="K583" i="32" s="1"/>
  <c r="J582" i="32"/>
  <c r="F582" i="32"/>
  <c r="J581" i="32"/>
  <c r="F581" i="32"/>
  <c r="J579" i="32"/>
  <c r="D579" i="32"/>
  <c r="F578" i="32"/>
  <c r="F577" i="32"/>
  <c r="F576" i="32"/>
  <c r="F575" i="32"/>
  <c r="F574" i="32"/>
  <c r="J568" i="32"/>
  <c r="K568" i="32" s="1"/>
  <c r="E568" i="32"/>
  <c r="J567" i="32"/>
  <c r="F567" i="32"/>
  <c r="J565" i="32"/>
  <c r="F565" i="32"/>
  <c r="J564" i="32"/>
  <c r="F564" i="32"/>
  <c r="F562" i="32"/>
  <c r="J561" i="32"/>
  <c r="F561" i="32"/>
  <c r="J560" i="32"/>
  <c r="F560" i="32"/>
  <c r="J559" i="32"/>
  <c r="F559" i="32"/>
  <c r="J558" i="32"/>
  <c r="F558" i="32"/>
  <c r="J557" i="32"/>
  <c r="F557" i="32"/>
  <c r="J555" i="32"/>
  <c r="F555" i="32"/>
  <c r="J553" i="32"/>
  <c r="F553" i="32"/>
  <c r="K554" i="32" s="1"/>
  <c r="J551" i="32"/>
  <c r="F551" i="32"/>
  <c r="J550" i="32"/>
  <c r="K550" i="32" s="1"/>
  <c r="J549" i="32"/>
  <c r="F549" i="32"/>
  <c r="J548" i="32"/>
  <c r="K548" i="32" s="1"/>
  <c r="J547" i="32"/>
  <c r="F547" i="32"/>
  <c r="J546" i="32"/>
  <c r="K546" i="32" s="1"/>
  <c r="F545" i="32"/>
  <c r="J544" i="32"/>
  <c r="J543" i="32"/>
  <c r="J542" i="32"/>
  <c r="F542" i="32"/>
  <c r="J541" i="32"/>
  <c r="F541" i="32"/>
  <c r="F539" i="32"/>
  <c r="F538" i="32"/>
  <c r="F537" i="32"/>
  <c r="F535" i="32"/>
  <c r="K535" i="32" s="1"/>
  <c r="J534" i="32"/>
  <c r="F534" i="32"/>
  <c r="J533" i="32"/>
  <c r="K533" i="32" s="1"/>
  <c r="J532" i="32"/>
  <c r="F532" i="32"/>
  <c r="J531" i="32"/>
  <c r="K531" i="32" s="1"/>
  <c r="J530" i="32"/>
  <c r="K530" i="32" s="1"/>
  <c r="J529" i="32"/>
  <c r="K516" i="32"/>
  <c r="F515" i="32"/>
  <c r="J514" i="32"/>
  <c r="F514" i="32"/>
  <c r="J512" i="32"/>
  <c r="K512" i="32" s="1"/>
  <c r="K511" i="32"/>
  <c r="F509" i="32"/>
  <c r="J508" i="32"/>
  <c r="F508" i="32"/>
  <c r="J507" i="32"/>
  <c r="F507" i="32"/>
  <c r="J506" i="32"/>
  <c r="F506" i="32"/>
  <c r="J505" i="32"/>
  <c r="F505" i="32"/>
  <c r="J504" i="32"/>
  <c r="F504" i="32"/>
  <c r="J503" i="32"/>
  <c r="F503" i="32"/>
  <c r="J502" i="32"/>
  <c r="K502" i="32" s="1"/>
  <c r="F498" i="32"/>
  <c r="K498" i="32" s="1"/>
  <c r="J497" i="32"/>
  <c r="F497" i="32"/>
  <c r="J496" i="32"/>
  <c r="F496" i="32"/>
  <c r="J495" i="32"/>
  <c r="K495" i="32" s="1"/>
  <c r="J494" i="32"/>
  <c r="K494" i="32" s="1"/>
  <c r="F494" i="32"/>
  <c r="J493" i="32"/>
  <c r="K493" i="32" s="1"/>
  <c r="J492" i="32"/>
  <c r="F492" i="32"/>
  <c r="J490" i="32"/>
  <c r="F490" i="32"/>
  <c r="J489" i="32"/>
  <c r="K489" i="32" s="1"/>
  <c r="J488" i="32"/>
  <c r="F488" i="32"/>
  <c r="F487" i="32"/>
  <c r="F483" i="32"/>
  <c r="F481" i="32"/>
  <c r="F480" i="32"/>
  <c r="F479" i="32"/>
  <c r="F478" i="32"/>
  <c r="D476" i="32"/>
  <c r="F475" i="32"/>
  <c r="F474" i="32"/>
  <c r="F473" i="32"/>
  <c r="F472" i="32"/>
  <c r="F471" i="32"/>
  <c r="J470" i="32"/>
  <c r="K470" i="32" s="1"/>
  <c r="F470" i="32"/>
  <c r="J469" i="32"/>
  <c r="F469" i="32"/>
  <c r="J468" i="32"/>
  <c r="J467" i="32"/>
  <c r="F467" i="32"/>
  <c r="F466" i="32"/>
  <c r="J465" i="32"/>
  <c r="F465" i="32"/>
  <c r="J464" i="32"/>
  <c r="F464" i="32"/>
  <c r="J463" i="32"/>
  <c r="F463" i="32"/>
  <c r="J462" i="32"/>
  <c r="K462" i="32" s="1"/>
  <c r="E462" i="32"/>
  <c r="F461" i="32"/>
  <c r="K461" i="32" s="1"/>
  <c r="J459" i="32"/>
  <c r="F459" i="32"/>
  <c r="J458" i="32"/>
  <c r="F458" i="32"/>
  <c r="F456" i="32"/>
  <c r="K456" i="32" s="1"/>
  <c r="J454" i="32"/>
  <c r="K454" i="32" s="1"/>
  <c r="J453" i="32"/>
  <c r="F453" i="32"/>
  <c r="J452" i="32"/>
  <c r="F452" i="32"/>
  <c r="J451" i="32"/>
  <c r="F451" i="32"/>
  <c r="J450" i="32"/>
  <c r="F450" i="32"/>
  <c r="J449" i="32"/>
  <c r="F449" i="32"/>
  <c r="F448" i="32"/>
  <c r="J447" i="32"/>
  <c r="J446" i="32"/>
  <c r="F446" i="32"/>
  <c r="J445" i="32"/>
  <c r="F445" i="32"/>
  <c r="K444" i="32"/>
  <c r="F444" i="32"/>
  <c r="J443" i="32"/>
  <c r="F443" i="32"/>
  <c r="J442" i="32"/>
  <c r="F442" i="32"/>
  <c r="J441" i="32"/>
  <c r="K441" i="32" s="1"/>
  <c r="F440" i="32"/>
  <c r="J439" i="32"/>
  <c r="F439" i="32"/>
  <c r="J437" i="32"/>
  <c r="F437" i="32"/>
  <c r="J436" i="32"/>
  <c r="F436" i="32"/>
  <c r="F435" i="32"/>
  <c r="J434" i="32"/>
  <c r="F434" i="32"/>
  <c r="J433" i="32"/>
  <c r="F433" i="32"/>
  <c r="K429" i="32"/>
  <c r="J426" i="32"/>
  <c r="F426" i="32"/>
  <c r="J425" i="32"/>
  <c r="F425" i="32"/>
  <c r="J424" i="32"/>
  <c r="K424" i="32" s="1"/>
  <c r="J423" i="32"/>
  <c r="K423" i="32" s="1"/>
  <c r="J422" i="32"/>
  <c r="F422" i="32"/>
  <c r="F421" i="32"/>
  <c r="J420" i="32"/>
  <c r="F420" i="32"/>
  <c r="J419" i="32"/>
  <c r="F419" i="32"/>
  <c r="J418" i="32"/>
  <c r="F418" i="32"/>
  <c r="J416" i="32"/>
  <c r="F416" i="32"/>
  <c r="J415" i="32"/>
  <c r="F415" i="32"/>
  <c r="F414" i="32"/>
  <c r="J413" i="32"/>
  <c r="F413" i="32"/>
  <c r="J412" i="32"/>
  <c r="J411" i="32"/>
  <c r="F411" i="32"/>
  <c r="F409" i="32"/>
  <c r="F408" i="32"/>
  <c r="F407" i="32"/>
  <c r="F406" i="32"/>
  <c r="J403" i="32"/>
  <c r="J402" i="32"/>
  <c r="F402" i="32"/>
  <c r="J401" i="32"/>
  <c r="F401" i="32"/>
  <c r="J400" i="32"/>
  <c r="F400" i="32"/>
  <c r="J399" i="32"/>
  <c r="K399" i="32" s="1"/>
  <c r="J394" i="32"/>
  <c r="F394" i="32"/>
  <c r="K392" i="32"/>
  <c r="J391" i="32"/>
  <c r="F391" i="32"/>
  <c r="F390" i="32"/>
  <c r="J389" i="32"/>
  <c r="F389" i="32"/>
  <c r="J388" i="32"/>
  <c r="F388" i="32"/>
  <c r="D386" i="32"/>
  <c r="F384" i="32"/>
  <c r="F383" i="32"/>
  <c r="F382" i="32"/>
  <c r="J379" i="32"/>
  <c r="F379" i="32"/>
  <c r="J378" i="32"/>
  <c r="F378" i="32"/>
  <c r="J377" i="32"/>
  <c r="F377" i="32"/>
  <c r="J376" i="32"/>
  <c r="F376" i="32"/>
  <c r="J374" i="32"/>
  <c r="F374" i="32"/>
  <c r="J373" i="32"/>
  <c r="F373" i="32"/>
  <c r="F371" i="32"/>
  <c r="K371" i="32" s="1"/>
  <c r="J370" i="32"/>
  <c r="K370" i="32" s="1"/>
  <c r="E370" i="32"/>
  <c r="J368" i="32"/>
  <c r="J367" i="32"/>
  <c r="F367" i="32"/>
  <c r="J366" i="32"/>
  <c r="F366" i="32"/>
  <c r="J365" i="32"/>
  <c r="F365" i="32"/>
  <c r="F364" i="32"/>
  <c r="J363" i="32"/>
  <c r="F363" i="32"/>
  <c r="J362" i="32"/>
  <c r="F362" i="32"/>
  <c r="J361" i="32"/>
  <c r="F361" i="32"/>
  <c r="J360" i="32"/>
  <c r="F360" i="32"/>
  <c r="J359" i="32"/>
  <c r="F359" i="32"/>
  <c r="F358" i="32"/>
  <c r="J357" i="32"/>
  <c r="F357" i="32"/>
  <c r="J356" i="32"/>
  <c r="F356" i="32"/>
  <c r="J355" i="32"/>
  <c r="F355" i="32"/>
  <c r="J353" i="32"/>
  <c r="F353" i="32"/>
  <c r="J352" i="32"/>
  <c r="F352" i="32"/>
  <c r="J351" i="32"/>
  <c r="K351" i="32" s="1"/>
  <c r="F350" i="32"/>
  <c r="K350" i="32" s="1"/>
  <c r="J349" i="32"/>
  <c r="F349" i="32"/>
  <c r="J348" i="32"/>
  <c r="F348" i="32"/>
  <c r="J347" i="32"/>
  <c r="F347" i="32"/>
  <c r="F346" i="32"/>
  <c r="J345" i="32"/>
  <c r="F345" i="32"/>
  <c r="J344" i="32"/>
  <c r="F344" i="32"/>
  <c r="J343" i="32"/>
  <c r="F343" i="32"/>
  <c r="J342" i="32"/>
  <c r="F342" i="32"/>
  <c r="J336" i="32"/>
  <c r="F336" i="32"/>
  <c r="J335" i="32"/>
  <c r="F335" i="32"/>
  <c r="J333" i="32"/>
  <c r="F333" i="32"/>
  <c r="J332" i="32"/>
  <c r="K332" i="32" s="1"/>
  <c r="J331" i="32"/>
  <c r="F331" i="32"/>
  <c r="J330" i="32"/>
  <c r="F330" i="32"/>
  <c r="J328" i="32"/>
  <c r="F328" i="32"/>
  <c r="F325" i="32"/>
  <c r="F324" i="32"/>
  <c r="J323" i="32"/>
  <c r="F323" i="32"/>
  <c r="J322" i="32"/>
  <c r="F322" i="32"/>
  <c r="J321" i="32"/>
  <c r="F321" i="32"/>
  <c r="J320" i="32"/>
  <c r="F320" i="32"/>
  <c r="J318" i="32"/>
  <c r="F318" i="32"/>
  <c r="J317" i="32"/>
  <c r="F317" i="32"/>
  <c r="F314" i="32"/>
  <c r="J313" i="32"/>
  <c r="F313" i="32"/>
  <c r="J312" i="32"/>
  <c r="F312" i="32"/>
  <c r="F311" i="32"/>
  <c r="K311" i="32" s="1"/>
  <c r="J310" i="32"/>
  <c r="J309" i="32"/>
  <c r="F309" i="32"/>
  <c r="J308" i="32"/>
  <c r="F308" i="32"/>
  <c r="J307" i="32"/>
  <c r="F307" i="32"/>
  <c r="J306" i="32"/>
  <c r="F306" i="32"/>
  <c r="J305" i="32"/>
  <c r="K305" i="32" s="1"/>
  <c r="F304" i="32"/>
  <c r="J303" i="32"/>
  <c r="F303" i="32"/>
  <c r="J302" i="32"/>
  <c r="F302" i="32"/>
  <c r="J301" i="32"/>
  <c r="F301" i="32"/>
  <c r="J300" i="32"/>
  <c r="F300" i="32"/>
  <c r="F299" i="32"/>
  <c r="J298" i="32"/>
  <c r="F298" i="32"/>
  <c r="J297" i="32"/>
  <c r="F297" i="32"/>
  <c r="J296" i="32"/>
  <c r="F296" i="32"/>
  <c r="J295" i="32"/>
  <c r="F295" i="32"/>
  <c r="J294" i="32"/>
  <c r="F294" i="32"/>
  <c r="J293" i="32"/>
  <c r="K293" i="32" s="1"/>
  <c r="J292" i="32"/>
  <c r="F292" i="32"/>
  <c r="J291" i="32"/>
  <c r="F291" i="32"/>
  <c r="J290" i="32"/>
  <c r="K290" i="32" s="1"/>
  <c r="J288" i="32"/>
  <c r="F288" i="32"/>
  <c r="F287" i="32"/>
  <c r="J286" i="32"/>
  <c r="F286" i="32"/>
  <c r="J285" i="32"/>
  <c r="F285" i="32"/>
  <c r="J284" i="32"/>
  <c r="F284" i="32"/>
  <c r="J283" i="32"/>
  <c r="F283" i="32"/>
  <c r="J277" i="32"/>
  <c r="K277" i="32" s="1"/>
  <c r="F277" i="32"/>
  <c r="K275" i="32"/>
  <c r="J274" i="32"/>
  <c r="F274" i="32"/>
  <c r="F273" i="32"/>
  <c r="J272" i="32"/>
  <c r="F272" i="32"/>
  <c r="J271" i="32"/>
  <c r="F271" i="32"/>
  <c r="J270" i="32"/>
  <c r="F270" i="32"/>
  <c r="F269" i="32"/>
  <c r="K269" i="32" s="1"/>
  <c r="J268" i="32"/>
  <c r="F268" i="32"/>
  <c r="J267" i="32"/>
  <c r="F267" i="32"/>
  <c r="J266" i="32"/>
  <c r="F266" i="32"/>
  <c r="J265" i="32"/>
  <c r="F265" i="32"/>
  <c r="J263" i="32"/>
  <c r="F263" i="32"/>
  <c r="J262" i="32"/>
  <c r="F262" i="32"/>
  <c r="J261" i="32"/>
  <c r="K261" i="32" s="1"/>
  <c r="J260" i="32"/>
  <c r="F260" i="32"/>
  <c r="J259" i="32"/>
  <c r="K259" i="32" s="1"/>
  <c r="J258" i="32"/>
  <c r="F258" i="32"/>
  <c r="J257" i="32"/>
  <c r="F257" i="32"/>
  <c r="J256" i="32"/>
  <c r="F256" i="32"/>
  <c r="F251" i="32"/>
  <c r="J250" i="32"/>
  <c r="F250" i="32"/>
  <c r="J249" i="32"/>
  <c r="F249" i="32"/>
  <c r="J248" i="32"/>
  <c r="K248" i="32" s="1"/>
  <c r="J247" i="32"/>
  <c r="F247" i="32"/>
  <c r="J246" i="32"/>
  <c r="F246" i="32"/>
  <c r="J245" i="32"/>
  <c r="F245" i="32"/>
  <c r="J244" i="32"/>
  <c r="F244" i="32"/>
  <c r="J243" i="32"/>
  <c r="F243" i="32"/>
  <c r="J242" i="32"/>
  <c r="F242" i="32"/>
  <c r="J241" i="32"/>
  <c r="F241" i="32"/>
  <c r="F240" i="32"/>
  <c r="J239" i="32"/>
  <c r="F239" i="32"/>
  <c r="J238" i="32"/>
  <c r="F238" i="32"/>
  <c r="J237" i="32"/>
  <c r="F237" i="32"/>
  <c r="J236" i="32"/>
  <c r="F236" i="32"/>
  <c r="J234" i="32"/>
  <c r="F234" i="32"/>
  <c r="J233" i="32"/>
  <c r="F233" i="32"/>
  <c r="J232" i="32"/>
  <c r="F232" i="32"/>
  <c r="K232" i="32" s="1"/>
  <c r="F231" i="32"/>
  <c r="K231" i="32" s="1"/>
  <c r="J230" i="32"/>
  <c r="F230" i="32"/>
  <c r="J229" i="32"/>
  <c r="F229" i="32"/>
  <c r="J226" i="32"/>
  <c r="F226" i="32"/>
  <c r="J225" i="32"/>
  <c r="F225" i="32"/>
  <c r="J224" i="32"/>
  <c r="F224" i="32"/>
  <c r="J222" i="32"/>
  <c r="F222" i="32"/>
  <c r="J221" i="32"/>
  <c r="F221" i="32"/>
  <c r="F220" i="32"/>
  <c r="K220" i="32" s="1"/>
  <c r="J219" i="32"/>
  <c r="F219" i="32"/>
  <c r="J218" i="32"/>
  <c r="F218" i="32"/>
  <c r="J217" i="32"/>
  <c r="F217" i="32"/>
  <c r="J207" i="32"/>
  <c r="K207" i="32" s="1"/>
  <c r="F207" i="32"/>
  <c r="J205" i="32"/>
  <c r="F205" i="32"/>
  <c r="K206" i="32" s="1"/>
  <c r="J204" i="32"/>
  <c r="F204" i="32"/>
  <c r="J203" i="32"/>
  <c r="F203" i="32"/>
  <c r="J202" i="32"/>
  <c r="F202" i="32"/>
  <c r="J198" i="32"/>
  <c r="F198" i="32"/>
  <c r="F196" i="32"/>
  <c r="K196" i="32" s="1"/>
  <c r="F192" i="32"/>
  <c r="K192" i="32" s="1"/>
  <c r="J190" i="32"/>
  <c r="F190" i="32"/>
  <c r="J189" i="32"/>
  <c r="F189" i="32"/>
  <c r="J188" i="32"/>
  <c r="F188" i="32"/>
  <c r="F186" i="32"/>
  <c r="J184" i="32"/>
  <c r="F184" i="32"/>
  <c r="F183" i="32"/>
  <c r="K183" i="32" s="1"/>
  <c r="J182" i="32"/>
  <c r="F182" i="32"/>
  <c r="J181" i="32"/>
  <c r="F181" i="32"/>
  <c r="J179" i="32"/>
  <c r="F179" i="32"/>
  <c r="J178" i="32"/>
  <c r="F178" i="32"/>
  <c r="J177" i="32"/>
  <c r="K177" i="32" s="1"/>
  <c r="J176" i="32"/>
  <c r="F176" i="32"/>
  <c r="F171" i="32"/>
  <c r="J170" i="32"/>
  <c r="F170" i="32"/>
  <c r="J169" i="32"/>
  <c r="F169" i="32"/>
  <c r="J167" i="32"/>
  <c r="K167" i="32" s="1"/>
  <c r="J164" i="32"/>
  <c r="F164" i="32"/>
  <c r="J163" i="32"/>
  <c r="K163" i="32" s="1"/>
  <c r="J162" i="32"/>
  <c r="F162" i="32"/>
  <c r="J161" i="32"/>
  <c r="F161" i="32"/>
  <c r="F160" i="32"/>
  <c r="K160" i="32" s="1"/>
  <c r="J159" i="32"/>
  <c r="F159" i="32"/>
  <c r="F158" i="32"/>
  <c r="K158" i="32" s="1"/>
  <c r="J157" i="32"/>
  <c r="K157" i="32" s="1"/>
  <c r="J156" i="32"/>
  <c r="F156" i="32"/>
  <c r="F155" i="32"/>
  <c r="J154" i="32"/>
  <c r="K154" i="32" s="1"/>
  <c r="J153" i="32"/>
  <c r="J152" i="32"/>
  <c r="F152" i="32"/>
  <c r="J151" i="32"/>
  <c r="F151" i="32"/>
  <c r="J150" i="32"/>
  <c r="K150" i="32" s="1"/>
  <c r="F148" i="32"/>
  <c r="J147" i="32"/>
  <c r="K147" i="32" s="1"/>
  <c r="J146" i="32"/>
  <c r="F146" i="32"/>
  <c r="J145" i="32"/>
  <c r="F145" i="32"/>
  <c r="F144" i="32"/>
  <c r="K144" i="32" s="1"/>
  <c r="F143" i="32"/>
  <c r="J143" i="32" s="1"/>
  <c r="K143" i="32" s="1"/>
  <c r="F142" i="32"/>
  <c r="K142" i="32" s="1"/>
  <c r="J141" i="32"/>
  <c r="F141" i="32"/>
  <c r="F139" i="32"/>
  <c r="K138" i="32" s="1"/>
  <c r="E138" i="32"/>
  <c r="J137" i="32"/>
  <c r="K137" i="32" s="1"/>
  <c r="F136" i="32"/>
  <c r="J135" i="32"/>
  <c r="F135" i="32"/>
  <c r="J133" i="32"/>
  <c r="F133" i="32"/>
  <c r="F132" i="32"/>
  <c r="J130" i="32"/>
  <c r="K130" i="32" s="1"/>
  <c r="J129" i="32"/>
  <c r="K129" i="32" s="1"/>
  <c r="E129" i="32"/>
  <c r="J128" i="32"/>
  <c r="J126" i="32"/>
  <c r="K126" i="32" s="1"/>
  <c r="E126" i="32"/>
  <c r="J125" i="32"/>
  <c r="F125" i="32"/>
  <c r="J124" i="32"/>
  <c r="F124" i="32"/>
  <c r="J123" i="32"/>
  <c r="F123" i="32"/>
  <c r="J122" i="32"/>
  <c r="F122" i="32"/>
  <c r="J121" i="32"/>
  <c r="K121" i="32" s="1"/>
  <c r="J120" i="32"/>
  <c r="F120" i="32"/>
  <c r="J119" i="32"/>
  <c r="F119" i="32"/>
  <c r="J101" i="32"/>
  <c r="F100" i="32"/>
  <c r="K100" i="32" s="1"/>
  <c r="J99" i="32"/>
  <c r="F99" i="32"/>
  <c r="J97" i="32"/>
  <c r="F97" i="32"/>
  <c r="J96" i="32"/>
  <c r="F96" i="32"/>
  <c r="J95" i="32"/>
  <c r="F95" i="32"/>
  <c r="J94" i="32"/>
  <c r="F94" i="32"/>
  <c r="F92" i="32"/>
  <c r="F91" i="32"/>
  <c r="F86" i="32"/>
  <c r="F77" i="32"/>
  <c r="D76" i="32"/>
  <c r="J73" i="32"/>
  <c r="K73" i="32" s="1"/>
  <c r="F72" i="32"/>
  <c r="J69" i="32"/>
  <c r="K69" i="32" s="1"/>
  <c r="E69" i="32"/>
  <c r="F67" i="32"/>
  <c r="J64" i="32"/>
  <c r="F64" i="32"/>
  <c r="K65" i="32" s="1"/>
  <c r="J63" i="32"/>
  <c r="F63" i="32"/>
  <c r="J62" i="32"/>
  <c r="F62" i="32"/>
  <c r="F57" i="32"/>
  <c r="J52" i="32"/>
  <c r="F52" i="32"/>
  <c r="J51" i="32"/>
  <c r="F51" i="32"/>
  <c r="F50" i="32"/>
  <c r="J49" i="32"/>
  <c r="F49" i="32"/>
  <c r="K48" i="32"/>
  <c r="J47" i="32"/>
  <c r="F47" i="32"/>
  <c r="K46" i="32"/>
  <c r="K45" i="32"/>
  <c r="J44" i="32"/>
  <c r="F44" i="32"/>
  <c r="F39" i="32"/>
  <c r="F38" i="32"/>
  <c r="F37" i="32"/>
  <c r="J36" i="32"/>
  <c r="F36" i="32"/>
  <c r="J35" i="32"/>
  <c r="F35" i="32"/>
  <c r="J33" i="32"/>
  <c r="F33" i="32"/>
  <c r="J31" i="32"/>
  <c r="F31" i="32"/>
  <c r="J30" i="32"/>
  <c r="F30" i="32"/>
  <c r="F29" i="32"/>
  <c r="K29" i="32" s="1"/>
  <c r="K28" i="32"/>
  <c r="J28" i="32"/>
  <c r="F27" i="32"/>
  <c r="K27" i="32" s="1"/>
  <c r="J26" i="32"/>
  <c r="F26" i="32"/>
  <c r="J25" i="32"/>
  <c r="F25" i="32"/>
  <c r="K25" i="32" s="1"/>
  <c r="J24" i="32"/>
  <c r="F24" i="32"/>
  <c r="J22" i="32"/>
  <c r="K22" i="32" s="1"/>
  <c r="E22" i="32"/>
  <c r="J21" i="32"/>
  <c r="F21" i="32"/>
  <c r="J20" i="32"/>
  <c r="F20" i="32"/>
  <c r="J19" i="32"/>
  <c r="F19" i="32"/>
  <c r="J18" i="32"/>
  <c r="F18" i="32"/>
  <c r="J17" i="32"/>
  <c r="F17" i="32"/>
  <c r="F16" i="32"/>
  <c r="J15" i="32"/>
  <c r="F15" i="32"/>
  <c r="J14" i="32"/>
  <c r="K14" i="32" s="1"/>
  <c r="F13" i="32"/>
  <c r="J12" i="32"/>
  <c r="F12" i="32"/>
  <c r="J11" i="32"/>
  <c r="F11" i="32"/>
  <c r="J10" i="32"/>
  <c r="F10" i="32"/>
  <c r="J9" i="32"/>
  <c r="F9" i="32"/>
  <c r="J8" i="32"/>
  <c r="F8" i="32"/>
  <c r="J7" i="32"/>
  <c r="F7" i="32"/>
  <c r="J6" i="32"/>
  <c r="K6" i="32" s="1"/>
  <c r="J4" i="32"/>
  <c r="K4" i="32" s="1"/>
  <c r="J3" i="32"/>
  <c r="F3" i="32"/>
  <c r="J2" i="32"/>
  <c r="F2" i="32"/>
  <c r="E8" i="15"/>
  <c r="E7" i="15"/>
  <c r="E6" i="15"/>
  <c r="E3" i="15"/>
  <c r="C10" i="15"/>
  <c r="K42" i="32" l="1"/>
  <c r="F618" i="32"/>
  <c r="K613" i="32" s="1"/>
  <c r="K286" i="32"/>
  <c r="F410" i="32"/>
  <c r="K410" i="32" s="1"/>
  <c r="K663" i="32"/>
  <c r="K91" i="32"/>
  <c r="K97" i="32"/>
  <c r="K70" i="32"/>
  <c r="K591" i="32"/>
  <c r="K186" i="32"/>
  <c r="K119" i="32"/>
  <c r="K135" i="32"/>
  <c r="K146" i="32"/>
  <c r="K179" i="32"/>
  <c r="K188" i="32"/>
  <c r="K198" i="32"/>
  <c r="K203" i="32"/>
  <c r="K205" i="32"/>
  <c r="K217" i="32"/>
  <c r="K225" i="32"/>
  <c r="K236" i="32"/>
  <c r="K242" i="32"/>
  <c r="K244" i="32"/>
  <c r="K246" i="32"/>
  <c r="K257" i="32"/>
  <c r="K265" i="32"/>
  <c r="K301" i="32"/>
  <c r="K308" i="32"/>
  <c r="K313" i="32"/>
  <c r="K317" i="32"/>
  <c r="K320" i="32"/>
  <c r="K322" i="32"/>
  <c r="K365" i="32"/>
  <c r="K367" i="32"/>
  <c r="K374" i="32"/>
  <c r="K377" i="32"/>
  <c r="K379" i="32"/>
  <c r="K47" i="32"/>
  <c r="K141" i="32"/>
  <c r="K41" i="32"/>
  <c r="K52" i="32"/>
  <c r="K271" i="32"/>
  <c r="K362" i="32"/>
  <c r="K133" i="32"/>
  <c r="K161" i="32"/>
  <c r="K169" i="32"/>
  <c r="K178" i="32"/>
  <c r="K218" i="32"/>
  <c r="K234" i="32"/>
  <c r="K241" i="32"/>
  <c r="K243" i="32"/>
  <c r="K245" i="32"/>
  <c r="K247" i="32"/>
  <c r="K258" i="32"/>
  <c r="K263" i="32"/>
  <c r="K266" i="32"/>
  <c r="K268" i="32"/>
  <c r="K295" i="32"/>
  <c r="K296" i="32"/>
  <c r="K307" i="32"/>
  <c r="K309" i="32"/>
  <c r="K312" i="32"/>
  <c r="K318" i="32"/>
  <c r="K321" i="32"/>
  <c r="K463" i="32"/>
  <c r="K629" i="32"/>
  <c r="K633" i="32"/>
  <c r="K637" i="32"/>
  <c r="K465" i="32"/>
  <c r="K543" i="32"/>
  <c r="K439" i="32"/>
  <c r="K443" i="32"/>
  <c r="K450" i="32"/>
  <c r="K452" i="32"/>
  <c r="K492" i="32"/>
  <c r="K503" i="32"/>
  <c r="K323" i="32"/>
  <c r="K353" i="32"/>
  <c r="K690" i="32"/>
  <c r="K388" i="32"/>
  <c r="K394" i="32"/>
  <c r="K401" i="32"/>
  <c r="K434" i="32"/>
  <c r="K415" i="32"/>
  <c r="K403" i="32"/>
  <c r="K541" i="32"/>
  <c r="K551" i="32"/>
  <c r="K555" i="32"/>
  <c r="K560" i="32"/>
  <c r="K585" i="32"/>
  <c r="K597" i="32"/>
  <c r="K628" i="32"/>
  <c r="K630" i="32"/>
  <c r="K679" i="32"/>
  <c r="K283" i="32"/>
  <c r="K300" i="32"/>
  <c r="K306" i="32"/>
  <c r="K348" i="32"/>
  <c r="K422" i="32"/>
  <c r="K532" i="32"/>
  <c r="K553" i="32"/>
  <c r="K557" i="32"/>
  <c r="K559" i="32"/>
  <c r="K644" i="32"/>
  <c r="K37" i="32"/>
  <c r="K96" i="32"/>
  <c r="K101" i="32"/>
  <c r="K260" i="32"/>
  <c r="K469" i="32"/>
  <c r="K202" i="32"/>
  <c r="K342" i="32"/>
  <c r="K505" i="32"/>
  <c r="K62" i="32"/>
  <c r="K64" i="32"/>
  <c r="K21" i="32"/>
  <c r="K582" i="32"/>
  <c r="K584" i="32"/>
  <c r="K24" i="32"/>
  <c r="K331" i="32"/>
  <c r="K30" i="32"/>
  <c r="K33" i="32"/>
  <c r="K36" i="32"/>
  <c r="K297" i="32"/>
  <c r="K124" i="32"/>
  <c r="K314" i="32"/>
  <c r="K425" i="32"/>
  <c r="K437" i="32"/>
  <c r="K514" i="32"/>
  <c r="K639" i="32"/>
  <c r="K95" i="32"/>
  <c r="K123" i="32"/>
  <c r="K125" i="32"/>
  <c r="K128" i="32"/>
  <c r="K151" i="32"/>
  <c r="K155" i="32"/>
  <c r="K159" i="32"/>
  <c r="K176" i="32"/>
  <c r="K250" i="32"/>
  <c r="K284" i="32"/>
  <c r="K347" i="32"/>
  <c r="K349" i="32"/>
  <c r="K359" i="32"/>
  <c r="K360" i="32"/>
  <c r="K373" i="32"/>
  <c r="K376" i="32"/>
  <c r="K378" i="32"/>
  <c r="K416" i="32"/>
  <c r="K418" i="32"/>
  <c r="K433" i="32"/>
  <c r="K440" i="32"/>
  <c r="K446" i="32"/>
  <c r="K449" i="32"/>
  <c r="K451" i="32"/>
  <c r="K453" i="32"/>
  <c r="K458" i="32"/>
  <c r="K467" i="32"/>
  <c r="K496" i="32"/>
  <c r="K504" i="32"/>
  <c r="K506" i="32"/>
  <c r="K507" i="32"/>
  <c r="K529" i="32"/>
  <c r="K534" i="32"/>
  <c r="K549" i="32"/>
  <c r="K564" i="32"/>
  <c r="K567" i="32"/>
  <c r="K595" i="32"/>
  <c r="K20" i="32"/>
  <c r="K9" i="32"/>
  <c r="K11" i="32"/>
  <c r="K75" i="32"/>
  <c r="K229" i="32"/>
  <c r="K274" i="32"/>
  <c r="K294" i="32"/>
  <c r="K447" i="32"/>
  <c r="K464" i="32"/>
  <c r="K647" i="32"/>
  <c r="K120" i="32"/>
  <c r="K189" i="32"/>
  <c r="K285" i="32"/>
  <c r="K303" i="32"/>
  <c r="K336" i="32"/>
  <c r="K343" i="32"/>
  <c r="K345" i="32"/>
  <c r="K420" i="32"/>
  <c r="K224" i="32"/>
  <c r="K412" i="32"/>
  <c r="K262" i="32"/>
  <c r="K335" i="32"/>
  <c r="K363" i="32"/>
  <c r="K565" i="32"/>
  <c r="K632" i="32"/>
  <c r="K15" i="32"/>
  <c r="K8" i="32"/>
  <c r="K18" i="32"/>
  <c r="K94" i="32"/>
  <c r="K99" i="32"/>
  <c r="K145" i="32"/>
  <c r="K272" i="32"/>
  <c r="K288" i="32"/>
  <c r="K292" i="32"/>
  <c r="K328" i="32"/>
  <c r="K355" i="32"/>
  <c r="K357" i="32"/>
  <c r="K400" i="32"/>
  <c r="K402" i="32"/>
  <c r="K411" i="32"/>
  <c r="K488" i="32"/>
  <c r="F579" i="32"/>
  <c r="K579" i="32" s="1"/>
  <c r="K581" i="32"/>
  <c r="K239" i="32"/>
  <c r="K631" i="32"/>
  <c r="K664" i="32"/>
  <c r="K674" i="32"/>
  <c r="K7" i="32"/>
  <c r="K17" i="32"/>
  <c r="K170" i="32"/>
  <c r="K270" i="32"/>
  <c r="K330" i="32"/>
  <c r="K361" i="32"/>
  <c r="K391" i="32"/>
  <c r="K413" i="32"/>
  <c r="K545" i="32"/>
  <c r="K547" i="32"/>
  <c r="K588" i="32"/>
  <c r="K636" i="32"/>
  <c r="K291" i="32"/>
  <c r="K302" i="32"/>
  <c r="K344" i="32"/>
  <c r="K419" i="32"/>
  <c r="K436" i="32"/>
  <c r="K2" i="32"/>
  <c r="K31" i="32"/>
  <c r="K51" i="32"/>
  <c r="K122" i="32"/>
  <c r="K156" i="32"/>
  <c r="K162" i="32"/>
  <c r="K164" i="32"/>
  <c r="K182" i="32"/>
  <c r="K298" i="32"/>
  <c r="K442" i="32"/>
  <c r="K445" i="32"/>
  <c r="K459" i="32"/>
  <c r="K508" i="32"/>
  <c r="K10" i="32"/>
  <c r="K35" i="32"/>
  <c r="K44" i="32"/>
  <c r="K49" i="32"/>
  <c r="K63" i="32"/>
  <c r="K181" i="32"/>
  <c r="K190" i="32"/>
  <c r="K204" i="32"/>
  <c r="K219" i="32"/>
  <c r="K221" i="32"/>
  <c r="K237" i="32"/>
  <c r="K240" i="32"/>
  <c r="K542" i="32"/>
  <c r="K19" i="32"/>
  <c r="K152" i="32"/>
  <c r="K184" i="32"/>
  <c r="K249" i="32"/>
  <c r="K267" i="32"/>
  <c r="K426" i="32"/>
  <c r="K561" i="32"/>
  <c r="K672" i="32"/>
  <c r="K5" i="32"/>
  <c r="K3" i="32"/>
  <c r="K230" i="32"/>
  <c r="K238" i="32"/>
  <c r="K256" i="32"/>
  <c r="K333" i="32"/>
  <c r="K356" i="32"/>
  <c r="F386" i="32"/>
  <c r="K382" i="32" s="1"/>
  <c r="K468" i="32"/>
  <c r="K661" i="32"/>
  <c r="D477" i="32"/>
  <c r="D482" i="32" s="1"/>
  <c r="D485" i="32" s="1"/>
  <c r="F476" i="32"/>
  <c r="F477" i="32" s="1"/>
  <c r="F482" i="32" s="1"/>
  <c r="F485" i="32" s="1"/>
  <c r="K226" i="32"/>
  <c r="K233" i="32"/>
  <c r="K352" i="32"/>
  <c r="K389" i="32"/>
  <c r="K490" i="32"/>
  <c r="K497" i="32"/>
  <c r="K558" i="32"/>
  <c r="J70" i="30"/>
  <c r="J470" i="30"/>
  <c r="J314" i="30"/>
  <c r="J466" i="30"/>
  <c r="J711" i="30"/>
  <c r="J494" i="30"/>
  <c r="J681" i="30"/>
  <c r="J394" i="30"/>
  <c r="J716" i="30"/>
  <c r="J593" i="30"/>
  <c r="F755" i="30"/>
  <c r="F385" i="30"/>
  <c r="J384" i="30"/>
  <c r="J754" i="30"/>
  <c r="K754" i="30" s="1"/>
  <c r="J697" i="30"/>
  <c r="K697" i="30" s="1"/>
  <c r="J251" i="30"/>
  <c r="J324" i="30"/>
  <c r="K324" i="30" s="1"/>
  <c r="F590" i="30"/>
  <c r="I26" i="26"/>
  <c r="F26" i="26"/>
  <c r="H26" i="26"/>
  <c r="F538" i="30"/>
  <c r="K486" i="32" l="1"/>
  <c r="J64" i="30"/>
  <c r="E8" i="30" l="1"/>
  <c r="F244" i="30"/>
  <c r="F243" i="30"/>
  <c r="F242" i="30"/>
  <c r="F560" i="30"/>
  <c r="F559" i="30"/>
  <c r="F109" i="30" l="1"/>
  <c r="F139" i="30"/>
  <c r="F753" i="30"/>
  <c r="F752" i="30"/>
  <c r="F453" i="30" l="1"/>
  <c r="J88" i="30"/>
  <c r="K663" i="28" l="1"/>
  <c r="K662" i="28"/>
  <c r="K661" i="28"/>
  <c r="D666" i="30"/>
  <c r="F665" i="30"/>
  <c r="F664" i="30"/>
  <c r="F663" i="30"/>
  <c r="F662" i="30"/>
  <c r="D665" i="28"/>
  <c r="F662" i="28"/>
  <c r="F663" i="28"/>
  <c r="F664" i="28"/>
  <c r="F661" i="28"/>
  <c r="C55" i="31"/>
  <c r="C35" i="31"/>
  <c r="C13" i="31"/>
  <c r="F535" i="30"/>
  <c r="F536" i="30"/>
  <c r="F534" i="30"/>
  <c r="F533" i="30"/>
  <c r="D531" i="30"/>
  <c r="D532" i="30" s="1"/>
  <c r="D537" i="30" s="1"/>
  <c r="D539" i="30" s="1"/>
  <c r="F530" i="30"/>
  <c r="F529" i="30"/>
  <c r="F528" i="30"/>
  <c r="F527" i="30"/>
  <c r="F526" i="30"/>
  <c r="F541" i="30"/>
  <c r="F542" i="30"/>
  <c r="F441" i="30"/>
  <c r="F440" i="30"/>
  <c r="F439" i="30"/>
  <c r="F438" i="30"/>
  <c r="F666" i="30" l="1"/>
  <c r="K662" i="30" s="1"/>
  <c r="F665" i="28"/>
  <c r="L663" i="28" s="1"/>
  <c r="F531" i="30"/>
  <c r="F532" i="30" s="1"/>
  <c r="F537" i="30" s="1"/>
  <c r="F539" i="30" s="1"/>
  <c r="F260" i="30"/>
  <c r="J422" i="30"/>
  <c r="K466" i="30"/>
  <c r="K470" i="30"/>
  <c r="J469" i="30"/>
  <c r="J751" i="30"/>
  <c r="J703" i="30"/>
  <c r="J310" i="30"/>
  <c r="J374" i="30"/>
  <c r="J33" i="30"/>
  <c r="J430" i="30"/>
  <c r="J268" i="30"/>
  <c r="F47" i="30"/>
  <c r="J460" i="30"/>
  <c r="K460" i="30" s="1"/>
  <c r="F749" i="30"/>
  <c r="F589" i="30"/>
  <c r="J689" i="30"/>
  <c r="D107" i="24"/>
  <c r="B111" i="24" s="1"/>
  <c r="B102" i="24"/>
  <c r="B112" i="24" s="1"/>
  <c r="B113" i="24" l="1"/>
  <c r="F351" i="30"/>
  <c r="K351" i="30" s="1"/>
  <c r="J350" i="30"/>
  <c r="F350" i="30"/>
  <c r="K350" i="30" l="1"/>
  <c r="F82" i="30"/>
  <c r="J332" i="30"/>
  <c r="K332" i="30" s="1"/>
  <c r="J18" i="30"/>
  <c r="J37" i="30"/>
  <c r="K37" i="30" s="1"/>
  <c r="J284" i="30"/>
  <c r="J739" i="30"/>
  <c r="K739" i="30" s="1"/>
  <c r="J2" i="30"/>
  <c r="J615" i="30"/>
  <c r="F720" i="30" l="1"/>
  <c r="F719" i="30"/>
  <c r="J700" i="30" l="1"/>
  <c r="F700" i="30"/>
  <c r="J557" i="30"/>
  <c r="F557" i="30"/>
  <c r="J688" i="30"/>
  <c r="J286" i="30"/>
  <c r="J709" i="30"/>
  <c r="K557" i="30" l="1"/>
  <c r="K700" i="30"/>
  <c r="J207" i="30"/>
  <c r="J376" i="30"/>
  <c r="J32" i="30"/>
  <c r="F32" i="30"/>
  <c r="J249" i="30"/>
  <c r="J250" i="30"/>
  <c r="J248" i="30"/>
  <c r="J247" i="30"/>
  <c r="J433" i="30"/>
  <c r="H147" i="7" l="1"/>
  <c r="F746" i="30"/>
  <c r="F745" i="30"/>
  <c r="J341" i="30"/>
  <c r="F646" i="30" l="1"/>
  <c r="F39" i="30"/>
  <c r="F171" i="30"/>
  <c r="F147" i="30"/>
  <c r="J246" i="30"/>
  <c r="J682" i="30"/>
  <c r="K682" i="30" s="1"/>
  <c r="F682" i="30"/>
  <c r="J254" i="30"/>
  <c r="J486" i="30"/>
  <c r="D420" i="30"/>
  <c r="F418" i="30"/>
  <c r="F417" i="30"/>
  <c r="F416" i="30"/>
  <c r="F414" i="30"/>
  <c r="J391" i="30"/>
  <c r="J28" i="30"/>
  <c r="J26" i="30"/>
  <c r="K26" i="30" s="1"/>
  <c r="E26" i="30"/>
  <c r="F420" i="30" l="1"/>
  <c r="J155" i="30"/>
  <c r="F157" i="30"/>
  <c r="D434" i="30"/>
  <c r="F434" i="30" s="1"/>
  <c r="D438" i="28" l="1"/>
  <c r="F438" i="28" s="1"/>
  <c r="J253" i="30" l="1"/>
  <c r="J411" i="30"/>
  <c r="J412" i="30"/>
  <c r="K412" i="30" s="1"/>
  <c r="J737" i="30"/>
  <c r="K737" i="30" s="1"/>
  <c r="F743" i="30"/>
  <c r="J742" i="30" l="1"/>
  <c r="F15" i="15"/>
  <c r="F150" i="30"/>
  <c r="E618" i="30"/>
  <c r="J562" i="30" l="1"/>
  <c r="F741" i="30"/>
  <c r="J740" i="30"/>
  <c r="J73" i="30"/>
  <c r="J19" i="30"/>
  <c r="F360" i="30" l="1"/>
  <c r="F680" i="28"/>
  <c r="F437" i="30"/>
  <c r="F615" i="30" l="1"/>
  <c r="K615" i="30" s="1"/>
  <c r="J299" i="30" l="1"/>
  <c r="K299" i="30" s="1"/>
  <c r="J683" i="30"/>
  <c r="J298" i="30"/>
  <c r="J554" i="30"/>
  <c r="J734" i="30"/>
  <c r="K734" i="30" s="1"/>
  <c r="J634" i="30"/>
  <c r="J297" i="30"/>
  <c r="J509" i="30"/>
  <c r="J375" i="30"/>
  <c r="J245" i="30"/>
  <c r="J738" i="30"/>
  <c r="K738" i="30" s="1"/>
  <c r="E738" i="30"/>
  <c r="J368" i="30"/>
  <c r="J396" i="30"/>
  <c r="J337" i="30"/>
  <c r="J480" i="30"/>
  <c r="J379" i="30"/>
  <c r="K736" i="30"/>
  <c r="J736" i="30"/>
  <c r="J372" i="30"/>
  <c r="J680" i="30"/>
  <c r="J733" i="30"/>
  <c r="K733" i="30" s="1"/>
  <c r="J732" i="30"/>
  <c r="K732" i="30" s="1"/>
  <c r="J392" i="30"/>
  <c r="J393" i="30"/>
  <c r="J169" i="30"/>
  <c r="F731" i="30"/>
  <c r="J371" i="30"/>
  <c r="J672" i="30"/>
  <c r="J675" i="30"/>
  <c r="J173" i="30"/>
  <c r="F216" i="30"/>
  <c r="J214" i="30"/>
  <c r="K214" i="30" s="1"/>
  <c r="J215" i="30"/>
  <c r="J76" i="30"/>
  <c r="J369" i="30"/>
  <c r="J674" i="30"/>
  <c r="J676" i="30"/>
  <c r="J673" i="30"/>
  <c r="J373" i="30"/>
  <c r="J583" i="30"/>
  <c r="J517" i="30"/>
  <c r="F659" i="30" l="1"/>
  <c r="J659" i="30"/>
  <c r="J136" i="30"/>
  <c r="K136" i="30" s="1"/>
  <c r="J650" i="30"/>
  <c r="F297" i="30" l="1"/>
  <c r="K297" i="30" s="1"/>
  <c r="F359" i="30" l="1"/>
  <c r="E396" i="30" l="1"/>
  <c r="F299" i="30"/>
  <c r="F393" i="30"/>
  <c r="K393" i="30" s="1"/>
  <c r="F392" i="30"/>
  <c r="J346" i="30" l="1"/>
  <c r="J707" i="30"/>
  <c r="J112" i="30"/>
  <c r="J75" i="30"/>
  <c r="K75" i="30" s="1"/>
  <c r="K88" i="30"/>
  <c r="F730" i="30"/>
  <c r="J34" i="30"/>
  <c r="J367" i="30"/>
  <c r="J729" i="30"/>
  <c r="J377" i="30"/>
  <c r="J677" i="30"/>
  <c r="J595" i="30"/>
  <c r="F595" i="30"/>
  <c r="F728" i="30"/>
  <c r="J727" i="30"/>
  <c r="F727" i="30"/>
  <c r="F154" i="30"/>
  <c r="J151" i="30"/>
  <c r="K151" i="30" s="1"/>
  <c r="D38" i="28"/>
  <c r="F36" i="30"/>
  <c r="J35" i="30"/>
  <c r="F724" i="30"/>
  <c r="F491" i="30"/>
  <c r="F723" i="30"/>
  <c r="F478" i="30"/>
  <c r="F179" i="30"/>
  <c r="J699" i="30"/>
  <c r="K699" i="30" s="1"/>
  <c r="F505" i="30"/>
  <c r="J503" i="30"/>
  <c r="K503" i="30" s="1"/>
  <c r="J217" i="30"/>
  <c r="J629" i="30"/>
  <c r="K727" i="30" l="1"/>
  <c r="K595" i="30"/>
  <c r="F159" i="30"/>
  <c r="F160" i="30"/>
  <c r="F158" i="30"/>
  <c r="J166" i="30"/>
  <c r="K166" i="30" s="1"/>
  <c r="F155" i="30"/>
  <c r="J62" i="30"/>
  <c r="J722" i="30"/>
  <c r="J586" i="30"/>
  <c r="J691" i="30"/>
  <c r="K691" i="30" s="1"/>
  <c r="J241" i="30"/>
  <c r="J502" i="30"/>
  <c r="J721" i="30"/>
  <c r="K721" i="30" s="1"/>
  <c r="J568" i="30"/>
  <c r="K568" i="30" s="1"/>
  <c r="J569" i="30"/>
  <c r="K569" i="30" s="1"/>
  <c r="J61" i="30"/>
  <c r="J116" i="30"/>
  <c r="F161" i="30"/>
  <c r="J651" i="30"/>
  <c r="J614" i="30"/>
  <c r="J118" i="30"/>
  <c r="J113" i="30"/>
  <c r="F145" i="28" l="1"/>
  <c r="D759" i="30" l="1"/>
  <c r="J611" i="30" l="1"/>
  <c r="J610" i="30"/>
  <c r="F514" i="30"/>
  <c r="F509" i="30"/>
  <c r="K509" i="30" s="1"/>
  <c r="F433" i="30"/>
  <c r="K433" i="30" s="1"/>
  <c r="F422" i="30"/>
  <c r="K422" i="30" s="1"/>
  <c r="F415" i="30"/>
  <c r="D411" i="30"/>
  <c r="J400" i="30"/>
  <c r="F397" i="30"/>
  <c r="K408" i="28"/>
  <c r="F407" i="28"/>
  <c r="K406" i="28"/>
  <c r="K405" i="28"/>
  <c r="F404" i="28"/>
  <c r="K403" i="28"/>
  <c r="L403" i="28" s="1"/>
  <c r="K401" i="28"/>
  <c r="F401" i="28"/>
  <c r="K400" i="28"/>
  <c r="F400" i="28"/>
  <c r="F399" i="28"/>
  <c r="K398" i="28"/>
  <c r="F398" i="28"/>
  <c r="K397" i="28"/>
  <c r="F397" i="28"/>
  <c r="K396" i="28"/>
  <c r="F396" i="28"/>
  <c r="K395" i="28"/>
  <c r="F395" i="28"/>
  <c r="K394" i="28"/>
  <c r="F394" i="28"/>
  <c r="F393" i="28"/>
  <c r="K392" i="28"/>
  <c r="F392" i="28"/>
  <c r="K391" i="28"/>
  <c r="F391" i="28"/>
  <c r="K390" i="28"/>
  <c r="F390" i="28"/>
  <c r="K389" i="28"/>
  <c r="F389" i="28"/>
  <c r="K388" i="28"/>
  <c r="F388" i="28"/>
  <c r="K387" i="28"/>
  <c r="L387" i="28" s="1"/>
  <c r="K386" i="28"/>
  <c r="F386" i="28"/>
  <c r="K385" i="28"/>
  <c r="L385" i="28" s="1"/>
  <c r="K384" i="28"/>
  <c r="F384" i="28"/>
  <c r="K383" i="28"/>
  <c r="F383" i="28"/>
  <c r="L383" i="28" s="1"/>
  <c r="K382" i="28"/>
  <c r="F382" i="28"/>
  <c r="K381" i="28"/>
  <c r="F381" i="28"/>
  <c r="L381" i="28" s="1"/>
  <c r="F380" i="28"/>
  <c r="K379" i="28"/>
  <c r="F379" i="28"/>
  <c r="K378" i="28"/>
  <c r="F378" i="28"/>
  <c r="K377" i="28"/>
  <c r="F377" i="28"/>
  <c r="K376" i="28"/>
  <c r="F376" i="28"/>
  <c r="K375" i="28"/>
  <c r="F375" i="28"/>
  <c r="K374" i="28"/>
  <c r="L374" i="28" s="1"/>
  <c r="K373" i="28"/>
  <c r="F373" i="28"/>
  <c r="K372" i="28"/>
  <c r="L372" i="28" s="1"/>
  <c r="K371" i="28"/>
  <c r="F371" i="28"/>
  <c r="K370" i="28"/>
  <c r="F370" i="28"/>
  <c r="K369" i="28"/>
  <c r="F369" i="28"/>
  <c r="F368" i="28"/>
  <c r="K367" i="28"/>
  <c r="F367" i="28"/>
  <c r="K366" i="28"/>
  <c r="F366" i="28"/>
  <c r="K365" i="28"/>
  <c r="F365" i="28"/>
  <c r="K364" i="28"/>
  <c r="F364" i="28"/>
  <c r="F363" i="28"/>
  <c r="F362" i="28"/>
  <c r="L362" i="28" s="1"/>
  <c r="K361" i="28"/>
  <c r="F361" i="28"/>
  <c r="K360" i="28"/>
  <c r="F360" i="28"/>
  <c r="L360" i="28" s="1"/>
  <c r="K358" i="28"/>
  <c r="F358" i="28"/>
  <c r="K357" i="28"/>
  <c r="F357" i="28"/>
  <c r="L357" i="28" s="1"/>
  <c r="K356" i="28"/>
  <c r="F356" i="28"/>
  <c r="F355" i="28"/>
  <c r="L355" i="28" s="1"/>
  <c r="K354" i="28"/>
  <c r="F354" i="28"/>
  <c r="K353" i="28"/>
  <c r="F353" i="28"/>
  <c r="K352" i="28"/>
  <c r="F352" i="28"/>
  <c r="K351" i="28"/>
  <c r="F351" i="28"/>
  <c r="K350" i="28"/>
  <c r="F350" i="28"/>
  <c r="K349" i="28"/>
  <c r="L349" i="28" s="1"/>
  <c r="K348" i="28"/>
  <c r="F348" i="28"/>
  <c r="K347" i="28"/>
  <c r="F347" i="28"/>
  <c r="K346" i="28"/>
  <c r="F346" i="28"/>
  <c r="L346" i="28" s="1"/>
  <c r="K345" i="28"/>
  <c r="F345" i="28"/>
  <c r="K344" i="28"/>
  <c r="F344" i="28"/>
  <c r="F343" i="28"/>
  <c r="K342" i="28"/>
  <c r="F342" i="28"/>
  <c r="F341" i="28"/>
  <c r="K340" i="28"/>
  <c r="F340" i="28"/>
  <c r="K339" i="28"/>
  <c r="F339" i="28"/>
  <c r="K338" i="28"/>
  <c r="F338" i="28"/>
  <c r="K337" i="28"/>
  <c r="F337" i="28"/>
  <c r="K336" i="28"/>
  <c r="F336" i="28"/>
  <c r="K335" i="28"/>
  <c r="K334" i="28"/>
  <c r="F334" i="28"/>
  <c r="K333" i="28"/>
  <c r="L333" i="28" s="1"/>
  <c r="K332" i="28"/>
  <c r="F332" i="28"/>
  <c r="K331" i="28"/>
  <c r="F331" i="28"/>
  <c r="K330" i="28"/>
  <c r="L330" i="28" s="1"/>
  <c r="K329" i="28"/>
  <c r="F329" i="28"/>
  <c r="K328" i="28"/>
  <c r="F328" i="28"/>
  <c r="K327" i="28"/>
  <c r="F327" i="28"/>
  <c r="K326" i="28"/>
  <c r="F326" i="28"/>
  <c r="K325" i="28"/>
  <c r="F325" i="28"/>
  <c r="K324" i="28"/>
  <c r="F324" i="28"/>
  <c r="K322" i="28"/>
  <c r="D320" i="28"/>
  <c r="F318" i="28"/>
  <c r="K316" i="28"/>
  <c r="L316" i="28" s="1"/>
  <c r="F315" i="28"/>
  <c r="K314" i="28"/>
  <c r="F314" i="28"/>
  <c r="K313" i="28"/>
  <c r="F313" i="28"/>
  <c r="K312" i="28"/>
  <c r="F312" i="28"/>
  <c r="K311" i="28"/>
  <c r="K310" i="28"/>
  <c r="F310" i="28"/>
  <c r="K309" i="28"/>
  <c r="F309" i="28"/>
  <c r="K308" i="28"/>
  <c r="F308" i="28"/>
  <c r="K307" i="28"/>
  <c r="F307" i="28"/>
  <c r="K306" i="28"/>
  <c r="F306" i="28"/>
  <c r="K305" i="28"/>
  <c r="F304" i="28"/>
  <c r="F303" i="28"/>
  <c r="F302" i="28"/>
  <c r="K301" i="28"/>
  <c r="F301" i="28"/>
  <c r="K299" i="28"/>
  <c r="L299" i="28" s="1"/>
  <c r="K298" i="28"/>
  <c r="F298" i="28"/>
  <c r="K297" i="28"/>
  <c r="L297" i="28" s="1"/>
  <c r="K296" i="28"/>
  <c r="F296" i="28"/>
  <c r="K295" i="28"/>
  <c r="F295" i="28"/>
  <c r="K294" i="28"/>
  <c r="F294" i="28"/>
  <c r="F293" i="28"/>
  <c r="K288" i="28"/>
  <c r="L288" i="28" s="1"/>
  <c r="K287" i="28"/>
  <c r="F287" i="28"/>
  <c r="K285" i="28"/>
  <c r="F285" i="28"/>
  <c r="K284" i="28"/>
  <c r="L284" i="28" s="1"/>
  <c r="K283" i="28"/>
  <c r="F283" i="28"/>
  <c r="F282" i="28"/>
  <c r="F281" i="28"/>
  <c r="K280" i="28"/>
  <c r="F280" i="28"/>
  <c r="K279" i="28"/>
  <c r="F279" i="28"/>
  <c r="K278" i="28"/>
  <c r="F278" i="28"/>
  <c r="K277" i="28"/>
  <c r="F277" i="28"/>
  <c r="K276" i="28"/>
  <c r="F276" i="28"/>
  <c r="K275" i="28"/>
  <c r="F275" i="28"/>
  <c r="F274" i="28"/>
  <c r="K274" i="28" s="1"/>
  <c r="L274" i="28" s="1"/>
  <c r="K273" i="28"/>
  <c r="F273" i="28"/>
  <c r="K272" i="28"/>
  <c r="F272" i="28"/>
  <c r="K271" i="28"/>
  <c r="F271" i="28"/>
  <c r="K270" i="28"/>
  <c r="F270" i="28"/>
  <c r="K268" i="28"/>
  <c r="F268" i="28"/>
  <c r="K267" i="28"/>
  <c r="F267" i="28"/>
  <c r="K266" i="28"/>
  <c r="F266" i="28"/>
  <c r="L266" i="28" s="1"/>
  <c r="F265" i="28"/>
  <c r="L265" i="28" s="1"/>
  <c r="K264" i="28"/>
  <c r="F264" i="28"/>
  <c r="K263" i="28"/>
  <c r="F263" i="28"/>
  <c r="K262" i="28"/>
  <c r="L262" i="28" s="1"/>
  <c r="K261" i="28"/>
  <c r="F261" i="28"/>
  <c r="K260" i="28"/>
  <c r="F260" i="28"/>
  <c r="K259" i="28"/>
  <c r="F259" i="28"/>
  <c r="K258" i="28"/>
  <c r="F258" i="28"/>
  <c r="K257" i="28"/>
  <c r="F257" i="28"/>
  <c r="F256" i="28"/>
  <c r="L256" i="28" s="1"/>
  <c r="K255" i="28"/>
  <c r="F255" i="28"/>
  <c r="K254" i="28"/>
  <c r="F254" i="28"/>
  <c r="K253" i="28"/>
  <c r="F253" i="28"/>
  <c r="K243" i="28"/>
  <c r="L243" i="28" s="1"/>
  <c r="F243" i="28"/>
  <c r="K242" i="28"/>
  <c r="F242" i="28"/>
  <c r="K241" i="28"/>
  <c r="F241" i="28"/>
  <c r="K240" i="28"/>
  <c r="F240" i="28"/>
  <c r="K239" i="28"/>
  <c r="F239" i="28"/>
  <c r="K233" i="28"/>
  <c r="F233" i="28"/>
  <c r="K232" i="28"/>
  <c r="L232" i="28" s="1"/>
  <c r="E232" i="28"/>
  <c r="F231" i="28"/>
  <c r="L231" i="28" s="1"/>
  <c r="K229" i="28"/>
  <c r="F229" i="28"/>
  <c r="K227" i="28"/>
  <c r="F227" i="28"/>
  <c r="K226" i="28"/>
  <c r="F226" i="28"/>
  <c r="K225" i="28"/>
  <c r="F225" i="28"/>
  <c r="J718" i="30"/>
  <c r="F717" i="30"/>
  <c r="K717" i="30" s="1"/>
  <c r="F716" i="30"/>
  <c r="K716" i="30" s="1"/>
  <c r="J715" i="30"/>
  <c r="K715" i="30" s="1"/>
  <c r="F714" i="30"/>
  <c r="K714" i="30" s="1"/>
  <c r="F713" i="30"/>
  <c r="J712" i="30"/>
  <c r="K712" i="30" s="1"/>
  <c r="F711" i="30"/>
  <c r="K711" i="30" s="1"/>
  <c r="F710" i="30"/>
  <c r="K710" i="30" s="1"/>
  <c r="F709" i="30"/>
  <c r="K709" i="30" s="1"/>
  <c r="F703" i="30"/>
  <c r="K703" i="30" s="1"/>
  <c r="J702" i="30"/>
  <c r="F702" i="30"/>
  <c r="D701" i="30"/>
  <c r="F701" i="30" s="1"/>
  <c r="J698" i="30"/>
  <c r="K698" i="30" s="1"/>
  <c r="J696" i="30"/>
  <c r="K696" i="30" s="1"/>
  <c r="J695" i="30"/>
  <c r="K695" i="30" s="1"/>
  <c r="F693" i="30"/>
  <c r="J692" i="30"/>
  <c r="F692" i="30"/>
  <c r="F688" i="30"/>
  <c r="K688" i="30" s="1"/>
  <c r="F687" i="30"/>
  <c r="F683" i="30"/>
  <c r="F681" i="30"/>
  <c r="K681" i="30" s="1"/>
  <c r="F680" i="30"/>
  <c r="K680" i="30" s="1"/>
  <c r="F677" i="30"/>
  <c r="K677" i="30" s="1"/>
  <c r="F676" i="30"/>
  <c r="K676" i="30" s="1"/>
  <c r="F675" i="30"/>
  <c r="K675" i="30" s="1"/>
  <c r="F674" i="30"/>
  <c r="K674" i="30" s="1"/>
  <c r="F673" i="30"/>
  <c r="K673" i="30" s="1"/>
  <c r="F672" i="30"/>
  <c r="K672" i="30" s="1"/>
  <c r="J671" i="30"/>
  <c r="K671" i="30" s="1"/>
  <c r="J670" i="30"/>
  <c r="K670" i="30" s="1"/>
  <c r="J669" i="30"/>
  <c r="K669" i="30" s="1"/>
  <c r="J668" i="30"/>
  <c r="K668" i="30" s="1"/>
  <c r="J661" i="30"/>
  <c r="K661" i="30" s="1"/>
  <c r="J660" i="30"/>
  <c r="J654" i="30"/>
  <c r="K654" i="30" s="1"/>
  <c r="F651" i="30"/>
  <c r="K651" i="30" s="1"/>
  <c r="F648" i="30"/>
  <c r="D649" i="30" s="1"/>
  <c r="J647" i="30"/>
  <c r="F647" i="30"/>
  <c r="F645" i="30"/>
  <c r="J644" i="30"/>
  <c r="F644" i="30"/>
  <c r="J639" i="30"/>
  <c r="K639" i="30" s="1"/>
  <c r="J638" i="30"/>
  <c r="F638" i="30"/>
  <c r="J637" i="30"/>
  <c r="K637" i="30" s="1"/>
  <c r="J636" i="30"/>
  <c r="J635" i="30"/>
  <c r="F635" i="30"/>
  <c r="F634" i="30"/>
  <c r="J633" i="30"/>
  <c r="F633" i="30"/>
  <c r="K633" i="30" s="1"/>
  <c r="J632" i="30"/>
  <c r="F632" i="30"/>
  <c r="J631" i="30"/>
  <c r="F631" i="30"/>
  <c r="D629" i="30"/>
  <c r="F628" i="30"/>
  <c r="F627" i="30"/>
  <c r="F626" i="30"/>
  <c r="F625" i="30"/>
  <c r="F624" i="30"/>
  <c r="J618" i="30"/>
  <c r="K618" i="30" s="1"/>
  <c r="J617" i="30"/>
  <c r="F617" i="30"/>
  <c r="F614" i="30"/>
  <c r="F612" i="30"/>
  <c r="F611" i="30"/>
  <c r="F610" i="30"/>
  <c r="J609" i="30"/>
  <c r="F609" i="30"/>
  <c r="J608" i="30"/>
  <c r="F608" i="30"/>
  <c r="J607" i="30"/>
  <c r="F607" i="30"/>
  <c r="J605" i="30"/>
  <c r="F605" i="30"/>
  <c r="J604" i="30"/>
  <c r="F604" i="30"/>
  <c r="J602" i="30"/>
  <c r="F602" i="30"/>
  <c r="J601" i="30"/>
  <c r="K601" i="30" s="1"/>
  <c r="J600" i="30"/>
  <c r="F600" i="30"/>
  <c r="J599" i="30"/>
  <c r="K599" i="30" s="1"/>
  <c r="J598" i="30"/>
  <c r="F598" i="30"/>
  <c r="J597" i="30"/>
  <c r="K597" i="30" s="1"/>
  <c r="J594" i="30"/>
  <c r="J592" i="30"/>
  <c r="F592" i="30"/>
  <c r="K593" i="30" s="1"/>
  <c r="J591" i="30"/>
  <c r="F591" i="30"/>
  <c r="F588" i="30"/>
  <c r="F586" i="30"/>
  <c r="K586" i="30" s="1"/>
  <c r="J585" i="30"/>
  <c r="F585" i="30"/>
  <c r="J584" i="30"/>
  <c r="K584" i="30" s="1"/>
  <c r="F583" i="30"/>
  <c r="K583" i="30" s="1"/>
  <c r="J582" i="30"/>
  <c r="K582" i="30" s="1"/>
  <c r="J581" i="30"/>
  <c r="K581" i="30" s="1"/>
  <c r="J579" i="30"/>
  <c r="F579" i="30"/>
  <c r="F567" i="30"/>
  <c r="J566" i="30"/>
  <c r="F566" i="30"/>
  <c r="J564" i="30"/>
  <c r="K564" i="30" s="1"/>
  <c r="K562" i="30"/>
  <c r="J559" i="30"/>
  <c r="K559" i="30" s="1"/>
  <c r="J558" i="30"/>
  <c r="F558" i="30"/>
  <c r="J556" i="30"/>
  <c r="F556" i="30"/>
  <c r="J555" i="30"/>
  <c r="F555" i="30"/>
  <c r="F554" i="30"/>
  <c r="K554" i="30" s="1"/>
  <c r="J553" i="30"/>
  <c r="K553" i="30" s="1"/>
  <c r="F552" i="30"/>
  <c r="K552" i="30" s="1"/>
  <c r="J551" i="30"/>
  <c r="F551" i="30"/>
  <c r="J550" i="30"/>
  <c r="F550" i="30"/>
  <c r="J549" i="30"/>
  <c r="K549" i="30" s="1"/>
  <c r="J548" i="30"/>
  <c r="K548" i="30" s="1"/>
  <c r="F548" i="30"/>
  <c r="J547" i="30"/>
  <c r="K547" i="30" s="1"/>
  <c r="J546" i="30"/>
  <c r="F546" i="30"/>
  <c r="J545" i="30"/>
  <c r="F545" i="30"/>
  <c r="J544" i="30"/>
  <c r="K544" i="30" s="1"/>
  <c r="J542" i="30"/>
  <c r="F524" i="30"/>
  <c r="D522" i="30"/>
  <c r="D523" i="30" s="1"/>
  <c r="D525" i="30" s="1"/>
  <c r="F521" i="30"/>
  <c r="F520" i="30"/>
  <c r="F519" i="30"/>
  <c r="F518" i="30"/>
  <c r="F517" i="30"/>
  <c r="J516" i="30"/>
  <c r="K516" i="30" s="1"/>
  <c r="F516" i="30"/>
  <c r="J515" i="30"/>
  <c r="F515" i="30"/>
  <c r="J513" i="30"/>
  <c r="F513" i="30"/>
  <c r="F512" i="30"/>
  <c r="J511" i="30"/>
  <c r="F511" i="30"/>
  <c r="J510" i="30"/>
  <c r="F510" i="30"/>
  <c r="J508" i="30"/>
  <c r="K508" i="30" s="1"/>
  <c r="E508" i="30"/>
  <c r="F507" i="30"/>
  <c r="K507" i="30" s="1"/>
  <c r="F502" i="30"/>
  <c r="K502" i="30" s="1"/>
  <c r="J501" i="30"/>
  <c r="F501" i="30"/>
  <c r="F499" i="30"/>
  <c r="K499" i="30" s="1"/>
  <c r="J497" i="30"/>
  <c r="K497" i="30" s="1"/>
  <c r="J496" i="30"/>
  <c r="F496" i="30"/>
  <c r="J495" i="30"/>
  <c r="F495" i="30"/>
  <c r="F494" i="30"/>
  <c r="K494" i="30" s="1"/>
  <c r="J493" i="30"/>
  <c r="F493" i="30"/>
  <c r="J492" i="30"/>
  <c r="F492" i="30"/>
  <c r="J490" i="30"/>
  <c r="K490" i="30" s="1"/>
  <c r="J489" i="30"/>
  <c r="F489" i="30"/>
  <c r="J488" i="30"/>
  <c r="F488" i="30"/>
  <c r="K486" i="30"/>
  <c r="F486" i="30"/>
  <c r="J485" i="30"/>
  <c r="F485" i="30"/>
  <c r="J484" i="30"/>
  <c r="F484" i="30"/>
  <c r="J483" i="30"/>
  <c r="K483" i="30" s="1"/>
  <c r="F482" i="30"/>
  <c r="K482" i="30" s="1"/>
  <c r="F480" i="30"/>
  <c r="J479" i="30"/>
  <c r="F479" i="30"/>
  <c r="J477" i="30"/>
  <c r="F477" i="30"/>
  <c r="J476" i="30"/>
  <c r="F476" i="30"/>
  <c r="F475" i="30"/>
  <c r="J474" i="30"/>
  <c r="F474" i="30"/>
  <c r="J473" i="30"/>
  <c r="F473" i="30"/>
  <c r="K469" i="30"/>
  <c r="E463" i="30"/>
  <c r="J462" i="30"/>
  <c r="F462" i="30"/>
  <c r="J461" i="30"/>
  <c r="F461" i="30"/>
  <c r="J459" i="30"/>
  <c r="K459" i="30" s="1"/>
  <c r="J458" i="30"/>
  <c r="F458" i="30"/>
  <c r="F457" i="30"/>
  <c r="J456" i="30"/>
  <c r="F456" i="30"/>
  <c r="J455" i="30"/>
  <c r="F455" i="30"/>
  <c r="J454" i="30"/>
  <c r="F454" i="30"/>
  <c r="F448" i="30"/>
  <c r="J447" i="30"/>
  <c r="F447" i="30"/>
  <c r="J446" i="30"/>
  <c r="F446" i="30"/>
  <c r="F445" i="30"/>
  <c r="J444" i="30"/>
  <c r="F444" i="30"/>
  <c r="J443" i="30"/>
  <c r="J442" i="30"/>
  <c r="F442" i="30"/>
  <c r="F436" i="30"/>
  <c r="F435" i="30"/>
  <c r="J432" i="30"/>
  <c r="F432" i="30"/>
  <c r="J431" i="30"/>
  <c r="F431" i="30"/>
  <c r="F430" i="30"/>
  <c r="K430" i="30" s="1"/>
  <c r="J429" i="30"/>
  <c r="K429" i="30" s="1"/>
  <c r="F428" i="30"/>
  <c r="J427" i="30"/>
  <c r="F427" i="30"/>
  <c r="J426" i="30"/>
  <c r="F426" i="30"/>
  <c r="J425" i="30"/>
  <c r="K425" i="30" s="1"/>
  <c r="J424" i="30"/>
  <c r="F424" i="30"/>
  <c r="F423" i="30"/>
  <c r="J421" i="30"/>
  <c r="F421" i="30"/>
  <c r="F410" i="30"/>
  <c r="F408" i="30"/>
  <c r="F407" i="30"/>
  <c r="F406" i="30"/>
  <c r="J405" i="30"/>
  <c r="F405" i="30"/>
  <c r="J404" i="30"/>
  <c r="F404" i="30"/>
  <c r="J403" i="30"/>
  <c r="F403" i="30"/>
  <c r="J402" i="30"/>
  <c r="F402" i="30"/>
  <c r="F400" i="30"/>
  <c r="J399" i="30"/>
  <c r="F399" i="30"/>
  <c r="K396" i="30"/>
  <c r="F391" i="30"/>
  <c r="K391" i="30" s="1"/>
  <c r="F390" i="30"/>
  <c r="J389" i="30"/>
  <c r="F389" i="30"/>
  <c r="J388" i="30"/>
  <c r="F388" i="30"/>
  <c r="J387" i="30"/>
  <c r="F387" i="30"/>
  <c r="J386" i="30"/>
  <c r="F386" i="30"/>
  <c r="J383" i="30"/>
  <c r="F383" i="30"/>
  <c r="F382" i="30"/>
  <c r="J381" i="30"/>
  <c r="F381" i="30"/>
  <c r="J380" i="30"/>
  <c r="F380" i="30"/>
  <c r="F379" i="30"/>
  <c r="K379" i="30" s="1"/>
  <c r="F377" i="30"/>
  <c r="K377" i="30" s="1"/>
  <c r="F375" i="30"/>
  <c r="K375" i="30" s="1"/>
  <c r="K373" i="30"/>
  <c r="F372" i="30"/>
  <c r="K372" i="30" s="1"/>
  <c r="K371" i="30"/>
  <c r="F370" i="30"/>
  <c r="K370" i="30" s="1"/>
  <c r="F369" i="30"/>
  <c r="K369" i="30" s="1"/>
  <c r="F368" i="30"/>
  <c r="K368" i="30" s="1"/>
  <c r="F367" i="30"/>
  <c r="K367" i="30" s="1"/>
  <c r="F366" i="30"/>
  <c r="J365" i="30"/>
  <c r="F365" i="30"/>
  <c r="J364" i="30"/>
  <c r="F364" i="30"/>
  <c r="J363" i="30"/>
  <c r="F363" i="30"/>
  <c r="J362" i="30"/>
  <c r="F362" i="30"/>
  <c r="J361" i="30"/>
  <c r="F361" i="30"/>
  <c r="J360" i="30"/>
  <c r="K360" i="30" s="1"/>
  <c r="J357" i="30"/>
  <c r="F357" i="30"/>
  <c r="J356" i="30"/>
  <c r="K356" i="30" s="1"/>
  <c r="J355" i="30"/>
  <c r="F355" i="30"/>
  <c r="J354" i="30"/>
  <c r="F354" i="30"/>
  <c r="J353" i="30"/>
  <c r="F353" i="30"/>
  <c r="J349" i="30"/>
  <c r="F349" i="30"/>
  <c r="J348" i="30"/>
  <c r="F348" i="30"/>
  <c r="J347" i="30"/>
  <c r="F347" i="30"/>
  <c r="F346" i="30"/>
  <c r="K346" i="30" s="1"/>
  <c r="J345" i="30"/>
  <c r="F345" i="30"/>
  <c r="J344" i="30"/>
  <c r="F344" i="30"/>
  <c r="F341" i="30"/>
  <c r="K341" i="30" s="1"/>
  <c r="J340" i="30"/>
  <c r="F340" i="30"/>
  <c r="J339" i="30"/>
  <c r="F339" i="30"/>
  <c r="F338" i="30"/>
  <c r="K338" i="30" s="1"/>
  <c r="J336" i="30"/>
  <c r="F336" i="30"/>
  <c r="J335" i="30"/>
  <c r="F335" i="30"/>
  <c r="J334" i="30"/>
  <c r="F334" i="30"/>
  <c r="J331" i="30"/>
  <c r="F331" i="30"/>
  <c r="J330" i="30"/>
  <c r="F330" i="30"/>
  <c r="J329" i="30"/>
  <c r="K329" i="30" s="1"/>
  <c r="J328" i="30"/>
  <c r="F328" i="30"/>
  <c r="J327" i="30"/>
  <c r="F327" i="30"/>
  <c r="J326" i="30"/>
  <c r="F326" i="30"/>
  <c r="J325" i="30"/>
  <c r="F325" i="30"/>
  <c r="J323" i="30"/>
  <c r="F323" i="30"/>
  <c r="F322" i="30"/>
  <c r="J321" i="30"/>
  <c r="F321" i="30"/>
  <c r="J320" i="30"/>
  <c r="F320" i="30"/>
  <c r="J319" i="30"/>
  <c r="F319" i="30"/>
  <c r="J318" i="30"/>
  <c r="F318" i="30"/>
  <c r="J317" i="30"/>
  <c r="F317" i="30"/>
  <c r="J316" i="30"/>
  <c r="F316" i="30"/>
  <c r="J315" i="30"/>
  <c r="K315" i="30" s="1"/>
  <c r="F314" i="30"/>
  <c r="J313" i="30"/>
  <c r="F313" i="30"/>
  <c r="J312" i="30"/>
  <c r="K312" i="30" s="1"/>
  <c r="J311" i="30"/>
  <c r="F311" i="30"/>
  <c r="J309" i="30"/>
  <c r="F309" i="30"/>
  <c r="J308" i="30"/>
  <c r="F308" i="30"/>
  <c r="J307" i="30"/>
  <c r="F307" i="30"/>
  <c r="J306" i="30"/>
  <c r="F306" i="30"/>
  <c r="J305" i="30"/>
  <c r="F305" i="30"/>
  <c r="K298" i="30"/>
  <c r="F296" i="30"/>
  <c r="J295" i="30"/>
  <c r="F295" i="30"/>
  <c r="J294" i="30"/>
  <c r="F294" i="30"/>
  <c r="J293" i="30"/>
  <c r="F293" i="30"/>
  <c r="F292" i="30"/>
  <c r="K292" i="30" s="1"/>
  <c r="J291" i="30"/>
  <c r="F291" i="30"/>
  <c r="J290" i="30"/>
  <c r="F290" i="30"/>
  <c r="J289" i="30"/>
  <c r="F289" i="30"/>
  <c r="J288" i="30"/>
  <c r="F288" i="30"/>
  <c r="F286" i="30"/>
  <c r="K286" i="30" s="1"/>
  <c r="J285" i="30"/>
  <c r="F285" i="30"/>
  <c r="K284" i="30"/>
  <c r="J283" i="30"/>
  <c r="F283" i="30"/>
  <c r="J282" i="30"/>
  <c r="K282" i="30" s="1"/>
  <c r="J281" i="30"/>
  <c r="F281" i="30"/>
  <c r="J280" i="30"/>
  <c r="F280" i="30"/>
  <c r="J279" i="30"/>
  <c r="F279" i="30"/>
  <c r="F274" i="30"/>
  <c r="J273" i="30"/>
  <c r="F273" i="30"/>
  <c r="J271" i="30"/>
  <c r="F271" i="30"/>
  <c r="J270" i="30"/>
  <c r="K270" i="30" s="1"/>
  <c r="J269" i="30"/>
  <c r="F269" i="30"/>
  <c r="F268" i="30"/>
  <c r="K268" i="30" s="1"/>
  <c r="J267" i="30"/>
  <c r="F267" i="30"/>
  <c r="J266" i="30"/>
  <c r="F266" i="30"/>
  <c r="J265" i="30"/>
  <c r="F265" i="30"/>
  <c r="J264" i="30"/>
  <c r="F264" i="30"/>
  <c r="J263" i="30"/>
  <c r="F263" i="30"/>
  <c r="F262" i="30"/>
  <c r="J262" i="30" s="1"/>
  <c r="K262" i="30" s="1"/>
  <c r="J261" i="30"/>
  <c r="F261" i="30"/>
  <c r="J259" i="30"/>
  <c r="F259" i="30"/>
  <c r="J258" i="30"/>
  <c r="F258" i="30"/>
  <c r="J257" i="30"/>
  <c r="F257" i="30"/>
  <c r="J255" i="30"/>
  <c r="F255" i="30"/>
  <c r="F254" i="30"/>
  <c r="K254" i="30" s="1"/>
  <c r="F253" i="30"/>
  <c r="K253" i="30" s="1"/>
  <c r="F252" i="30"/>
  <c r="K252" i="30" s="1"/>
  <c r="F251" i="30"/>
  <c r="K251" i="30" s="1"/>
  <c r="F250" i="30"/>
  <c r="K250" i="30" s="1"/>
  <c r="K249" i="30"/>
  <c r="F248" i="30"/>
  <c r="K248" i="30" s="1"/>
  <c r="F247" i="30"/>
  <c r="K247" i="30" s="1"/>
  <c r="F246" i="30"/>
  <c r="K246" i="30" s="1"/>
  <c r="F245" i="30"/>
  <c r="K245" i="30" s="1"/>
  <c r="F241" i="30"/>
  <c r="K241" i="30" s="1"/>
  <c r="F240" i="30"/>
  <c r="K240" i="30" s="1"/>
  <c r="J239" i="30"/>
  <c r="F239" i="30"/>
  <c r="J238" i="30"/>
  <c r="F238" i="30"/>
  <c r="J237" i="30"/>
  <c r="F237" i="30"/>
  <c r="K227" i="30"/>
  <c r="F227" i="30"/>
  <c r="J226" i="30"/>
  <c r="F226" i="30"/>
  <c r="J225" i="30"/>
  <c r="F225" i="30"/>
  <c r="J224" i="30"/>
  <c r="F224" i="30"/>
  <c r="J223" i="30"/>
  <c r="F223" i="30"/>
  <c r="F217" i="30"/>
  <c r="K217" i="30" s="1"/>
  <c r="J213" i="30"/>
  <c r="K213" i="30" s="1"/>
  <c r="E213" i="30"/>
  <c r="F212" i="30"/>
  <c r="K212" i="30" s="1"/>
  <c r="J210" i="30"/>
  <c r="F210" i="30"/>
  <c r="J209" i="30"/>
  <c r="F209" i="30"/>
  <c r="J208" i="30"/>
  <c r="F208" i="30"/>
  <c r="J206" i="30"/>
  <c r="F206" i="30"/>
  <c r="J205" i="30"/>
  <c r="F205" i="30"/>
  <c r="F204" i="30"/>
  <c r="K204" i="30" s="1"/>
  <c r="J203" i="30"/>
  <c r="F203" i="30"/>
  <c r="J202" i="30"/>
  <c r="F202" i="30"/>
  <c r="J200" i="30"/>
  <c r="F200" i="30"/>
  <c r="J199" i="30"/>
  <c r="F199" i="30"/>
  <c r="J198" i="30"/>
  <c r="K198" i="30" s="1"/>
  <c r="J197" i="30"/>
  <c r="F197" i="30"/>
  <c r="F190" i="30"/>
  <c r="J189" i="30"/>
  <c r="F189" i="30"/>
  <c r="J188" i="30"/>
  <c r="F188" i="30"/>
  <c r="J186" i="30"/>
  <c r="K186" i="30" s="1"/>
  <c r="J185" i="30"/>
  <c r="F185" i="30"/>
  <c r="J184" i="30"/>
  <c r="K184" i="30" s="1"/>
  <c r="J183" i="30"/>
  <c r="F183" i="30"/>
  <c r="J182" i="30"/>
  <c r="F182" i="30"/>
  <c r="F181" i="30"/>
  <c r="J180" i="30"/>
  <c r="F180" i="30"/>
  <c r="J178" i="30"/>
  <c r="F178" i="30"/>
  <c r="J177" i="30"/>
  <c r="K177" i="30" s="1"/>
  <c r="J176" i="30"/>
  <c r="F176" i="30"/>
  <c r="F173" i="30"/>
  <c r="K173" i="30" s="1"/>
  <c r="J172" i="30"/>
  <c r="K172" i="30" s="1"/>
  <c r="F170" i="30"/>
  <c r="J170" i="30" s="1"/>
  <c r="K170" i="30" s="1"/>
  <c r="J168" i="30"/>
  <c r="F168" i="30"/>
  <c r="J167" i="30"/>
  <c r="F167" i="30"/>
  <c r="F163" i="30"/>
  <c r="K163" i="30" s="1"/>
  <c r="J162" i="30"/>
  <c r="K162" i="30" s="1"/>
  <c r="J161" i="30"/>
  <c r="K161" i="30" s="1"/>
  <c r="J160" i="30"/>
  <c r="K160" i="30" s="1"/>
  <c r="K159" i="30"/>
  <c r="J158" i="30"/>
  <c r="K158" i="30" s="1"/>
  <c r="K155" i="30"/>
  <c r="J154" i="30"/>
  <c r="K154" i="30" s="1"/>
  <c r="E149" i="30"/>
  <c r="J148" i="30"/>
  <c r="K148" i="30" s="1"/>
  <c r="J146" i="30"/>
  <c r="F146" i="30"/>
  <c r="J144" i="30"/>
  <c r="F144" i="30"/>
  <c r="F143" i="30"/>
  <c r="J141" i="30"/>
  <c r="K141" i="30" s="1"/>
  <c r="J140" i="30"/>
  <c r="K140" i="30" s="1"/>
  <c r="E140" i="30"/>
  <c r="J138" i="30"/>
  <c r="F138" i="30"/>
  <c r="E136" i="30"/>
  <c r="J135" i="30"/>
  <c r="F135" i="30"/>
  <c r="J134" i="30"/>
  <c r="F134" i="30"/>
  <c r="J133" i="30"/>
  <c r="F133" i="30"/>
  <c r="J132" i="30"/>
  <c r="F132" i="30"/>
  <c r="J131" i="30"/>
  <c r="K131" i="30" s="1"/>
  <c r="J130" i="30"/>
  <c r="F130" i="30"/>
  <c r="J129" i="30"/>
  <c r="F129" i="30"/>
  <c r="F128" i="30"/>
  <c r="J127" i="30"/>
  <c r="F127" i="30"/>
  <c r="J125" i="30"/>
  <c r="F125" i="30"/>
  <c r="J124" i="30"/>
  <c r="F124" i="30"/>
  <c r="J123" i="30"/>
  <c r="F123" i="30"/>
  <c r="J122" i="30"/>
  <c r="F122" i="30"/>
  <c r="J120" i="30"/>
  <c r="F120" i="30"/>
  <c r="F118" i="30"/>
  <c r="K118" i="30" s="1"/>
  <c r="F116" i="30"/>
  <c r="J115" i="30"/>
  <c r="K115" i="30" s="1"/>
  <c r="E115" i="30"/>
  <c r="F113" i="30"/>
  <c r="K112" i="30"/>
  <c r="F111" i="30"/>
  <c r="K111" i="30" s="1"/>
  <c r="J110" i="30"/>
  <c r="F110" i="30"/>
  <c r="J107" i="30"/>
  <c r="F107" i="30"/>
  <c r="J106" i="30"/>
  <c r="F106" i="30"/>
  <c r="J105" i="30"/>
  <c r="F105" i="30"/>
  <c r="J104" i="30"/>
  <c r="F104" i="30"/>
  <c r="F102" i="30"/>
  <c r="F101" i="30"/>
  <c r="J100" i="30"/>
  <c r="K100" i="30" s="1"/>
  <c r="F98" i="30"/>
  <c r="D97" i="30" s="1"/>
  <c r="F97" i="30" s="1"/>
  <c r="F87" i="30"/>
  <c r="D86" i="30"/>
  <c r="J85" i="30"/>
  <c r="J83" i="30"/>
  <c r="K83" i="30" s="1"/>
  <c r="J80" i="30"/>
  <c r="F80" i="30"/>
  <c r="F77" i="30"/>
  <c r="F76" i="30"/>
  <c r="K76" i="30" s="1"/>
  <c r="E75" i="30"/>
  <c r="F72" i="30"/>
  <c r="J71" i="30"/>
  <c r="F71" i="30"/>
  <c r="F70" i="30"/>
  <c r="K70" i="30" s="1"/>
  <c r="J69" i="30"/>
  <c r="F69" i="30"/>
  <c r="F64" i="30"/>
  <c r="K64" i="30" s="1"/>
  <c r="F62" i="30"/>
  <c r="K62" i="30" s="1"/>
  <c r="F61" i="30"/>
  <c r="K61" i="30" s="1"/>
  <c r="F60" i="30"/>
  <c r="J59" i="30"/>
  <c r="F59" i="30"/>
  <c r="K58" i="30"/>
  <c r="J57" i="30"/>
  <c r="F57" i="30"/>
  <c r="K56" i="30"/>
  <c r="K55" i="30"/>
  <c r="J54" i="30"/>
  <c r="F54" i="30"/>
  <c r="F53" i="30"/>
  <c r="K53" i="30" s="1"/>
  <c r="F52" i="30"/>
  <c r="K52" i="30" s="1"/>
  <c r="J51" i="30"/>
  <c r="F51" i="30"/>
  <c r="J50" i="30"/>
  <c r="K50" i="30" s="1"/>
  <c r="F46" i="30"/>
  <c r="J45" i="30"/>
  <c r="F45" i="30"/>
  <c r="J44" i="30"/>
  <c r="F44" i="30"/>
  <c r="J43" i="30"/>
  <c r="F43" i="30"/>
  <c r="J42" i="30"/>
  <c r="F42" i="30"/>
  <c r="J41" i="30"/>
  <c r="F41" i="30"/>
  <c r="J40" i="30"/>
  <c r="F40" i="30"/>
  <c r="F35" i="30"/>
  <c r="F34" i="30"/>
  <c r="K33" i="30"/>
  <c r="J31" i="30"/>
  <c r="F31" i="30"/>
  <c r="K31" i="30" s="1"/>
  <c r="J30" i="30"/>
  <c r="F30" i="30"/>
  <c r="F29" i="30"/>
  <c r="J25" i="30"/>
  <c r="F25" i="30"/>
  <c r="J24" i="30"/>
  <c r="F24" i="30"/>
  <c r="J23" i="30"/>
  <c r="F23" i="30"/>
  <c r="J22" i="30"/>
  <c r="F22" i="30"/>
  <c r="J21" i="30"/>
  <c r="F21" i="30"/>
  <c r="F20" i="30"/>
  <c r="F19" i="30"/>
  <c r="J17" i="30"/>
  <c r="K17" i="30" s="1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K9" i="30" s="1"/>
  <c r="J5" i="30"/>
  <c r="K5" i="30" s="1"/>
  <c r="J4" i="30"/>
  <c r="K4" i="30" s="1"/>
  <c r="J3" i="30"/>
  <c r="F3" i="30"/>
  <c r="F2" i="30"/>
  <c r="K578" i="28"/>
  <c r="F578" i="28"/>
  <c r="K620" i="28"/>
  <c r="K73" i="28"/>
  <c r="K699" i="28"/>
  <c r="L337" i="28" l="1"/>
  <c r="L388" i="28"/>
  <c r="L335" i="28"/>
  <c r="L254" i="28"/>
  <c r="L313" i="28"/>
  <c r="L348" i="28"/>
  <c r="L365" i="28"/>
  <c r="L367" i="28"/>
  <c r="L401" i="28"/>
  <c r="L225" i="28"/>
  <c r="L227" i="28"/>
  <c r="L260" i="28"/>
  <c r="L270" i="28"/>
  <c r="L272" i="28"/>
  <c r="L287" i="28"/>
  <c r="L294" i="28"/>
  <c r="L394" i="28"/>
  <c r="L239" i="28"/>
  <c r="K203" i="30"/>
  <c r="L241" i="28"/>
  <c r="L386" i="28"/>
  <c r="L328" i="28"/>
  <c r="K692" i="30"/>
  <c r="K19" i="30"/>
  <c r="K435" i="30"/>
  <c r="L396" i="28"/>
  <c r="L259" i="28"/>
  <c r="L271" i="28"/>
  <c r="L273" i="28"/>
  <c r="L295" i="28"/>
  <c r="L395" i="28"/>
  <c r="L233" i="28"/>
  <c r="L242" i="28"/>
  <c r="L298" i="28"/>
  <c r="L336" i="28"/>
  <c r="L345" i="28"/>
  <c r="L347" i="28"/>
  <c r="L356" i="28"/>
  <c r="L358" i="28"/>
  <c r="L373" i="28"/>
  <c r="L389" i="28"/>
  <c r="L400" i="28"/>
  <c r="K683" i="30"/>
  <c r="K566" i="30"/>
  <c r="L257" i="28"/>
  <c r="L278" i="28"/>
  <c r="L283" i="28"/>
  <c r="L285" i="28"/>
  <c r="L301" i="28"/>
  <c r="L324" i="28"/>
  <c r="L326" i="28"/>
  <c r="L352" i="28"/>
  <c r="L354" i="28"/>
  <c r="L371" i="28"/>
  <c r="L334" i="28"/>
  <c r="L258" i="28"/>
  <c r="L279" i="28"/>
  <c r="L306" i="28"/>
  <c r="L312" i="28"/>
  <c r="L325" i="28"/>
  <c r="L327" i="28"/>
  <c r="L331" i="28"/>
  <c r="L377" i="28"/>
  <c r="K51" i="30"/>
  <c r="K54" i="30"/>
  <c r="K104" i="30"/>
  <c r="K129" i="30"/>
  <c r="K178" i="30"/>
  <c r="K206" i="30"/>
  <c r="K209" i="30"/>
  <c r="K238" i="30"/>
  <c r="K255" i="30"/>
  <c r="K261" i="30"/>
  <c r="K313" i="30"/>
  <c r="K345" i="30"/>
  <c r="K57" i="30"/>
  <c r="K266" i="30"/>
  <c r="K257" i="30"/>
  <c r="K259" i="30"/>
  <c r="K354" i="30"/>
  <c r="K365" i="30"/>
  <c r="K290" i="30"/>
  <c r="K308" i="30"/>
  <c r="K318" i="30"/>
  <c r="K558" i="30"/>
  <c r="K592" i="30"/>
  <c r="K458" i="30"/>
  <c r="K269" i="30"/>
  <c r="K10" i="30"/>
  <c r="K265" i="30"/>
  <c r="K461" i="30"/>
  <c r="K659" i="30"/>
  <c r="K280" i="30"/>
  <c r="K660" i="30"/>
  <c r="K132" i="30"/>
  <c r="K134" i="30"/>
  <c r="K305" i="30"/>
  <c r="K307" i="30"/>
  <c r="K317" i="30"/>
  <c r="K321" i="30"/>
  <c r="K335" i="30"/>
  <c r="F411" i="30"/>
  <c r="K411" i="30" s="1"/>
  <c r="K454" i="30"/>
  <c r="K546" i="30"/>
  <c r="K551" i="30"/>
  <c r="K598" i="30"/>
  <c r="K485" i="30"/>
  <c r="K496" i="30"/>
  <c r="K605" i="30"/>
  <c r="K477" i="30"/>
  <c r="K634" i="30"/>
  <c r="K281" i="30"/>
  <c r="K443" i="30"/>
  <c r="K11" i="30"/>
  <c r="K127" i="30"/>
  <c r="K311" i="30"/>
  <c r="K320" i="30"/>
  <c r="K330" i="30"/>
  <c r="K334" i="30"/>
  <c r="K426" i="30"/>
  <c r="K21" i="30"/>
  <c r="K291" i="30"/>
  <c r="K331" i="30"/>
  <c r="K85" i="30"/>
  <c r="K101" i="30"/>
  <c r="K210" i="30"/>
  <c r="K224" i="30"/>
  <c r="K271" i="30"/>
  <c r="K306" i="30"/>
  <c r="K314" i="30"/>
  <c r="K323" i="30"/>
  <c r="K326" i="30"/>
  <c r="K328" i="30"/>
  <c r="K340" i="30"/>
  <c r="K344" i="30"/>
  <c r="K353" i="30"/>
  <c r="K362" i="30"/>
  <c r="K387" i="30"/>
  <c r="K446" i="30"/>
  <c r="K542" i="30"/>
  <c r="K555" i="30"/>
  <c r="K607" i="30"/>
  <c r="K348" i="30"/>
  <c r="K361" i="30"/>
  <c r="K22" i="30"/>
  <c r="K24" i="30"/>
  <c r="K225" i="30"/>
  <c r="K357" i="30"/>
  <c r="K364" i="30"/>
  <c r="K386" i="30"/>
  <c r="K591" i="30"/>
  <c r="K267" i="30"/>
  <c r="K289" i="30"/>
  <c r="K293" i="30"/>
  <c r="K325" i="30"/>
  <c r="K480" i="30"/>
  <c r="K510" i="30"/>
  <c r="K609" i="30"/>
  <c r="K611" i="30"/>
  <c r="K294" i="30"/>
  <c r="K489" i="30"/>
  <c r="K515" i="30"/>
  <c r="K424" i="30"/>
  <c r="K421" i="30"/>
  <c r="K381" i="30"/>
  <c r="K511" i="30"/>
  <c r="K600" i="30"/>
  <c r="K602" i="30"/>
  <c r="K617" i="30"/>
  <c r="K25" i="30"/>
  <c r="K59" i="30"/>
  <c r="K3" i="30"/>
  <c r="K15" i="30"/>
  <c r="K41" i="30"/>
  <c r="K2" i="30"/>
  <c r="K12" i="30"/>
  <c r="K14" i="30"/>
  <c r="K34" i="30"/>
  <c r="K40" i="30"/>
  <c r="K42" i="30"/>
  <c r="K44" i="30"/>
  <c r="K80" i="30"/>
  <c r="K123" i="30"/>
  <c r="K167" i="30"/>
  <c r="K223" i="30"/>
  <c r="K226" i="30"/>
  <c r="K237" i="30"/>
  <c r="K264" i="30"/>
  <c r="K349" i="30"/>
  <c r="K355" i="30"/>
  <c r="K473" i="30"/>
  <c r="K556" i="30"/>
  <c r="K579" i="30"/>
  <c r="K610" i="30"/>
  <c r="K614" i="30"/>
  <c r="K631" i="30"/>
  <c r="K400" i="30"/>
  <c r="K402" i="30"/>
  <c r="K404" i="30"/>
  <c r="K456" i="30"/>
  <c r="K399" i="30"/>
  <c r="K389" i="30"/>
  <c r="K431" i="30"/>
  <c r="K442" i="30"/>
  <c r="K492" i="30"/>
  <c r="F629" i="30"/>
  <c r="K629" i="30" s="1"/>
  <c r="K28" i="30"/>
  <c r="K120" i="30"/>
  <c r="K130" i="30"/>
  <c r="K138" i="30"/>
  <c r="K146" i="30"/>
  <c r="K188" i="30"/>
  <c r="K199" i="30"/>
  <c r="K202" i="30"/>
  <c r="K239" i="30"/>
  <c r="K279" i="30"/>
  <c r="K288" i="30"/>
  <c r="K309" i="30"/>
  <c r="K316" i="30"/>
  <c r="K319" i="30"/>
  <c r="K327" i="30"/>
  <c r="K336" i="30"/>
  <c r="K339" i="30"/>
  <c r="K380" i="30"/>
  <c r="K403" i="30"/>
  <c r="K444" i="30"/>
  <c r="K455" i="30"/>
  <c r="K462" i="30"/>
  <c r="K476" i="30"/>
  <c r="K495" i="30"/>
  <c r="K501" i="30"/>
  <c r="K513" i="30"/>
  <c r="K545" i="30"/>
  <c r="K635" i="30"/>
  <c r="K30" i="30"/>
  <c r="K43" i="30"/>
  <c r="K105" i="30"/>
  <c r="K122" i="30"/>
  <c r="K135" i="30"/>
  <c r="K168" i="30"/>
  <c r="K183" i="30"/>
  <c r="K185" i="30"/>
  <c r="K205" i="30"/>
  <c r="K208" i="30"/>
  <c r="K258" i="30"/>
  <c r="K263" i="30"/>
  <c r="K273" i="30"/>
  <c r="K283" i="30"/>
  <c r="K285" i="30"/>
  <c r="K295" i="30"/>
  <c r="K347" i="30"/>
  <c r="K363" i="30"/>
  <c r="K383" i="30"/>
  <c r="K388" i="30"/>
  <c r="K405" i="30"/>
  <c r="K427" i="30"/>
  <c r="K432" i="30"/>
  <c r="K447" i="30"/>
  <c r="K474" i="30"/>
  <c r="K479" i="30"/>
  <c r="K484" i="30"/>
  <c r="K488" i="30"/>
  <c r="K493" i="30"/>
  <c r="K550" i="30"/>
  <c r="K585" i="30"/>
  <c r="K604" i="30"/>
  <c r="K608" i="30"/>
  <c r="K632" i="30"/>
  <c r="K638" i="30"/>
  <c r="K644" i="30"/>
  <c r="K647" i="30"/>
  <c r="L264" i="28"/>
  <c r="L268" i="28"/>
  <c r="L275" i="28"/>
  <c r="L277" i="28"/>
  <c r="L308" i="28"/>
  <c r="L311" i="28"/>
  <c r="L329" i="28"/>
  <c r="L339" i="28"/>
  <c r="L344" i="28"/>
  <c r="L350" i="28"/>
  <c r="L353" i="28"/>
  <c r="L366" i="28"/>
  <c r="L369" i="28"/>
  <c r="L375" i="28"/>
  <c r="L378" i="28"/>
  <c r="L384" i="28"/>
  <c r="L392" i="28"/>
  <c r="L398" i="28"/>
  <c r="L314" i="28"/>
  <c r="L342" i="28"/>
  <c r="L379" i="28"/>
  <c r="L390" i="28"/>
  <c r="L226" i="28"/>
  <c r="L229" i="28"/>
  <c r="L240" i="28"/>
  <c r="L253" i="28"/>
  <c r="L255" i="28"/>
  <c r="L261" i="28"/>
  <c r="L263" i="28"/>
  <c r="L267" i="28"/>
  <c r="L276" i="28"/>
  <c r="L280" i="28"/>
  <c r="L296" i="28"/>
  <c r="L307" i="28"/>
  <c r="L309" i="28"/>
  <c r="L310" i="28"/>
  <c r="L332" i="28"/>
  <c r="L338" i="28"/>
  <c r="L340" i="28"/>
  <c r="L351" i="28"/>
  <c r="L361" i="28"/>
  <c r="L364" i="28"/>
  <c r="L370" i="28"/>
  <c r="L376" i="28"/>
  <c r="L382" i="28"/>
  <c r="L391" i="28"/>
  <c r="L397" i="28"/>
  <c r="F522" i="30"/>
  <c r="F523" i="30" s="1"/>
  <c r="K71" i="30"/>
  <c r="K116" i="30"/>
  <c r="K125" i="30"/>
  <c r="K197" i="30"/>
  <c r="K45" i="30"/>
  <c r="K69" i="30"/>
  <c r="K124" i="30"/>
  <c r="K13" i="30"/>
  <c r="K23" i="30"/>
  <c r="K35" i="30"/>
  <c r="K106" i="30"/>
  <c r="K110" i="30"/>
  <c r="K113" i="30"/>
  <c r="K133" i="30"/>
  <c r="K180" i="30"/>
  <c r="K144" i="30"/>
  <c r="K176" i="30"/>
  <c r="K182" i="30"/>
  <c r="K189" i="30"/>
  <c r="K200" i="30"/>
  <c r="L578" i="28"/>
  <c r="F555" i="28"/>
  <c r="F554" i="28"/>
  <c r="F421" i="28"/>
  <c r="F525" i="30" l="1"/>
  <c r="K517" i="30" s="1"/>
  <c r="K470" i="28"/>
  <c r="L470" i="28" s="1"/>
  <c r="K175" i="28"/>
  <c r="K50" i="28"/>
  <c r="K79" i="28"/>
  <c r="K679" i="28"/>
  <c r="K202" i="28"/>
  <c r="L202" i="28" s="1"/>
  <c r="D467" i="28"/>
  <c r="E467" i="28" s="1"/>
  <c r="K717" i="28"/>
  <c r="K556" i="28"/>
  <c r="K76" i="28"/>
  <c r="F716" i="28"/>
  <c r="F715" i="28"/>
  <c r="F153" i="28"/>
  <c r="D523" i="28"/>
  <c r="F523" i="28" s="1"/>
  <c r="F525" i="28"/>
  <c r="D656" i="28"/>
  <c r="K178" i="28"/>
  <c r="D524" i="28" l="1"/>
  <c r="D526" i="28" s="1"/>
  <c r="F174" i="28"/>
  <c r="F173" i="28"/>
  <c r="F605" i="28"/>
  <c r="F531" i="28" l="1"/>
  <c r="K714" i="28" l="1"/>
  <c r="F713" i="28"/>
  <c r="K486" i="28"/>
  <c r="K60" i="28" l="1"/>
  <c r="K463" i="28"/>
  <c r="L463" i="28" s="1"/>
  <c r="K528" i="28"/>
  <c r="K479" i="28"/>
  <c r="K72" i="28"/>
  <c r="K634" i="28"/>
  <c r="F58" i="28"/>
  <c r="L58" i="28" s="1"/>
  <c r="F57" i="28"/>
  <c r="L57" i="28" s="1"/>
  <c r="F712" i="28"/>
  <c r="K95" i="28"/>
  <c r="K101" i="28"/>
  <c r="K206" i="28"/>
  <c r="K601" i="28"/>
  <c r="K45" i="28"/>
  <c r="K216" i="28"/>
  <c r="K705" i="28"/>
  <c r="L705" i="28" s="1"/>
  <c r="K711" i="28"/>
  <c r="L711" i="28" s="1"/>
  <c r="F710" i="28"/>
  <c r="F709" i="28"/>
  <c r="F708" i="28"/>
  <c r="F633" i="28"/>
  <c r="G631" i="28" s="1"/>
  <c r="K625" i="28" l="1"/>
  <c r="K610" i="28"/>
  <c r="L609" i="28" s="1"/>
  <c r="K707" i="28"/>
  <c r="F12" i="28"/>
  <c r="K462" i="28"/>
  <c r="F601" i="28"/>
  <c r="L36" i="28"/>
  <c r="K35" i="28"/>
  <c r="F35" i="28"/>
  <c r="K48" i="28"/>
  <c r="F49" i="28"/>
  <c r="K686" i="28"/>
  <c r="K444" i="28"/>
  <c r="K110" i="28"/>
  <c r="K488" i="28"/>
  <c r="K501" i="28"/>
  <c r="L35" i="28" l="1"/>
  <c r="F424" i="28" l="1"/>
  <c r="F700" i="28"/>
  <c r="K658" i="28" l="1"/>
  <c r="F546" i="28"/>
  <c r="K32" i="28"/>
  <c r="F567" i="20"/>
  <c r="F699" i="28"/>
  <c r="F46" i="28"/>
  <c r="F181" i="28"/>
  <c r="K657" i="28"/>
  <c r="K121" i="28"/>
  <c r="K511" i="28" l="1"/>
  <c r="K524" i="28"/>
  <c r="K146" i="28"/>
  <c r="L146" i="28" s="1"/>
  <c r="K554" i="28"/>
  <c r="K455" i="28"/>
  <c r="K71" i="28"/>
  <c r="L458" i="28"/>
  <c r="K458" i="28"/>
  <c r="K612" i="28"/>
  <c r="K43" i="28"/>
  <c r="L43" i="28" s="1"/>
  <c r="D698" i="28"/>
  <c r="K86" i="28"/>
  <c r="K449" i="28"/>
  <c r="K439" i="28"/>
  <c r="K157" i="28"/>
  <c r="G159" i="28"/>
  <c r="K451" i="28"/>
  <c r="L690" i="28" l="1"/>
  <c r="K690" i="28"/>
  <c r="K485" i="28"/>
  <c r="L485" i="28" s="1"/>
  <c r="K635" i="28"/>
  <c r="K434" i="28"/>
  <c r="K220" i="28"/>
  <c r="F621" i="28"/>
  <c r="L430" i="20"/>
  <c r="F431" i="20"/>
  <c r="F445" i="28"/>
  <c r="K623" i="28"/>
  <c r="K2" i="28"/>
  <c r="K500" i="28"/>
  <c r="F40" i="28"/>
  <c r="K695" i="28" l="1"/>
  <c r="L695" i="28" s="1"/>
  <c r="K694" i="28"/>
  <c r="L694" i="28" s="1"/>
  <c r="K693" i="28"/>
  <c r="L693" i="28" s="1"/>
  <c r="K595" i="28"/>
  <c r="K495" i="28"/>
  <c r="K416" i="28"/>
  <c r="D436" i="28" l="1"/>
  <c r="F436" i="28" s="1"/>
  <c r="K59" i="28" l="1"/>
  <c r="F686" i="28"/>
  <c r="L686" i="28" s="1"/>
  <c r="F685" i="28"/>
  <c r="F681" i="28"/>
  <c r="F411" i="28"/>
  <c r="L411" i="28" s="1"/>
  <c r="F85" i="28"/>
  <c r="F691" i="28"/>
  <c r="F629" i="28"/>
  <c r="F690" i="28"/>
  <c r="K688" i="28" l="1"/>
  <c r="K681" i="28"/>
  <c r="K539" i="28"/>
  <c r="K597" i="28"/>
  <c r="K544" i="28"/>
  <c r="F544" i="28"/>
  <c r="K195" i="28"/>
  <c r="L195" i="28" s="1"/>
  <c r="K213" i="28"/>
  <c r="F497" i="28"/>
  <c r="F176" i="28"/>
  <c r="F678" i="28"/>
  <c r="K507" i="28" l="1"/>
  <c r="F509" i="28"/>
  <c r="K84" i="28"/>
  <c r="K570" i="28" l="1"/>
  <c r="L570" i="28" s="1"/>
  <c r="F677" i="28"/>
  <c r="K513" i="28"/>
  <c r="F409" i="3"/>
  <c r="F471" i="20"/>
  <c r="F483" i="28"/>
  <c r="L451" i="28"/>
  <c r="K186" i="28"/>
  <c r="K171" i="28"/>
  <c r="F197" i="28"/>
  <c r="F675" i="28"/>
  <c r="K514" i="28"/>
  <c r="K640" i="28"/>
  <c r="F572" i="28"/>
  <c r="F570" i="28"/>
  <c r="F674" i="28"/>
  <c r="F673" i="28"/>
  <c r="F672" i="28"/>
  <c r="E143" i="28"/>
  <c r="F542" i="28"/>
  <c r="F19" i="28"/>
  <c r="F20" i="28"/>
  <c r="E16" i="28"/>
  <c r="F671" i="28"/>
  <c r="K644" i="28"/>
  <c r="F644" i="28"/>
  <c r="L644" i="28" l="1"/>
  <c r="B24" i="25"/>
  <c r="F84" i="28" l="1"/>
  <c r="L84" i="28" s="1"/>
  <c r="F485" i="28" l="1"/>
  <c r="F484" i="28"/>
  <c r="K575" i="28"/>
  <c r="F670" i="28"/>
  <c r="F543" i="28"/>
  <c r="F522" i="20" l="1"/>
  <c r="K669" i="28" l="1"/>
  <c r="L669" i="28" s="1"/>
  <c r="L95" i="28"/>
  <c r="K94" i="28"/>
  <c r="K161" i="28" l="1"/>
  <c r="K160" i="28"/>
  <c r="D504" i="28" l="1"/>
  <c r="F504" i="28" s="1"/>
  <c r="K148" i="28" l="1"/>
  <c r="K598" i="28"/>
  <c r="K579" i="28"/>
  <c r="K668" i="28"/>
  <c r="L668" i="28" s="1"/>
  <c r="F632" i="28"/>
  <c r="K632" i="28"/>
  <c r="K200" i="28"/>
  <c r="L200" i="28" s="1"/>
  <c r="F525" i="20"/>
  <c r="K667" i="28"/>
  <c r="L667" i="28" s="1"/>
  <c r="K68" i="28"/>
  <c r="L632" i="28" l="1"/>
  <c r="K666" i="28"/>
  <c r="L666" i="28" s="1"/>
  <c r="K660" i="28"/>
  <c r="L660" i="28" s="1"/>
  <c r="K215" i="20"/>
  <c r="L215" i="20" s="1"/>
  <c r="B65" i="24"/>
  <c r="B75" i="24" s="1"/>
  <c r="D70" i="24"/>
  <c r="B74" i="24" s="1"/>
  <c r="K144" i="28"/>
  <c r="B76" i="24" l="1"/>
  <c r="F547" i="28"/>
  <c r="F221" i="28" l="1"/>
  <c r="L556" i="28"/>
  <c r="K111" i="28"/>
  <c r="L111" i="28" s="1"/>
  <c r="F579" i="28" l="1"/>
  <c r="L579" i="28" s="1"/>
  <c r="F13" i="23" l="1"/>
  <c r="F516" i="28" l="1"/>
  <c r="K659" i="28"/>
  <c r="F659" i="28"/>
  <c r="K91" i="28"/>
  <c r="K104" i="28"/>
  <c r="F24" i="28"/>
  <c r="K23" i="28"/>
  <c r="L640" i="28"/>
  <c r="K217" i="28"/>
  <c r="L217" i="28" s="1"/>
  <c r="K606" i="28"/>
  <c r="L659" i="28" l="1"/>
  <c r="K482" i="28"/>
  <c r="E463" i="28"/>
  <c r="K443" i="28"/>
  <c r="F434" i="28"/>
  <c r="L434" i="28" s="1"/>
  <c r="K219" i="28" l="1"/>
  <c r="K159" i="28"/>
  <c r="L159" i="28" s="1"/>
  <c r="K117" i="28"/>
  <c r="L117" i="28" s="1"/>
  <c r="K70" i="28"/>
  <c r="K51" i="28"/>
  <c r="K39" i="28"/>
  <c r="K10" i="28"/>
  <c r="K4" i="28"/>
  <c r="K5" i="28"/>
  <c r="L5" i="28" s="1"/>
  <c r="K6" i="28"/>
  <c r="L6" i="28" s="1"/>
  <c r="K7" i="28"/>
  <c r="L7" i="28" s="1"/>
  <c r="K8" i="28"/>
  <c r="F639" i="28"/>
  <c r="F636" i="28"/>
  <c r="D637" i="28" s="1"/>
  <c r="F635" i="28"/>
  <c r="L635" i="28" s="1"/>
  <c r="K631" i="28"/>
  <c r="L631" i="28" s="1"/>
  <c r="K630" i="28"/>
  <c r="L630" i="28" s="1"/>
  <c r="K629" i="28"/>
  <c r="L629" i="28" s="1"/>
  <c r="K628" i="28"/>
  <c r="L628" i="28" s="1"/>
  <c r="K627" i="28"/>
  <c r="F626" i="28"/>
  <c r="F625" i="28"/>
  <c r="L625" i="28" s="1"/>
  <c r="F623" i="28"/>
  <c r="L623" i="28" s="1"/>
  <c r="K622" i="28"/>
  <c r="F622" i="28"/>
  <c r="L622" i="28" s="1"/>
  <c r="K621" i="28"/>
  <c r="L621" i="28" s="1"/>
  <c r="F620" i="28"/>
  <c r="D619" i="28"/>
  <c r="F618" i="28"/>
  <c r="F617" i="28"/>
  <c r="F616" i="28"/>
  <c r="F615" i="28"/>
  <c r="F614" i="28"/>
  <c r="K613" i="28"/>
  <c r="L613" i="28" s="1"/>
  <c r="F612" i="28"/>
  <c r="L612" i="28" s="1"/>
  <c r="F606" i="28"/>
  <c r="L606" i="28" s="1"/>
  <c r="K603" i="28"/>
  <c r="F603" i="28"/>
  <c r="L601" i="28"/>
  <c r="F598" i="28"/>
  <c r="L598" i="28" s="1"/>
  <c r="F597" i="28"/>
  <c r="L597" i="28" s="1"/>
  <c r="K596" i="28"/>
  <c r="F596" i="28"/>
  <c r="F595" i="28"/>
  <c r="L595" i="28" s="1"/>
  <c r="K593" i="28"/>
  <c r="F593" i="28"/>
  <c r="K592" i="28"/>
  <c r="F592" i="28"/>
  <c r="K590" i="28"/>
  <c r="F590" i="28"/>
  <c r="K589" i="28"/>
  <c r="L589" i="28" s="1"/>
  <c r="K588" i="28"/>
  <c r="F588" i="28"/>
  <c r="K587" i="28"/>
  <c r="L587" i="28" s="1"/>
  <c r="K586" i="28"/>
  <c r="F586" i="28"/>
  <c r="K585" i="28"/>
  <c r="L585" i="28" s="1"/>
  <c r="K583" i="28"/>
  <c r="F583" i="28"/>
  <c r="K582" i="28"/>
  <c r="K581" i="28"/>
  <c r="F581" i="28"/>
  <c r="K580" i="28"/>
  <c r="F580" i="28"/>
  <c r="F575" i="28"/>
  <c r="L575" i="28" s="1"/>
  <c r="K574" i="28"/>
  <c r="F574" i="28"/>
  <c r="K573" i="28"/>
  <c r="L573" i="28" s="1"/>
  <c r="K569" i="28"/>
  <c r="L569" i="28" s="1"/>
  <c r="K568" i="28"/>
  <c r="L568" i="28" s="1"/>
  <c r="K567" i="28"/>
  <c r="F567" i="28"/>
  <c r="L554" i="28"/>
  <c r="K552" i="28"/>
  <c r="L552" i="28" s="1"/>
  <c r="K550" i="28"/>
  <c r="L550" i="28" s="1"/>
  <c r="K548" i="28"/>
  <c r="L548" i="28" s="1"/>
  <c r="K547" i="28"/>
  <c r="L547" i="28" s="1"/>
  <c r="L544" i="28"/>
  <c r="K543" i="28"/>
  <c r="L543" i="28" s="1"/>
  <c r="F539" i="28"/>
  <c r="K538" i="28"/>
  <c r="L538" i="28" s="1"/>
  <c r="F537" i="28"/>
  <c r="L537" i="28" s="1"/>
  <c r="K536" i="28"/>
  <c r="F536" i="28"/>
  <c r="K535" i="28"/>
  <c r="F535" i="28"/>
  <c r="K534" i="28"/>
  <c r="L534" i="28" s="1"/>
  <c r="K533" i="28"/>
  <c r="L533" i="28" s="1"/>
  <c r="F533" i="28"/>
  <c r="K532" i="28"/>
  <c r="L532" i="28" s="1"/>
  <c r="K531" i="28"/>
  <c r="L531" i="28" s="1"/>
  <c r="K530" i="28"/>
  <c r="F530" i="28"/>
  <c r="K529" i="28"/>
  <c r="L529" i="28" s="1"/>
  <c r="F528" i="28"/>
  <c r="L528" i="28" s="1"/>
  <c r="F527" i="28"/>
  <c r="F522" i="28"/>
  <c r="F521" i="28"/>
  <c r="F520" i="28"/>
  <c r="F519" i="28"/>
  <c r="F518" i="28"/>
  <c r="F524" i="28" s="1"/>
  <c r="F526" i="28" s="1"/>
  <c r="K517" i="28"/>
  <c r="L517" i="28" s="1"/>
  <c r="F517" i="28"/>
  <c r="K516" i="28"/>
  <c r="L516" i="28" s="1"/>
  <c r="F514" i="28"/>
  <c r="L514" i="28" s="1"/>
  <c r="F513" i="28"/>
  <c r="L513" i="28" s="1"/>
  <c r="F512" i="28"/>
  <c r="F511" i="28"/>
  <c r="K510" i="28"/>
  <c r="F510" i="28"/>
  <c r="F507" i="28"/>
  <c r="K506" i="28"/>
  <c r="L506" i="28" s="1"/>
  <c r="E506" i="28"/>
  <c r="F505" i="28"/>
  <c r="L505" i="28" s="1"/>
  <c r="F503" i="28"/>
  <c r="K502" i="28"/>
  <c r="F502" i="28"/>
  <c r="L497" i="28"/>
  <c r="L495" i="28"/>
  <c r="K494" i="28"/>
  <c r="F494" i="28"/>
  <c r="K493" i="28"/>
  <c r="F493" i="28"/>
  <c r="F492" i="28"/>
  <c r="K491" i="28"/>
  <c r="F491" i="28"/>
  <c r="K490" i="28"/>
  <c r="F490" i="28"/>
  <c r="K489" i="28"/>
  <c r="L489" i="28" s="1"/>
  <c r="F488" i="28"/>
  <c r="L488" i="28" s="1"/>
  <c r="K487" i="28"/>
  <c r="F487" i="28"/>
  <c r="K484" i="28"/>
  <c r="K483" i="28"/>
  <c r="L482" i="28"/>
  <c r="F481" i="28"/>
  <c r="L481" i="28" s="1"/>
  <c r="K480" i="28"/>
  <c r="F480" i="28"/>
  <c r="F479" i="28"/>
  <c r="L479" i="28" s="1"/>
  <c r="K478" i="28"/>
  <c r="F478" i="28"/>
  <c r="K477" i="28"/>
  <c r="F477" i="28"/>
  <c r="F476" i="28"/>
  <c r="K475" i="28"/>
  <c r="F475" i="28"/>
  <c r="K474" i="28"/>
  <c r="F474" i="28"/>
  <c r="K468" i="28"/>
  <c r="L468" i="28" s="1"/>
  <c r="F462" i="28"/>
  <c r="L462" i="28" s="1"/>
  <c r="K461" i="28"/>
  <c r="F461" i="28"/>
  <c r="K459" i="28"/>
  <c r="L459" i="28" s="1"/>
  <c r="K457" i="28"/>
  <c r="F457" i="28"/>
  <c r="F456" i="28"/>
  <c r="F455" i="28"/>
  <c r="K450" i="28"/>
  <c r="F450" i="28"/>
  <c r="F449" i="28"/>
  <c r="K448" i="28"/>
  <c r="F448" i="28"/>
  <c r="K447" i="28"/>
  <c r="F447" i="28"/>
  <c r="K446" i="28"/>
  <c r="F446" i="28"/>
  <c r="F444" i="28"/>
  <c r="L444" i="28" s="1"/>
  <c r="F443" i="28"/>
  <c r="K442" i="28"/>
  <c r="F442" i="28"/>
  <c r="F440" i="28"/>
  <c r="F439" i="28"/>
  <c r="K433" i="28"/>
  <c r="F433" i="28"/>
  <c r="K432" i="28"/>
  <c r="F432" i="28"/>
  <c r="F431" i="28"/>
  <c r="K430" i="28"/>
  <c r="L430" i="28" s="1"/>
  <c r="F429" i="28"/>
  <c r="K428" i="28"/>
  <c r="F428" i="28"/>
  <c r="K427" i="28"/>
  <c r="F427" i="28"/>
  <c r="K426" i="28"/>
  <c r="L426" i="28" s="1"/>
  <c r="K425" i="28"/>
  <c r="F425" i="28"/>
  <c r="K423" i="28"/>
  <c r="F423" i="28"/>
  <c r="K422" i="28"/>
  <c r="F422" i="28"/>
  <c r="F420" i="28"/>
  <c r="F418" i="28"/>
  <c r="F417" i="28"/>
  <c r="F416" i="28"/>
  <c r="K415" i="28"/>
  <c r="F415" i="28"/>
  <c r="K414" i="28"/>
  <c r="F414" i="28"/>
  <c r="K413" i="28"/>
  <c r="F413" i="28"/>
  <c r="K412" i="28"/>
  <c r="F412" i="28"/>
  <c r="F410" i="28"/>
  <c r="L410" i="28" s="1"/>
  <c r="K409" i="28"/>
  <c r="F409" i="28"/>
  <c r="K222" i="28"/>
  <c r="F222" i="28"/>
  <c r="F219" i="28"/>
  <c r="L220" i="28" s="1"/>
  <c r="K218" i="28"/>
  <c r="F218" i="28"/>
  <c r="F216" i="28"/>
  <c r="L216" i="28" s="1"/>
  <c r="K214" i="28"/>
  <c r="F214" i="28"/>
  <c r="F213" i="28"/>
  <c r="L213" i="28" s="1"/>
  <c r="K212" i="28"/>
  <c r="L212" i="28" s="1"/>
  <c r="K211" i="28"/>
  <c r="F211" i="28"/>
  <c r="F210" i="28"/>
  <c r="K209" i="28"/>
  <c r="F209" i="28"/>
  <c r="K208" i="28"/>
  <c r="F208" i="28"/>
  <c r="L206" i="28"/>
  <c r="K204" i="28"/>
  <c r="F204" i="28"/>
  <c r="K203" i="28"/>
  <c r="F203" i="28"/>
  <c r="F200" i="28"/>
  <c r="K199" i="28"/>
  <c r="F199" i="28"/>
  <c r="K198" i="28"/>
  <c r="F198" i="28"/>
  <c r="F194" i="28"/>
  <c r="K193" i="28"/>
  <c r="F193" i="28"/>
  <c r="K192" i="28"/>
  <c r="F192" i="28"/>
  <c r="K191" i="28"/>
  <c r="L191" i="28" s="1"/>
  <c r="K190" i="28"/>
  <c r="F190" i="28"/>
  <c r="F186" i="28"/>
  <c r="K185" i="28"/>
  <c r="L185" i="28" s="1"/>
  <c r="F184" i="28"/>
  <c r="K184" i="28" s="1"/>
  <c r="K183" i="28"/>
  <c r="F183" i="28"/>
  <c r="K182" i="28"/>
  <c r="F182" i="28"/>
  <c r="K180" i="28"/>
  <c r="L180" i="28" s="1"/>
  <c r="F179" i="28"/>
  <c r="K177" i="28"/>
  <c r="F177" i="28"/>
  <c r="F171" i="28"/>
  <c r="K170" i="28"/>
  <c r="K169" i="28"/>
  <c r="F169" i="28"/>
  <c r="K168" i="28"/>
  <c r="F168" i="28"/>
  <c r="F167" i="28"/>
  <c r="L167" i="28" s="1"/>
  <c r="F166" i="28"/>
  <c r="K165" i="28"/>
  <c r="F165" i="28"/>
  <c r="K164" i="28"/>
  <c r="F164" i="28"/>
  <c r="F160" i="28"/>
  <c r="L160" i="28" s="1"/>
  <c r="E159" i="28"/>
  <c r="L157" i="28"/>
  <c r="K156" i="28"/>
  <c r="F156" i="28"/>
  <c r="K154" i="28"/>
  <c r="F154" i="28"/>
  <c r="L148" i="28"/>
  <c r="K147" i="28"/>
  <c r="L147" i="28" s="1"/>
  <c r="F144" i="28"/>
  <c r="L144" i="28" s="1"/>
  <c r="D140" i="28"/>
  <c r="D141" i="28" s="1"/>
  <c r="F139" i="28"/>
  <c r="F138" i="28"/>
  <c r="F137" i="28"/>
  <c r="K136" i="28"/>
  <c r="L136" i="28" s="1"/>
  <c r="F136" i="28"/>
  <c r="K135" i="28"/>
  <c r="F135" i="28"/>
  <c r="K134" i="28"/>
  <c r="F134" i="28"/>
  <c r="K133" i="28"/>
  <c r="F133" i="28"/>
  <c r="K132" i="28"/>
  <c r="F132" i="28"/>
  <c r="K131" i="28"/>
  <c r="L131" i="28" s="1"/>
  <c r="K130" i="28"/>
  <c r="F130" i="28"/>
  <c r="K129" i="28"/>
  <c r="F129" i="28"/>
  <c r="F128" i="28"/>
  <c r="K127" i="28"/>
  <c r="F127" i="28"/>
  <c r="K126" i="28"/>
  <c r="F126" i="28"/>
  <c r="K125" i="28"/>
  <c r="F125" i="28"/>
  <c r="K124" i="28"/>
  <c r="F124" i="28"/>
  <c r="K123" i="28"/>
  <c r="F123" i="28"/>
  <c r="F121" i="28"/>
  <c r="L121" i="28" s="1"/>
  <c r="K119" i="28"/>
  <c r="F119" i="28"/>
  <c r="K118" i="28"/>
  <c r="F118" i="28"/>
  <c r="E117" i="28"/>
  <c r="K116" i="28"/>
  <c r="F116" i="28"/>
  <c r="F115" i="28"/>
  <c r="K115" i="28" s="1"/>
  <c r="F114" i="28"/>
  <c r="L114" i="28" s="1"/>
  <c r="K113" i="28"/>
  <c r="F113" i="28"/>
  <c r="F111" i="28"/>
  <c r="K109" i="28"/>
  <c r="F109" i="28"/>
  <c r="K108" i="28"/>
  <c r="F108" i="28"/>
  <c r="K107" i="28"/>
  <c r="F107" i="28"/>
  <c r="F105" i="28"/>
  <c r="F104" i="28"/>
  <c r="K103" i="28"/>
  <c r="L103" i="28" s="1"/>
  <c r="F101" i="28"/>
  <c r="F93" i="28"/>
  <c r="L91" i="28" s="1"/>
  <c r="D92" i="28"/>
  <c r="K89" i="28"/>
  <c r="L89" i="28" s="1"/>
  <c r="F86" i="28"/>
  <c r="L82" i="28"/>
  <c r="E82" i="28"/>
  <c r="E80" i="28"/>
  <c r="F78" i="28"/>
  <c r="L79" i="28" s="1"/>
  <c r="K77" i="28"/>
  <c r="F77" i="28"/>
  <c r="K75" i="28"/>
  <c r="F75" i="28"/>
  <c r="L76" i="28" s="1"/>
  <c r="K74" i="28"/>
  <c r="F74" i="28"/>
  <c r="F70" i="28"/>
  <c r="F68" i="28"/>
  <c r="K67" i="28"/>
  <c r="F67" i="28"/>
  <c r="F66" i="28"/>
  <c r="K65" i="28"/>
  <c r="F65" i="28"/>
  <c r="L64" i="28"/>
  <c r="K63" i="28"/>
  <c r="F63" i="28"/>
  <c r="L62" i="28"/>
  <c r="L61" i="28"/>
  <c r="F59" i="28"/>
  <c r="F56" i="28"/>
  <c r="L56" i="28" s="1"/>
  <c r="K55" i="28"/>
  <c r="F55" i="28"/>
  <c r="K54" i="28"/>
  <c r="L54" i="28" s="1"/>
  <c r="F53" i="28"/>
  <c r="K52" i="28"/>
  <c r="F52" i="28"/>
  <c r="F51" i="28"/>
  <c r="F48" i="28"/>
  <c r="L48" i="28" s="1"/>
  <c r="K47" i="28"/>
  <c r="F47" i="28"/>
  <c r="K40" i="28"/>
  <c r="L40" i="28" s="1"/>
  <c r="F39" i="28"/>
  <c r="K36" i="28"/>
  <c r="K34" i="28"/>
  <c r="F34" i="28"/>
  <c r="L33" i="28"/>
  <c r="F32" i="28"/>
  <c r="L32" i="28" s="1"/>
  <c r="K31" i="28"/>
  <c r="F31" i="28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59" i="28" l="1"/>
  <c r="L60" i="28"/>
  <c r="L511" i="28"/>
  <c r="L524" i="28"/>
  <c r="L439" i="28"/>
  <c r="L104" i="28"/>
  <c r="D142" i="28"/>
  <c r="L539" i="28"/>
  <c r="L620" i="28"/>
  <c r="L129" i="28"/>
  <c r="L70" i="28"/>
  <c r="L115" i="28"/>
  <c r="L22" i="28"/>
  <c r="L4" i="28"/>
  <c r="L39" i="28"/>
  <c r="L108" i="28"/>
  <c r="L86" i="28"/>
  <c r="L165" i="28"/>
  <c r="L168" i="28"/>
  <c r="L170" i="28"/>
  <c r="L177" i="28"/>
  <c r="L182" i="28"/>
  <c r="L190" i="28"/>
  <c r="L198" i="28"/>
  <c r="L413" i="28"/>
  <c r="L432" i="28"/>
  <c r="L530" i="28"/>
  <c r="L596" i="28"/>
  <c r="L126" i="28"/>
  <c r="L133" i="28"/>
  <c r="L135" i="28"/>
  <c r="L211" i="28"/>
  <c r="L203" i="28"/>
  <c r="L77" i="28"/>
  <c r="L119" i="28"/>
  <c r="L123" i="28"/>
  <c r="L125" i="28"/>
  <c r="L457" i="28"/>
  <c r="L477" i="28"/>
  <c r="L409" i="28"/>
  <c r="L423" i="28"/>
  <c r="L442" i="28"/>
  <c r="L447" i="28"/>
  <c r="L480" i="28"/>
  <c r="L483" i="28"/>
  <c r="L487" i="28"/>
  <c r="L490" i="28"/>
  <c r="L510" i="28"/>
  <c r="L580" i="28"/>
  <c r="F619" i="28"/>
  <c r="L603" i="28"/>
  <c r="L535" i="28"/>
  <c r="L51" i="28"/>
  <c r="L63" i="28"/>
  <c r="L21" i="28"/>
  <c r="L428" i="28"/>
  <c r="L415" i="28"/>
  <c r="L67" i="28"/>
  <c r="L113" i="28"/>
  <c r="L574" i="28"/>
  <c r="L586" i="28"/>
  <c r="L592" i="28"/>
  <c r="L101" i="28"/>
  <c r="L132" i="28"/>
  <c r="L164" i="28"/>
  <c r="L427" i="28"/>
  <c r="L478" i="28"/>
  <c r="L518" i="28"/>
  <c r="L8" i="28"/>
  <c r="L52" i="28"/>
  <c r="L55" i="28"/>
  <c r="L74" i="28"/>
  <c r="L109" i="28"/>
  <c r="L130" i="28"/>
  <c r="L204" i="28"/>
  <c r="L218" i="28"/>
  <c r="L414" i="28"/>
  <c r="L425" i="28"/>
  <c r="L446" i="28"/>
  <c r="L474" i="28"/>
  <c r="L484" i="28"/>
  <c r="L491" i="28"/>
  <c r="L581" i="28"/>
  <c r="L590" i="28"/>
  <c r="L593" i="28"/>
  <c r="L34" i="28"/>
  <c r="L116" i="28"/>
  <c r="L134" i="28"/>
  <c r="L154" i="28"/>
  <c r="L475" i="28"/>
  <c r="L494" i="28"/>
  <c r="L127" i="28"/>
  <c r="L26" i="28"/>
  <c r="L31" i="28"/>
  <c r="L107" i="28"/>
  <c r="L171" i="28"/>
  <c r="L193" i="28"/>
  <c r="L208" i="28"/>
  <c r="L214" i="28"/>
  <c r="L422" i="28"/>
  <c r="L493" i="28"/>
  <c r="L502" i="28"/>
  <c r="L10" i="28"/>
  <c r="L65" i="28"/>
  <c r="L450" i="28"/>
  <c r="L461" i="28"/>
  <c r="L536" i="28"/>
  <c r="L567" i="28"/>
  <c r="L583" i="28"/>
  <c r="L75" i="28"/>
  <c r="L449" i="28"/>
  <c r="L169" i="28"/>
  <c r="L222" i="28"/>
  <c r="L412" i="28"/>
  <c r="L433" i="28"/>
  <c r="L13" i="28"/>
  <c r="L25" i="28"/>
  <c r="L47" i="28"/>
  <c r="L455" i="28"/>
  <c r="L9" i="28"/>
  <c r="L11" i="28"/>
  <c r="L124" i="28"/>
  <c r="L184" i="28"/>
  <c r="L2" i="28"/>
  <c r="L68" i="28"/>
  <c r="L186" i="28"/>
  <c r="L209" i="28"/>
  <c r="L448" i="28"/>
  <c r="L507" i="28"/>
  <c r="K166" i="28"/>
  <c r="L166" i="28" s="1"/>
  <c r="L588" i="28"/>
  <c r="L118" i="28"/>
  <c r="L156" i="28"/>
  <c r="L183" i="28"/>
  <c r="L192" i="28"/>
  <c r="L199" i="28"/>
  <c r="L443" i="28"/>
  <c r="L194" i="28"/>
  <c r="D135" i="20"/>
  <c r="F134" i="20"/>
  <c r="F597" i="20"/>
  <c r="F596" i="20"/>
  <c r="F104" i="20" l="1"/>
  <c r="K484" i="20" l="1"/>
  <c r="K322" i="20"/>
  <c r="K17" i="20"/>
  <c r="F17" i="20"/>
  <c r="L17" i="20" s="1"/>
  <c r="K317" i="20"/>
  <c r="K302" i="20"/>
  <c r="K82" i="20"/>
  <c r="L82" i="20" s="1"/>
  <c r="K65" i="20"/>
  <c r="F65" i="20"/>
  <c r="K453" i="20"/>
  <c r="L453" i="20" s="1"/>
  <c r="K243" i="20"/>
  <c r="K69" i="20"/>
  <c r="F69" i="20"/>
  <c r="K512" i="20"/>
  <c r="L512" i="20" s="1"/>
  <c r="K107" i="20"/>
  <c r="K548" i="20"/>
  <c r="L65" i="20" l="1"/>
  <c r="L69" i="20"/>
  <c r="K193" i="20"/>
  <c r="F595" i="20" l="1"/>
  <c r="K537" i="20"/>
  <c r="K314" i="20"/>
  <c r="B30" i="24" l="1"/>
  <c r="F580" i="20" l="1"/>
  <c r="K286" i="20"/>
  <c r="K580" i="20"/>
  <c r="F175" i="20"/>
  <c r="L175" i="20" s="1"/>
  <c r="K175" i="20"/>
  <c r="K421" i="20"/>
  <c r="K101" i="20"/>
  <c r="E488" i="20"/>
  <c r="K488" i="20"/>
  <c r="L488" i="20" s="1"/>
  <c r="K308" i="20"/>
  <c r="K305" i="20"/>
  <c r="K304" i="20"/>
  <c r="K116" i="20"/>
  <c r="L116" i="20" s="1"/>
  <c r="E452" i="20"/>
  <c r="K449" i="20"/>
  <c r="F508" i="20"/>
  <c r="E72" i="20" l="1"/>
  <c r="L72" i="20"/>
  <c r="F407" i="20" l="1"/>
  <c r="F409" i="20"/>
  <c r="F406" i="20"/>
  <c r="F405" i="20"/>
  <c r="F478" i="20"/>
  <c r="G405" i="20" l="1"/>
  <c r="K195" i="20"/>
  <c r="K95" i="20"/>
  <c r="K340" i="20"/>
  <c r="L340" i="20" s="1"/>
  <c r="F342" i="20"/>
  <c r="K277" i="20"/>
  <c r="K307" i="20"/>
  <c r="F404" i="20"/>
  <c r="K357" i="20"/>
  <c r="L357" i="20" s="1"/>
  <c r="K303" i="20"/>
  <c r="K461" i="20"/>
  <c r="F594" i="20"/>
  <c r="K310" i="20" l="1"/>
  <c r="F192" i="20"/>
  <c r="K36" i="20"/>
  <c r="L36" i="20" s="1"/>
  <c r="K273" i="20"/>
  <c r="K457" i="20"/>
  <c r="K275" i="20"/>
  <c r="K339" i="20"/>
  <c r="F339" i="20"/>
  <c r="K592" i="20"/>
  <c r="K532" i="20"/>
  <c r="L532" i="20" s="1"/>
  <c r="K591" i="20"/>
  <c r="L591" i="20" s="1"/>
  <c r="K309" i="20"/>
  <c r="K442" i="20"/>
  <c r="K278" i="20"/>
  <c r="K298" i="20"/>
  <c r="K43" i="20"/>
  <c r="K313" i="20"/>
  <c r="K281" i="20"/>
  <c r="K241" i="20"/>
  <c r="K41" i="20" l="1"/>
  <c r="F391" i="20"/>
  <c r="K279" i="20"/>
  <c r="K295" i="20" l="1"/>
  <c r="K266" i="20"/>
  <c r="K296" i="20"/>
  <c r="K447" i="20"/>
  <c r="K590" i="20"/>
  <c r="L590" i="20" s="1"/>
  <c r="K479" i="20"/>
  <c r="K285" i="20"/>
  <c r="K39" i="20" l="1"/>
  <c r="K299" i="20"/>
  <c r="K257" i="20"/>
  <c r="K476" i="20"/>
  <c r="K263" i="20"/>
  <c r="K280" i="20"/>
  <c r="F267" i="20"/>
  <c r="K301" i="20"/>
  <c r="K446" i="20"/>
  <c r="K589" i="20"/>
  <c r="L589" i="20" s="1"/>
  <c r="K46" i="20"/>
  <c r="K40" i="20"/>
  <c r="K282" i="20"/>
  <c r="K270" i="20"/>
  <c r="K260" i="20"/>
  <c r="K588" i="20"/>
  <c r="F294" i="20" l="1"/>
  <c r="K8" i="20" l="1"/>
  <c r="K570" i="20"/>
  <c r="L570" i="20" s="1"/>
  <c r="K398" i="3"/>
  <c r="L398" i="3" s="1"/>
  <c r="F587" i="20"/>
  <c r="F423" i="20"/>
  <c r="F422" i="20"/>
  <c r="K212" i="20"/>
  <c r="K211" i="20"/>
  <c r="F212" i="20"/>
  <c r="L212" i="20" l="1"/>
  <c r="K78" i="20"/>
  <c r="L78" i="20" s="1"/>
  <c r="K76" i="20"/>
  <c r="L76" i="20" s="1"/>
  <c r="K444" i="20"/>
  <c r="K24" i="20"/>
  <c r="K253" i="20"/>
  <c r="K566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8" i="20"/>
  <c r="K23" i="20"/>
  <c r="K242" i="20"/>
  <c r="K269" i="20"/>
  <c r="K426" i="20"/>
  <c r="K424" i="20"/>
  <c r="K400" i="20"/>
  <c r="L400" i="20" s="1"/>
  <c r="K427" i="20"/>
  <c r="F586" i="20" l="1"/>
  <c r="F585" i="20"/>
  <c r="F249" i="20"/>
  <c r="E248" i="20"/>
  <c r="K375" i="20" l="1"/>
  <c r="K330" i="20" l="1"/>
  <c r="F330" i="20"/>
  <c r="K256" i="20"/>
  <c r="K265" i="20"/>
  <c r="K518" i="20"/>
  <c r="L518" i="20" s="1"/>
  <c r="K254" i="20"/>
  <c r="K251" i="20"/>
  <c r="K456" i="20"/>
  <c r="K359" i="20"/>
  <c r="K33" i="20"/>
  <c r="K259" i="20"/>
  <c r="J438" i="20"/>
  <c r="K438" i="20"/>
  <c r="K246" i="20"/>
  <c r="K412" i="20"/>
  <c r="K238" i="20"/>
  <c r="K439" i="20"/>
  <c r="K32" i="20"/>
  <c r="K418" i="20"/>
  <c r="K271" i="20"/>
  <c r="K430" i="20"/>
  <c r="K583" i="20"/>
  <c r="K30" i="20"/>
  <c r="K290" i="20"/>
  <c r="L290" i="20" s="1"/>
  <c r="K529" i="20"/>
  <c r="K272" i="20"/>
  <c r="K252" i="20"/>
  <c r="K45" i="20"/>
  <c r="K284" i="20"/>
  <c r="K51" i="20"/>
  <c r="K433" i="20"/>
  <c r="K353" i="20"/>
  <c r="K414" i="20"/>
  <c r="F360" i="20"/>
  <c r="F359" i="20"/>
  <c r="L359" i="20" s="1"/>
  <c r="K240" i="20"/>
  <c r="K422" i="20"/>
  <c r="K38" i="20"/>
  <c r="F584" i="20"/>
  <c r="F583" i="20"/>
  <c r="L583" i="20" s="1"/>
  <c r="K360" i="20" l="1"/>
  <c r="L360" i="20" s="1"/>
  <c r="K21" i="20"/>
  <c r="K582" i="20"/>
  <c r="L582" i="20" s="1"/>
  <c r="K160" i="20"/>
  <c r="K420" i="20"/>
  <c r="K432" i="20"/>
  <c r="K514" i="20"/>
  <c r="L514" i="20" s="1"/>
  <c r="K475" i="20"/>
  <c r="K434" i="20"/>
  <c r="K239" i="20"/>
  <c r="L580" i="20"/>
  <c r="K413" i="20"/>
  <c r="K415" i="20"/>
  <c r="F416" i="20"/>
  <c r="F415" i="20"/>
  <c r="K410" i="20"/>
  <c r="K75" i="20"/>
  <c r="K149" i="20"/>
  <c r="L149" i="20" s="1"/>
  <c r="K472" i="20"/>
  <c r="K435" i="20"/>
  <c r="L415" i="20" l="1"/>
  <c r="K394" i="20"/>
  <c r="D579" i="20"/>
  <c r="F575" i="20"/>
  <c r="F576" i="20"/>
  <c r="F577" i="20"/>
  <c r="F578" i="20"/>
  <c r="F574" i="20"/>
  <c r="K11" i="20"/>
  <c r="K436" i="3"/>
  <c r="L436" i="3" s="1"/>
  <c r="F436" i="3"/>
  <c r="K573" i="20"/>
  <c r="L573" i="20" s="1"/>
  <c r="K445" i="20"/>
  <c r="F572" i="20"/>
  <c r="K387" i="20"/>
  <c r="L330" i="20"/>
  <c r="K436" i="20"/>
  <c r="F579" i="20" l="1"/>
  <c r="K245" i="20"/>
  <c r="K20" i="20"/>
  <c r="E149" i="20"/>
  <c r="K398" i="20" l="1"/>
  <c r="K289" i="20"/>
  <c r="F300" i="20" l="1"/>
  <c r="L300" i="20" s="1"/>
  <c r="F569" i="20"/>
  <c r="K411" i="20"/>
  <c r="K179" i="20" l="1"/>
  <c r="L179" i="20" s="1"/>
  <c r="K110" i="20"/>
  <c r="L110" i="20" s="1"/>
  <c r="K109" i="20"/>
  <c r="K35" i="20"/>
  <c r="L35" i="20" s="1"/>
  <c r="E531" i="20"/>
  <c r="D85" i="20"/>
  <c r="K563" i="20"/>
  <c r="F209" i="20"/>
  <c r="K206" i="20"/>
  <c r="K205" i="20"/>
  <c r="K34" i="20"/>
  <c r="K568" i="20"/>
  <c r="F568" i="20"/>
  <c r="K555" i="20"/>
  <c r="K386" i="20"/>
  <c r="K385" i="20"/>
  <c r="K19" i="20"/>
  <c r="K567" i="20"/>
  <c r="L567" i="20" s="1"/>
  <c r="F86" i="20"/>
  <c r="K356" i="20"/>
  <c r="K374" i="20"/>
  <c r="L568" i="20" l="1"/>
  <c r="K364" i="20"/>
  <c r="K565" i="20"/>
  <c r="L565" i="20" s="1"/>
  <c r="K392" i="20"/>
  <c r="K199" i="20"/>
  <c r="F199" i="20"/>
  <c r="L199" i="20" l="1"/>
  <c r="D38" i="24" l="1"/>
  <c r="B39" i="24" s="1"/>
  <c r="B31" i="24"/>
  <c r="B40" i="24" s="1"/>
  <c r="F215" i="20"/>
  <c r="F318" i="3"/>
  <c r="B41" i="24" l="1"/>
  <c r="K362" i="20"/>
  <c r="K369" i="20"/>
  <c r="K380" i="20"/>
  <c r="K363" i="20"/>
  <c r="K382" i="20" l="1"/>
  <c r="K396" i="20"/>
  <c r="F564" i="20"/>
  <c r="K355" i="20"/>
  <c r="F463" i="20"/>
  <c r="K462" i="20"/>
  <c r="K559" i="20"/>
  <c r="K556" i="20" l="1"/>
  <c r="L556" i="20" s="1"/>
  <c r="K349" i="20"/>
  <c r="K236" i="20"/>
  <c r="H438" i="19"/>
  <c r="F563" i="20"/>
  <c r="L563" i="20" s="1"/>
  <c r="K336" i="20"/>
  <c r="K351" i="20"/>
  <c r="K372" i="20"/>
  <c r="K170" i="20"/>
  <c r="K169" i="20"/>
  <c r="L169" i="20" s="1"/>
  <c r="H23" i="19" l="1"/>
  <c r="H22" i="19"/>
  <c r="L25" i="20"/>
  <c r="K557" i="20"/>
  <c r="K397" i="20"/>
  <c r="K490" i="20"/>
  <c r="K370" i="20"/>
  <c r="K378" i="20"/>
  <c r="K320" i="20"/>
  <c r="K365" i="20"/>
  <c r="F562" i="20"/>
  <c r="K377" i="20"/>
  <c r="K288" i="20"/>
  <c r="K15" i="20"/>
  <c r="K329" i="20"/>
  <c r="K368" i="20"/>
  <c r="K473" i="20"/>
  <c r="K352" i="20"/>
  <c r="K371" i="20"/>
  <c r="K145" i="20"/>
  <c r="K469" i="20"/>
  <c r="K200" i="20"/>
  <c r="K344" i="20"/>
  <c r="K560" i="20"/>
  <c r="F560" i="20"/>
  <c r="F559" i="20"/>
  <c r="L559" i="20" s="1"/>
  <c r="L560" i="20" l="1"/>
  <c r="K482" i="20"/>
  <c r="L482" i="20" s="1"/>
  <c r="F440" i="3"/>
  <c r="F439" i="3"/>
  <c r="F557" i="20"/>
  <c r="L557" i="20" s="1"/>
  <c r="K438" i="3"/>
  <c r="L438" i="3" s="1"/>
  <c r="F400" i="20" l="1"/>
  <c r="F399" i="20"/>
  <c r="F489" i="20" l="1"/>
  <c r="K489" i="20" l="1"/>
  <c r="L489" i="20" s="1"/>
  <c r="K395" i="20"/>
  <c r="K177" i="20"/>
  <c r="K366" i="20"/>
  <c r="K125" i="20"/>
  <c r="K367" i="20"/>
  <c r="L87" i="20"/>
  <c r="L94" i="28" s="1"/>
  <c r="K89" i="20"/>
  <c r="F555" i="20"/>
  <c r="L555" i="20" s="1"/>
  <c r="F500" i="20"/>
  <c r="K100" i="20" l="1"/>
  <c r="K347" i="20"/>
  <c r="K467" i="20"/>
  <c r="K554" i="20"/>
  <c r="L554" i="20" s="1"/>
  <c r="K480" i="20"/>
  <c r="K96" i="20"/>
  <c r="F553" i="20"/>
  <c r="K553" i="20"/>
  <c r="K354" i="20"/>
  <c r="L553" i="20" l="1"/>
  <c r="K233" i="20"/>
  <c r="K552" i="20"/>
  <c r="L552" i="20" s="1"/>
  <c r="K551" i="20"/>
  <c r="F551" i="20"/>
  <c r="K471" i="20"/>
  <c r="K498" i="20"/>
  <c r="L551" i="20" l="1"/>
  <c r="K543" i="20"/>
  <c r="L543" i="20" s="1"/>
  <c r="K62" i="20" l="1"/>
  <c r="L62" i="20" s="1"/>
  <c r="K60" i="20"/>
  <c r="L206" i="20"/>
  <c r="K156" i="20"/>
  <c r="K337" i="20"/>
  <c r="K550" i="20"/>
  <c r="K213" i="20"/>
  <c r="K315" i="20"/>
  <c r="K549" i="20"/>
  <c r="F549" i="20"/>
  <c r="F547" i="20"/>
  <c r="L548" i="20" s="1"/>
  <c r="K547" i="20"/>
  <c r="L547" i="20" l="1"/>
  <c r="L549" i="20"/>
  <c r="K324" i="20"/>
  <c r="K183" i="20"/>
  <c r="K129" i="20"/>
  <c r="K197" i="20"/>
  <c r="K166" i="20"/>
  <c r="E205" i="20"/>
  <c r="F545" i="20" l="1"/>
  <c r="K181" i="20"/>
  <c r="K167" i="20"/>
  <c r="F544" i="20"/>
  <c r="K544" i="20"/>
  <c r="K361" i="20"/>
  <c r="K171" i="20"/>
  <c r="K189" i="20"/>
  <c r="K176" i="20"/>
  <c r="K201" i="20"/>
  <c r="K327" i="20"/>
  <c r="L544" i="20" l="1"/>
  <c r="K542" i="20"/>
  <c r="L542" i="20" s="1"/>
  <c r="K541" i="20"/>
  <c r="L541" i="20" s="1"/>
  <c r="K18" i="20"/>
  <c r="K178" i="20"/>
  <c r="K187" i="20"/>
  <c r="K428" i="20"/>
  <c r="K173" i="20"/>
  <c r="K540" i="20"/>
  <c r="L540" i="20" s="1"/>
  <c r="F539" i="20"/>
  <c r="K539" i="20"/>
  <c r="K465" i="20"/>
  <c r="K345" i="20"/>
  <c r="K531" i="20"/>
  <c r="L531" i="20" s="1"/>
  <c r="K417" i="20"/>
  <c r="K186" i="20"/>
  <c r="K164" i="20"/>
  <c r="K348" i="20"/>
  <c r="L529" i="20"/>
  <c r="K528" i="20"/>
  <c r="L528" i="20" s="1"/>
  <c r="K210" i="20"/>
  <c r="L523" i="20"/>
  <c r="K526" i="20"/>
  <c r="L526" i="20" s="1"/>
  <c r="K112" i="20"/>
  <c r="K158" i="20"/>
  <c r="K232" i="20"/>
  <c r="K525" i="20"/>
  <c r="L525" i="20" s="1"/>
  <c r="K153" i="20"/>
  <c r="L539" i="20" l="1"/>
  <c r="F524" i="20"/>
  <c r="K524" i="20"/>
  <c r="K148" i="20"/>
  <c r="K80" i="20"/>
  <c r="K496" i="20"/>
  <c r="L496" i="20" s="1"/>
  <c r="K147" i="20"/>
  <c r="K122" i="20"/>
  <c r="K182" i="20"/>
  <c r="L524" i="20" l="1"/>
  <c r="K180" i="20"/>
  <c r="K522" i="20"/>
  <c r="L522" i="20" s="1"/>
  <c r="K56" i="20"/>
  <c r="F521" i="20"/>
  <c r="K521" i="20"/>
  <c r="K168" i="20"/>
  <c r="K520" i="20"/>
  <c r="L520" i="20" s="1"/>
  <c r="K130" i="20"/>
  <c r="K162" i="20"/>
  <c r="K202" i="20"/>
  <c r="F29" i="20"/>
  <c r="K28" i="20" s="1"/>
  <c r="L28" i="20" s="1"/>
  <c r="K163" i="20"/>
  <c r="K142" i="20"/>
  <c r="K121" i="20"/>
  <c r="K235" i="20"/>
  <c r="K64" i="20"/>
  <c r="K464" i="20"/>
  <c r="F519" i="20"/>
  <c r="L519" i="20" s="1"/>
  <c r="K413" i="3"/>
  <c r="D21" i="23"/>
  <c r="E21" i="23" s="1"/>
  <c r="B22" i="23" s="1"/>
  <c r="D22" i="23" s="1"/>
  <c r="E22" i="23" s="1"/>
  <c r="B23" i="23" s="1"/>
  <c r="D20" i="23"/>
  <c r="E20" i="23" s="1"/>
  <c r="B21" i="23" s="1"/>
  <c r="D3" i="23"/>
  <c r="E3" i="23" s="1"/>
  <c r="B4" i="23" s="1"/>
  <c r="E73" i="20"/>
  <c r="E112" i="20"/>
  <c r="E102" i="20"/>
  <c r="F501" i="20"/>
  <c r="F499" i="20"/>
  <c r="F498" i="20"/>
  <c r="L521" i="20" l="1"/>
  <c r="D23" i="23"/>
  <c r="E23" i="23" s="1"/>
  <c r="B25" i="23" s="1"/>
  <c r="D4" i="23"/>
  <c r="E4" i="23" s="1"/>
  <c r="B5" i="23" s="1"/>
  <c r="B8" i="22"/>
  <c r="F510" i="20"/>
  <c r="F129" i="20"/>
  <c r="H410" i="19"/>
  <c r="F10" i="21"/>
  <c r="F9" i="21"/>
  <c r="F8" i="21"/>
  <c r="F6" i="21"/>
  <c r="F5" i="21"/>
  <c r="F152" i="20"/>
  <c r="F516" i="20"/>
  <c r="K343" i="20"/>
  <c r="K485" i="20"/>
  <c r="F7" i="21"/>
  <c r="F4" i="21"/>
  <c r="F12" i="21" s="1"/>
  <c r="B24" i="21"/>
  <c r="K321" i="20"/>
  <c r="K502" i="20"/>
  <c r="L502" i="20" s="1"/>
  <c r="K66" i="20"/>
  <c r="K316" i="20"/>
  <c r="F517" i="20"/>
  <c r="K517" i="20"/>
  <c r="K115" i="20"/>
  <c r="K53" i="20"/>
  <c r="K185" i="20"/>
  <c r="K120" i="20"/>
  <c r="K143" i="20"/>
  <c r="K152" i="20"/>
  <c r="K326" i="20"/>
  <c r="K124" i="20"/>
  <c r="K516" i="20"/>
  <c r="K114" i="20"/>
  <c r="K128" i="20"/>
  <c r="K515" i="20"/>
  <c r="L515" i="20" s="1"/>
  <c r="F514" i="20"/>
  <c r="K137" i="20"/>
  <c r="K477" i="20"/>
  <c r="K318" i="20"/>
  <c r="K513" i="20"/>
  <c r="L513" i="20" s="1"/>
  <c r="K174" i="20"/>
  <c r="K319" i="20"/>
  <c r="K118" i="20"/>
  <c r="K511" i="20"/>
  <c r="L511" i="20" s="1"/>
  <c r="K102" i="20"/>
  <c r="K127" i="20"/>
  <c r="K510" i="20"/>
  <c r="L510" i="20" s="1"/>
  <c r="K509" i="20"/>
  <c r="L509" i="20" s="1"/>
  <c r="D25" i="23" l="1"/>
  <c r="E25" i="23" s="1"/>
  <c r="B26" i="23" s="1"/>
  <c r="D26" i="23" s="1"/>
  <c r="E26" i="23" s="1"/>
  <c r="B27" i="23" s="1"/>
  <c r="D27" i="23" s="1"/>
  <c r="E27" i="23" s="1"/>
  <c r="B28" i="23" s="1"/>
  <c r="D28" i="23" s="1"/>
  <c r="E28" i="23" s="1"/>
  <c r="B29" i="23" s="1"/>
  <c r="D29" i="23" s="1"/>
  <c r="E29" i="23" s="1"/>
  <c r="L516" i="20"/>
  <c r="D5" i="23"/>
  <c r="E5" i="23" s="1"/>
  <c r="B6" i="23" s="1"/>
  <c r="D8" i="23"/>
  <c r="E8" i="23" s="1"/>
  <c r="B9" i="23" s="1"/>
  <c r="D9" i="23" s="1"/>
  <c r="L517" i="20"/>
  <c r="K131" i="20"/>
  <c r="K157" i="20"/>
  <c r="K328" i="20"/>
  <c r="K119" i="20"/>
  <c r="K87" i="20"/>
  <c r="K55" i="20"/>
  <c r="K105" i="20"/>
  <c r="K111" i="20"/>
  <c r="K126" i="20"/>
  <c r="K455" i="20"/>
  <c r="K67" i="20"/>
  <c r="K214" i="20"/>
  <c r="K459" i="20"/>
  <c r="K99" i="20"/>
  <c r="K159" i="20"/>
  <c r="K506" i="20"/>
  <c r="F506" i="20"/>
  <c r="B30" i="23" l="1"/>
  <c r="D30" i="23" s="1"/>
  <c r="E30" i="23" s="1"/>
  <c r="B31" i="23" s="1"/>
  <c r="D31" i="23" s="1"/>
  <c r="E31" i="23" s="1"/>
  <c r="B32" i="23" s="1"/>
  <c r="D6" i="23"/>
  <c r="E6" i="23"/>
  <c r="E9" i="23"/>
  <c r="B10" i="23" s="1"/>
  <c r="D10" i="23" s="1"/>
  <c r="L506" i="20"/>
  <c r="K84" i="20"/>
  <c r="L84" i="20" s="1"/>
  <c r="K495" i="20"/>
  <c r="L495" i="20" s="1"/>
  <c r="K68" i="20"/>
  <c r="L350" i="20"/>
  <c r="D32" i="23" l="1"/>
  <c r="E32" i="23" s="1"/>
  <c r="E10" i="23"/>
  <c r="B11" i="23" s="1"/>
  <c r="F2" i="20"/>
  <c r="K2" i="20"/>
  <c r="F3" i="20"/>
  <c r="K3" i="20"/>
  <c r="K4" i="20"/>
  <c r="L4" i="20" s="1"/>
  <c r="K5" i="20"/>
  <c r="L5" i="20" s="1"/>
  <c r="F505" i="20"/>
  <c r="F502" i="20"/>
  <c r="F497" i="20"/>
  <c r="L497" i="20" s="1"/>
  <c r="F496" i="20"/>
  <c r="F494" i="20"/>
  <c r="F493" i="20"/>
  <c r="F492" i="20"/>
  <c r="F491" i="20"/>
  <c r="F490" i="20"/>
  <c r="L490" i="20" s="1"/>
  <c r="F487" i="20"/>
  <c r="L487" i="20" s="1"/>
  <c r="F485" i="20"/>
  <c r="F484" i="20"/>
  <c r="L484" i="20" s="1"/>
  <c r="L483" i="20"/>
  <c r="F480" i="20"/>
  <c r="L480" i="20" s="1"/>
  <c r="F479" i="20"/>
  <c r="L479" i="20" s="1"/>
  <c r="F477" i="20"/>
  <c r="L477" i="20" s="1"/>
  <c r="F476" i="20"/>
  <c r="L476" i="20" s="1"/>
  <c r="L475" i="20"/>
  <c r="F474" i="20"/>
  <c r="L474" i="20" s="1"/>
  <c r="F473" i="20"/>
  <c r="L473" i="20" s="1"/>
  <c r="F472" i="20"/>
  <c r="L472" i="20" s="1"/>
  <c r="L471" i="20"/>
  <c r="L469" i="20"/>
  <c r="F468" i="20"/>
  <c r="L468" i="20" s="1"/>
  <c r="F467" i="20"/>
  <c r="L467" i="20" s="1"/>
  <c r="F466" i="20"/>
  <c r="L466" i="20" s="1"/>
  <c r="F465" i="20"/>
  <c r="L465" i="20" s="1"/>
  <c r="F464" i="20"/>
  <c r="L464" i="20" s="1"/>
  <c r="F462" i="20"/>
  <c r="L462" i="20" s="1"/>
  <c r="F461" i="20"/>
  <c r="L461" i="20" s="1"/>
  <c r="L459" i="20"/>
  <c r="L457" i="20"/>
  <c r="E457" i="20"/>
  <c r="F456" i="20"/>
  <c r="L456" i="20" s="1"/>
  <c r="F455" i="20"/>
  <c r="L455" i="20" s="1"/>
  <c r="L449" i="20"/>
  <c r="F448" i="20"/>
  <c r="L448" i="20" s="1"/>
  <c r="F447" i="20"/>
  <c r="L447" i="20" s="1"/>
  <c r="L446" i="20"/>
  <c r="F445" i="20"/>
  <c r="L445" i="20" s="1"/>
  <c r="L444" i="20"/>
  <c r="F443" i="20"/>
  <c r="L443" i="20" s="1"/>
  <c r="F442" i="20"/>
  <c r="L442" i="20" s="1"/>
  <c r="F441" i="20"/>
  <c r="F440" i="20"/>
  <c r="L440" i="20" s="1"/>
  <c r="F439" i="20"/>
  <c r="L439" i="20" s="1"/>
  <c r="F438" i="20"/>
  <c r="L438" i="20" s="1"/>
  <c r="L436" i="20"/>
  <c r="F435" i="20"/>
  <c r="L435" i="20" s="1"/>
  <c r="F434" i="20"/>
  <c r="L434" i="20" s="1"/>
  <c r="F433" i="20"/>
  <c r="L433" i="20" s="1"/>
  <c r="F432" i="20"/>
  <c r="L432" i="20" s="1"/>
  <c r="F430" i="20"/>
  <c r="F428" i="20"/>
  <c r="L428" i="20" s="1"/>
  <c r="F427" i="20"/>
  <c r="L427" i="20" s="1"/>
  <c r="F425" i="20"/>
  <c r="F424" i="20"/>
  <c r="L422" i="20"/>
  <c r="F421" i="20"/>
  <c r="L421" i="20" s="1"/>
  <c r="F420" i="20"/>
  <c r="L420" i="20" s="1"/>
  <c r="F418" i="20"/>
  <c r="L418" i="20" s="1"/>
  <c r="L417" i="20"/>
  <c r="F414" i="20"/>
  <c r="L414" i="20" s="1"/>
  <c r="L413" i="20"/>
  <c r="F412" i="20"/>
  <c r="F411" i="20"/>
  <c r="L411" i="20" s="1"/>
  <c r="F410" i="20"/>
  <c r="L410" i="20" s="1"/>
  <c r="F403" i="20"/>
  <c r="F398" i="20"/>
  <c r="L398" i="20" s="1"/>
  <c r="F397" i="20"/>
  <c r="L397" i="20" s="1"/>
  <c r="F396" i="20"/>
  <c r="F395" i="20"/>
  <c r="L395" i="20" s="1"/>
  <c r="F394" i="20"/>
  <c r="L394" i="20" s="1"/>
  <c r="F393" i="20"/>
  <c r="L393" i="20" s="1"/>
  <c r="F392" i="20"/>
  <c r="F387" i="20"/>
  <c r="L387" i="20" s="1"/>
  <c r="L386" i="20"/>
  <c r="F385" i="20"/>
  <c r="L385" i="20" s="1"/>
  <c r="F383" i="20"/>
  <c r="F382" i="20"/>
  <c r="L382" i="20" s="1"/>
  <c r="F381" i="20"/>
  <c r="F380" i="20"/>
  <c r="F379" i="20"/>
  <c r="L379" i="20" s="1"/>
  <c r="F378" i="20"/>
  <c r="L378" i="20" s="1"/>
  <c r="F377" i="20"/>
  <c r="L377" i="20" s="1"/>
  <c r="F374" i="20"/>
  <c r="L374" i="20" s="1"/>
  <c r="F372" i="20"/>
  <c r="L372" i="20" s="1"/>
  <c r="F371" i="20"/>
  <c r="F370" i="20"/>
  <c r="L370" i="20" s="1"/>
  <c r="F369" i="20"/>
  <c r="L369" i="20" s="1"/>
  <c r="F368" i="20"/>
  <c r="L368" i="20" s="1"/>
  <c r="F366" i="20"/>
  <c r="L366" i="20" s="1"/>
  <c r="L365" i="20"/>
  <c r="F364" i="20"/>
  <c r="L364" i="20" s="1"/>
  <c r="F363" i="20"/>
  <c r="L363" i="20" s="1"/>
  <c r="F362" i="20"/>
  <c r="L362" i="20" s="1"/>
  <c r="F361" i="20"/>
  <c r="L361" i="20" s="1"/>
  <c r="L358" i="20"/>
  <c r="F356" i="20"/>
  <c r="L356" i="20" s="1"/>
  <c r="F355" i="20"/>
  <c r="L355" i="20" s="1"/>
  <c r="F354" i="20"/>
  <c r="L354" i="20" s="1"/>
  <c r="F353" i="20"/>
  <c r="L352" i="20"/>
  <c r="F351" i="20"/>
  <c r="L351" i="20" s="1"/>
  <c r="F349" i="20"/>
  <c r="L349" i="20" s="1"/>
  <c r="F348" i="20"/>
  <c r="L348" i="20" s="1"/>
  <c r="F347" i="20"/>
  <c r="F346" i="20"/>
  <c r="L346" i="20" s="1"/>
  <c r="F345" i="20"/>
  <c r="L345" i="20" s="1"/>
  <c r="F344" i="20"/>
  <c r="L344" i="20" s="1"/>
  <c r="F343" i="20"/>
  <c r="L343" i="20" s="1"/>
  <c r="L339" i="20"/>
  <c r="F338" i="20"/>
  <c r="L338" i="20" s="1"/>
  <c r="F337" i="20"/>
  <c r="L337" i="20" s="1"/>
  <c r="F336" i="20"/>
  <c r="L336" i="20" s="1"/>
  <c r="F328" i="20"/>
  <c r="L328" i="20" s="1"/>
  <c r="F327" i="20"/>
  <c r="L327" i="20" s="1"/>
  <c r="F326" i="20"/>
  <c r="L326" i="20" s="1"/>
  <c r="F325" i="20"/>
  <c r="L325" i="20" s="1"/>
  <c r="F324" i="20"/>
  <c r="L324" i="20" s="1"/>
  <c r="F322" i="20"/>
  <c r="L322" i="20" s="1"/>
  <c r="F321" i="20"/>
  <c r="L321" i="20" s="1"/>
  <c r="F320" i="20"/>
  <c r="L320" i="20" s="1"/>
  <c r="F319" i="20"/>
  <c r="L319" i="20" s="1"/>
  <c r="L318" i="20"/>
  <c r="F317" i="20"/>
  <c r="L317" i="20" s="1"/>
  <c r="F316" i="20"/>
  <c r="L316" i="20" s="1"/>
  <c r="F315" i="20"/>
  <c r="L315" i="20" s="1"/>
  <c r="F314" i="20"/>
  <c r="L314" i="20" s="1"/>
  <c r="F313" i="20"/>
  <c r="L313" i="20" s="1"/>
  <c r="F312" i="20"/>
  <c r="F311" i="20"/>
  <c r="F310" i="20"/>
  <c r="F309" i="20"/>
  <c r="L309" i="20" s="1"/>
  <c r="F308" i="20"/>
  <c r="L308" i="20" s="1"/>
  <c r="F307" i="20"/>
  <c r="L307" i="20" s="1"/>
  <c r="F306" i="20"/>
  <c r="F305" i="20"/>
  <c r="L305" i="20" s="1"/>
  <c r="F304" i="20"/>
  <c r="L304" i="20" s="1"/>
  <c r="F303" i="20"/>
  <c r="L303" i="20" s="1"/>
  <c r="L302" i="20"/>
  <c r="F301" i="20"/>
  <c r="L301" i="20" s="1"/>
  <c r="F299" i="20"/>
  <c r="L299" i="20" s="1"/>
  <c r="F298" i="20"/>
  <c r="F296" i="20"/>
  <c r="L296" i="20" s="1"/>
  <c r="F295" i="20"/>
  <c r="L295" i="20" s="1"/>
  <c r="F289" i="20"/>
  <c r="L289" i="20" s="1"/>
  <c r="F287" i="20"/>
  <c r="F286" i="20"/>
  <c r="F285" i="20"/>
  <c r="L285" i="20" s="1"/>
  <c r="F284" i="20"/>
  <c r="L284" i="20" s="1"/>
  <c r="F283" i="20"/>
  <c r="L283" i="20" s="1"/>
  <c r="F282" i="20"/>
  <c r="F281" i="20"/>
  <c r="L281" i="20" s="1"/>
  <c r="F280" i="20"/>
  <c r="L280" i="20" s="1"/>
  <c r="F279" i="20"/>
  <c r="L279" i="20" s="1"/>
  <c r="F278" i="20"/>
  <c r="F277" i="20"/>
  <c r="L277" i="20" s="1"/>
  <c r="L275" i="20"/>
  <c r="F273" i="20"/>
  <c r="L273" i="20" s="1"/>
  <c r="L272" i="20"/>
  <c r="F271" i="20"/>
  <c r="L271" i="20" s="1"/>
  <c r="F270" i="20"/>
  <c r="F269" i="20"/>
  <c r="L269" i="20" s="1"/>
  <c r="L267" i="20"/>
  <c r="F266" i="20"/>
  <c r="L266" i="20" s="1"/>
  <c r="F265" i="20"/>
  <c r="L265" i="20" s="1"/>
  <c r="L264" i="20"/>
  <c r="F263" i="20"/>
  <c r="L263" i="20" s="1"/>
  <c r="F261" i="20"/>
  <c r="L261" i="20" s="1"/>
  <c r="F260" i="20"/>
  <c r="F259" i="20"/>
  <c r="L259" i="20" s="1"/>
  <c r="F258" i="20"/>
  <c r="L258" i="20" s="1"/>
  <c r="F257" i="20"/>
  <c r="L257" i="20" s="1"/>
  <c r="F256" i="20"/>
  <c r="F255" i="20"/>
  <c r="F254" i="20"/>
  <c r="L254" i="20" s="1"/>
  <c r="F253" i="20"/>
  <c r="L253" i="20" s="1"/>
  <c r="F252" i="20"/>
  <c r="L252" i="20" s="1"/>
  <c r="F251" i="20"/>
  <c r="L251" i="20" s="1"/>
  <c r="L247" i="20"/>
  <c r="F246" i="20"/>
  <c r="L246" i="20" s="1"/>
  <c r="F245" i="20"/>
  <c r="L245" i="20" s="1"/>
  <c r="F244" i="20"/>
  <c r="L244" i="20" s="1"/>
  <c r="F243" i="20"/>
  <c r="L243" i="20" s="1"/>
  <c r="F242" i="20"/>
  <c r="L241" i="20"/>
  <c r="F240" i="20"/>
  <c r="L240" i="20" s="1"/>
  <c r="F239" i="20"/>
  <c r="L239" i="20" s="1"/>
  <c r="F238" i="20"/>
  <c r="L238" i="20" s="1"/>
  <c r="F236" i="20"/>
  <c r="L236" i="20" s="1"/>
  <c r="F235" i="20"/>
  <c r="L235" i="20" s="1"/>
  <c r="F234" i="20"/>
  <c r="F233" i="20"/>
  <c r="L233" i="20" s="1"/>
  <c r="F232" i="20"/>
  <c r="L232" i="20" s="1"/>
  <c r="F231" i="20"/>
  <c r="L231" i="20" s="1"/>
  <c r="F214" i="20"/>
  <c r="L214" i="20" s="1"/>
  <c r="F213" i="20"/>
  <c r="L213" i="20" s="1"/>
  <c r="F211" i="20"/>
  <c r="L211" i="20" s="1"/>
  <c r="F210" i="20"/>
  <c r="L210" i="20" s="1"/>
  <c r="L205" i="20"/>
  <c r="F204" i="20"/>
  <c r="L204" i="20" s="1"/>
  <c r="F202" i="20"/>
  <c r="F201" i="20"/>
  <c r="L201" i="20" s="1"/>
  <c r="F200" i="20"/>
  <c r="L200" i="20" s="1"/>
  <c r="F198" i="20"/>
  <c r="L198" i="20" s="1"/>
  <c r="F197" i="20"/>
  <c r="F195" i="20"/>
  <c r="L195" i="20" s="1"/>
  <c r="F193" i="20"/>
  <c r="L193" i="20" s="1"/>
  <c r="F191" i="20"/>
  <c r="L191" i="20" s="1"/>
  <c r="F189" i="20"/>
  <c r="L189" i="20" s="1"/>
  <c r="F188" i="20"/>
  <c r="L186" i="20"/>
  <c r="F185" i="20"/>
  <c r="L185" i="20" s="1"/>
  <c r="F184" i="20"/>
  <c r="F183" i="20"/>
  <c r="F182" i="20"/>
  <c r="L182" i="20" s="1"/>
  <c r="F180" i="20"/>
  <c r="L180" i="20" s="1"/>
  <c r="F178" i="20"/>
  <c r="L178" i="20" s="1"/>
  <c r="F177" i="20"/>
  <c r="F176" i="20"/>
  <c r="L176" i="20" s="1"/>
  <c r="F174" i="20"/>
  <c r="L174" i="20" s="1"/>
  <c r="F173" i="20"/>
  <c r="L173" i="20" s="1"/>
  <c r="F172" i="20"/>
  <c r="F171" i="20"/>
  <c r="L171" i="20" s="1"/>
  <c r="F170" i="20"/>
  <c r="L170" i="20" s="1"/>
  <c r="F168" i="20"/>
  <c r="L168" i="20" s="1"/>
  <c r="F167" i="20"/>
  <c r="L167" i="20" s="1"/>
  <c r="L166" i="20"/>
  <c r="F165" i="20"/>
  <c r="F164" i="20"/>
  <c r="L164" i="20" s="1"/>
  <c r="F163" i="20"/>
  <c r="L163" i="20" s="1"/>
  <c r="L162" i="20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L155" i="20" s="1"/>
  <c r="F154" i="20"/>
  <c r="F153" i="20"/>
  <c r="L153" i="20" s="1"/>
  <c r="L152" i="20"/>
  <c r="L151" i="20"/>
  <c r="F150" i="20"/>
  <c r="L150" i="20" s="1"/>
  <c r="L148" i="20"/>
  <c r="F147" i="20"/>
  <c r="L147" i="20" s="1"/>
  <c r="F145" i="20"/>
  <c r="L145" i="20" s="1"/>
  <c r="L143" i="20"/>
  <c r="L142" i="20"/>
  <c r="F136" i="20"/>
  <c r="L136" i="20" s="1"/>
  <c r="F133" i="20"/>
  <c r="F132" i="20"/>
  <c r="F131" i="20"/>
  <c r="F130" i="20"/>
  <c r="L130" i="20" s="1"/>
  <c r="L129" i="20"/>
  <c r="F128" i="20"/>
  <c r="L128" i="20" s="1"/>
  <c r="F127" i="20"/>
  <c r="L127" i="20" s="1"/>
  <c r="L126" i="20"/>
  <c r="F125" i="20"/>
  <c r="L125" i="20" s="1"/>
  <c r="F124" i="20"/>
  <c r="L124" i="20" s="1"/>
  <c r="F123" i="20"/>
  <c r="F122" i="20"/>
  <c r="F121" i="20"/>
  <c r="L121" i="20" s="1"/>
  <c r="F120" i="20"/>
  <c r="L120" i="20" s="1"/>
  <c r="F119" i="20"/>
  <c r="L119" i="20" s="1"/>
  <c r="F118" i="20"/>
  <c r="L118" i="20" s="1"/>
  <c r="F117" i="20"/>
  <c r="L117" i="20" s="1"/>
  <c r="F115" i="20"/>
  <c r="L115" i="20" s="1"/>
  <c r="F114" i="20"/>
  <c r="L114" i="20" s="1"/>
  <c r="F111" i="20"/>
  <c r="L111" i="20" s="1"/>
  <c r="L109" i="20"/>
  <c r="F107" i="20"/>
  <c r="L107" i="20" s="1"/>
  <c r="F106" i="20"/>
  <c r="F105" i="20"/>
  <c r="L105" i="20" s="1"/>
  <c r="L102" i="20"/>
  <c r="F101" i="20"/>
  <c r="L101" i="20" s="1"/>
  <c r="F100" i="20"/>
  <c r="L100" i="20" s="1"/>
  <c r="F99" i="20"/>
  <c r="L99" i="20" s="1"/>
  <c r="F98" i="20"/>
  <c r="F97" i="20"/>
  <c r="L97" i="20" s="1"/>
  <c r="L96" i="20"/>
  <c r="F95" i="20"/>
  <c r="L95" i="20" s="1"/>
  <c r="L80" i="20"/>
  <c r="F75" i="20"/>
  <c r="L75" i="20" s="1"/>
  <c r="L71" i="20"/>
  <c r="F68" i="20"/>
  <c r="L68" i="20" s="1"/>
  <c r="F67" i="20"/>
  <c r="L67" i="20" s="1"/>
  <c r="F66" i="20"/>
  <c r="L66" i="20" s="1"/>
  <c r="F64" i="20"/>
  <c r="L64" i="20" s="1"/>
  <c r="F60" i="20"/>
  <c r="L60" i="20" s="1"/>
  <c r="F56" i="20"/>
  <c r="L56" i="20" s="1"/>
  <c r="F55" i="20"/>
  <c r="L55" i="20" s="1"/>
  <c r="F54" i="20"/>
  <c r="F53" i="20"/>
  <c r="L52" i="20"/>
  <c r="F51" i="20"/>
  <c r="L51" i="20" s="1"/>
  <c r="L50" i="20"/>
  <c r="L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5" i="20" l="1"/>
  <c r="D486" i="20"/>
  <c r="L286" i="20"/>
  <c r="L424" i="20"/>
  <c r="K255" i="20"/>
  <c r="L255" i="20" s="1"/>
  <c r="L15" i="20"/>
  <c r="L122" i="20"/>
  <c r="K172" i="20"/>
  <c r="L172" i="20" s="1"/>
  <c r="K165" i="20"/>
  <c r="L165" i="20" s="1"/>
  <c r="L202" i="20"/>
  <c r="D11" i="23"/>
  <c r="E11" i="23" s="1"/>
  <c r="B12" i="23" s="1"/>
  <c r="L53" i="20"/>
  <c r="K154" i="20"/>
  <c r="L154" i="20" s="1"/>
  <c r="L137" i="20"/>
  <c r="L183" i="20"/>
  <c r="L3" i="20"/>
  <c r="L2" i="20"/>
  <c r="L7" i="20"/>
  <c r="L380" i="20"/>
  <c r="L10" i="20"/>
  <c r="L311" i="20"/>
  <c r="L43" i="20"/>
  <c r="L13" i="20"/>
  <c r="L11" i="20"/>
  <c r="L131" i="20"/>
  <c r="L106" i="20"/>
  <c r="L177" i="20"/>
  <c r="L256" i="20"/>
  <c r="L270" i="20"/>
  <c r="L278" i="20"/>
  <c r="L306" i="20"/>
  <c r="L347" i="20"/>
  <c r="L367" i="20"/>
  <c r="L392" i="20"/>
  <c r="L22" i="20"/>
  <c r="L73" i="20"/>
  <c r="L112" i="20"/>
  <c r="L188" i="20"/>
  <c r="L197" i="20"/>
  <c r="L234" i="20"/>
  <c r="L242" i="20"/>
  <c r="L260" i="20"/>
  <c r="L282" i="20"/>
  <c r="L298" i="20"/>
  <c r="L310" i="20"/>
  <c r="L353" i="20"/>
  <c r="L371" i="20"/>
  <c r="L396" i="20"/>
  <c r="L412" i="20"/>
  <c r="F445" i="3"/>
  <c r="F444" i="3"/>
  <c r="F443" i="3"/>
  <c r="F442" i="3"/>
  <c r="D12" i="23" l="1"/>
  <c r="E12" i="23"/>
  <c r="B13" i="23" s="1"/>
  <c r="F441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4" i="3"/>
  <c r="K396" i="3" l="1"/>
  <c r="L396" i="3" s="1"/>
  <c r="K330" i="3" l="1"/>
  <c r="K46" i="3" l="1"/>
  <c r="F46" i="3"/>
  <c r="F433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2" i="3"/>
  <c r="F431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4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6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30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6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6" i="3"/>
  <c r="L392" i="3" l="1"/>
  <c r="L341" i="3"/>
  <c r="L405" i="3"/>
  <c r="L288" i="20"/>
</calcChain>
</file>

<file path=xl/sharedStrings.xml><?xml version="1.0" encoding="utf-8"?>
<sst xmlns="http://schemas.openxmlformats.org/spreadsheetml/2006/main" count="16631" uniqueCount="4967">
  <si>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</si>
  <si>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</si>
  <si>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</si>
  <si>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</si>
  <si>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</si>
  <si>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</si>
  <si>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</si>
  <si>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</si>
  <si>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</si>
  <si>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</si>
  <si>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</si>
  <si>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</si>
  <si>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</si>
  <si>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</si>
  <si>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</si>
  <si>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</si>
  <si>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</si>
  <si>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</si>
  <si>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</si>
  <si>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</si>
  <si>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</si>
  <si>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</si>
  <si>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</si>
  <si>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</si>
  <si>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</si>
  <si>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</si>
  <si>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</si>
  <si>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</si>
  <si>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</si>
  <si>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</si>
  <si>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</si>
  <si>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</si>
  <si>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</si>
  <si>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</si>
  <si>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</si>
  <si>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</si>
  <si>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</si>
  <si>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</si>
  <si>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</si>
  <si>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</si>
  <si>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</si>
  <si>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</si>
  <si>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</si>
  <si>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</si>
  <si>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</si>
  <si>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</si>
  <si>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</si>
  <si>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</si>
  <si>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</si>
  <si>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</si>
  <si>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</si>
  <si>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</si>
  <si>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</si>
  <si>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</si>
  <si>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</si>
  <si>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</si>
  <si>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</si>
  <si>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</si>
  <si>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</si>
  <si>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</si>
  <si>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</si>
  <si>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</si>
  <si>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</si>
  <si>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</si>
  <si>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</si>
  <si>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</si>
  <si>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</si>
  <si>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</si>
  <si>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</si>
  <si>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</si>
  <si>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</si>
  <si>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</si>
  <si>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</si>
  <si>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</si>
  <si>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</si>
  <si>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</si>
  <si>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</si>
  <si>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</si>
  <si>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</si>
  <si>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</si>
  <si>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</si>
  <si>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</si>
  <si>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</si>
  <si>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</si>
  <si>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</si>
  <si>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</si>
  <si>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</si>
  <si>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</si>
  <si>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</si>
  <si>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</si>
  <si>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</si>
  <si>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</si>
  <si>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</si>
  <si>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</si>
  <si>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</si>
  <si>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</si>
  <si>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</si>
  <si>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</si>
  <si>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</si>
  <si>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</si>
  <si>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</si>
  <si>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</si>
  <si>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</si>
  <si>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</si>
  <si>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</si>
  <si>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</si>
  <si>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</si>
  <si>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</si>
  <si>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</si>
  <si>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</si>
  <si>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</si>
  <si>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</si>
  <si>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</si>
  <si>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</si>
  <si>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</si>
  <si>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</si>
  <si>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</si>
  <si>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</si>
  <si>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</si>
  <si>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</si>
  <si>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</si>
  <si>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</si>
  <si>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</si>
  <si>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</si>
  <si>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</si>
  <si>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</si>
  <si>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</si>
  <si>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</si>
  <si>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</si>
  <si>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</si>
  <si>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</si>
  <si>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</si>
  <si>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</si>
  <si>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</si>
  <si>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</si>
  <si>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</si>
  <si>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</si>
  <si>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</si>
  <si>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</si>
  <si>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</si>
  <si>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</si>
  <si>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</si>
  <si>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</si>
  <si>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</si>
  <si>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</si>
  <si>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</si>
  <si>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</si>
  <si>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</si>
  <si>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</si>
  <si>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</si>
  <si>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</si>
  <si>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</si>
  <si>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</si>
  <si>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</si>
  <si>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</si>
  <si>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</si>
  <si>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</si>
  <si>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</si>
  <si>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</si>
  <si>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</si>
  <si>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</si>
  <si>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</si>
  <si>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</si>
  <si>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</si>
  <si>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</si>
  <si>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</si>
  <si>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</si>
  <si>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</si>
  <si>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</si>
  <si>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</si>
  <si>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</si>
  <si>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</si>
  <si>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</si>
  <si>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</si>
  <si>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</si>
  <si>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</si>
  <si>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</si>
  <si>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</si>
  <si>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</si>
  <si>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</si>
  <si>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</si>
  <si>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</si>
  <si>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</si>
  <si>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</si>
  <si>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</si>
  <si>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</si>
  <si>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</si>
  <si>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</si>
  <si>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</si>
  <si>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</si>
  <si>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</si>
  <si>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</si>
  <si>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</si>
  <si>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</si>
  <si>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</si>
  <si>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</si>
  <si>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</si>
  <si>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</si>
  <si>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</si>
  <si>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</si>
  <si>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</si>
  <si>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</si>
  <si>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</si>
  <si>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</si>
  <si>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</si>
  <si>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</si>
  <si>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</si>
  <si>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</si>
  <si>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</si>
  <si>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</si>
  <si>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</si>
  <si>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</si>
  <si>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</si>
  <si>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</si>
  <si>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</si>
  <si>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</si>
  <si>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</si>
  <si>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</si>
  <si>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</si>
  <si>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</si>
  <si>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</si>
  <si>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</si>
  <si>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</si>
  <si>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</si>
  <si>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</si>
  <si>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</si>
  <si>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</si>
  <si>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</si>
  <si>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</si>
  <si>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</si>
  <si>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</si>
  <si>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</si>
  <si>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</si>
  <si>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</si>
  <si>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</si>
  <si>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</si>
  <si>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</si>
  <si>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</si>
  <si>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</si>
  <si>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</si>
  <si>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</si>
  <si>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</si>
  <si>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</si>
  <si>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</si>
  <si>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</si>
  <si>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</si>
  <si>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</si>
  <si>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</si>
  <si>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</si>
  <si>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</si>
  <si>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</si>
  <si>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</si>
  <si>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</si>
  <si>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</si>
  <si>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</si>
  <si>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</si>
  <si>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</si>
  <si>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</si>
  <si>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</si>
  <si>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</si>
  <si>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</si>
  <si>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</si>
  <si>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</si>
  <si>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</si>
  <si>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</si>
  <si>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</si>
  <si>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</si>
  <si>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</si>
  <si>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</si>
  <si>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</si>
  <si>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</si>
  <si>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</si>
  <si>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</si>
  <si>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</si>
  <si>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</si>
  <si>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</si>
  <si>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</si>
  <si>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</si>
  <si>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</si>
  <si>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</si>
  <si>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</si>
  <si>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</si>
  <si>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</si>
  <si>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</si>
  <si>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</si>
  <si>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</si>
  <si>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</si>
  <si>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</si>
  <si>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</si>
  <si>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</si>
  <si>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</si>
  <si>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</si>
  <si>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</si>
  <si>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</si>
  <si>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</si>
  <si>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</si>
  <si>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</si>
  <si>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</si>
  <si>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</si>
  <si>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</si>
  <si>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</si>
  <si>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</si>
  <si>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</si>
  <si>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</si>
  <si>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</si>
  <si>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</si>
  <si>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</si>
  <si>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</si>
  <si>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</si>
  <si>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</si>
  <si>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</si>
  <si>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</si>
  <si>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</si>
  <si>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</si>
  <si>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</si>
  <si>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</si>
  <si>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</si>
  <si>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</si>
  <si>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</si>
  <si>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</si>
  <si>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</si>
  <si>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</si>
  <si>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</si>
  <si>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</si>
  <si>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</si>
  <si>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</si>
  <si>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</si>
  <si>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</si>
  <si>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</si>
  <si>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</si>
  <si>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</si>
  <si>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</si>
  <si>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</si>
  <si>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</si>
  <si>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</si>
  <si>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</si>
  <si>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</si>
  <si>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</si>
  <si>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</si>
  <si>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</si>
  <si>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</si>
  <si>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</si>
  <si>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</si>
  <si>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</si>
  <si>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</si>
  <si>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</si>
  <si>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</si>
  <si>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</si>
  <si>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</si>
  <si>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</si>
  <si>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</si>
  <si>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</si>
  <si>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</si>
  <si>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</si>
  <si>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</si>
  <si>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</si>
  <si>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</si>
  <si>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</si>
  <si>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</si>
  <si>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</si>
  <si>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</si>
  <si>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</si>
  <si>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</si>
  <si>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</si>
  <si>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</si>
  <si>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</si>
  <si>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</si>
  <si>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</si>
  <si>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</si>
  <si>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</si>
  <si>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</si>
  <si>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</si>
  <si>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</si>
  <si>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</si>
  <si>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</si>
  <si>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</si>
  <si>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</si>
  <si>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</si>
  <si>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</si>
  <si>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</si>
  <si>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</si>
  <si>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</si>
  <si>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</si>
  <si>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</si>
  <si>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</si>
  <si>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</si>
  <si>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</si>
  <si>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</si>
  <si>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</si>
  <si>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</si>
  <si>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</si>
  <si>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</si>
  <si>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</si>
  <si>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</si>
  <si>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</si>
  <si>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</si>
  <si>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</si>
  <si>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</si>
  <si>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</si>
  <si>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</si>
  <si>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</si>
  <si>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</si>
  <si>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</si>
  <si>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</si>
  <si>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</si>
  <si>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</si>
  <si>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</si>
  <si>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</si>
  <si>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</si>
  <si>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</si>
  <si>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</si>
  <si>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</si>
  <si>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</si>
  <si>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</si>
  <si>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</si>
  <si>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</si>
  <si>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</si>
  <si>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</si>
  <si>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</si>
  <si>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</si>
  <si>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</si>
  <si>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</si>
  <si>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</si>
  <si>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</si>
  <si>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</si>
  <si>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</si>
  <si>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</si>
  <si>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</si>
  <si>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</si>
  <si>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</si>
  <si>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</si>
  <si>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</si>
  <si>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</si>
  <si>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</si>
  <si>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</si>
  <si>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</si>
  <si>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</si>
  <si>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</si>
  <si>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</si>
  <si>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</si>
  <si>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</si>
  <si>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</si>
  <si>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</si>
  <si>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</si>
  <si>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</si>
  <si>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</si>
  <si>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</si>
  <si>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</si>
  <si>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</si>
  <si>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</si>
  <si>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</si>
  <si>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</si>
  <si>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</si>
  <si>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</si>
  <si>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</si>
  <si>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</si>
  <si>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</si>
  <si>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</si>
  <si>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</si>
  <si>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</si>
  <si>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</si>
  <si>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</si>
  <si>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</si>
  <si>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</si>
  <si>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</si>
  <si>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</si>
  <si>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</si>
  <si>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</si>
  <si>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</si>
  <si>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</si>
  <si>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</si>
  <si>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</si>
  <si>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</si>
  <si>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</si>
  <si>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</si>
  <si>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</si>
  <si>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</si>
  <si>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</si>
  <si>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</si>
  <si>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</si>
  <si>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</si>
  <si>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</si>
  <si>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</si>
  <si>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</si>
  <si>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</si>
  <si>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</si>
  <si>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</si>
  <si>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</si>
  <si>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</si>
  <si>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</si>
  <si>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</si>
  <si>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</si>
  <si>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</si>
  <si>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</si>
  <si>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</si>
  <si>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</si>
  <si>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</si>
  <si>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</si>
  <si>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</si>
  <si>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</si>
  <si>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</si>
  <si>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</si>
  <si>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</si>
  <si>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</si>
  <si>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</si>
  <si>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</si>
  <si>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</si>
  <si>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</si>
  <si>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</si>
  <si>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</si>
  <si>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</si>
  <si>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</si>
  <si>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</si>
  <si>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</si>
  <si>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</si>
  <si>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</si>
  <si>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</si>
  <si>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</si>
  <si>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</si>
  <si>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</si>
  <si>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</si>
  <si>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</si>
  <si>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</si>
  <si>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</si>
  <si>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</si>
  <si>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</si>
  <si>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</si>
  <si>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</si>
  <si>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</si>
  <si>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</si>
  <si>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</si>
  <si>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</si>
  <si>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</si>
  <si>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</si>
  <si>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</si>
  <si>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</si>
  <si>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</si>
  <si>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</si>
  <si>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</si>
  <si>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</si>
  <si>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</si>
  <si>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</si>
  <si>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</si>
  <si>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</si>
  <si>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</si>
  <si>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</si>
  <si>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</si>
  <si>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</si>
  <si>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</si>
  <si>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</si>
  <si>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</si>
  <si>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</si>
  <si>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</si>
  <si>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</si>
  <si>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</si>
  <si>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</si>
  <si>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</si>
  <si>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</si>
  <si>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</si>
  <si>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</si>
  <si>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</si>
  <si>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</si>
  <si>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</si>
  <si>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</si>
  <si>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</si>
  <si>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</si>
  <si>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</si>
  <si>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</si>
  <si>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</si>
  <si>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</si>
  <si>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</si>
  <si>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</si>
  <si>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</si>
  <si>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</si>
  <si>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</si>
  <si>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</si>
  <si>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</si>
  <si>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</si>
  <si>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</si>
  <si>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</si>
  <si>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</si>
  <si>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</si>
  <si>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</si>
  <si>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</si>
  <si>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</si>
  <si>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</si>
  <si>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</si>
  <si>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</si>
  <si>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</si>
  <si>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</si>
  <si>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</si>
  <si>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</si>
  <si>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</si>
  <si>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</si>
  <si>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</si>
  <si>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</si>
  <si>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</si>
  <si>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</si>
  <si>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</si>
  <si>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</si>
  <si>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</si>
  <si>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</si>
  <si>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</si>
  <si>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</si>
  <si>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</si>
  <si>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</si>
  <si>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</si>
  <si>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</si>
  <si>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</si>
  <si>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</si>
  <si>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</si>
  <si>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</si>
  <si>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</si>
  <si>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</si>
  <si>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</si>
  <si>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</si>
  <si>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</si>
  <si>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</si>
  <si>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</si>
  <si>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</si>
  <si>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</si>
  <si>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</si>
  <si>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</si>
  <si>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</si>
  <si>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</si>
  <si>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</si>
  <si>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</si>
  <si>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</si>
  <si>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</si>
  <si>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</si>
  <si>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</si>
  <si>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</si>
  <si>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</si>
  <si>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</si>
  <si>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</si>
  <si>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</si>
  <si>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</si>
  <si>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</si>
  <si>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</si>
  <si>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</si>
  <si>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</si>
  <si>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</si>
  <si>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</si>
  <si>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</si>
  <si>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</si>
  <si>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</si>
  <si>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</si>
  <si>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</si>
  <si>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</si>
  <si>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</si>
  <si>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</si>
  <si>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</si>
  <si>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</si>
  <si>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</si>
  <si>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</si>
  <si>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</si>
  <si>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</si>
  <si>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</si>
  <si>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</si>
  <si>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</si>
  <si>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</si>
  <si>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</si>
  <si>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</si>
  <si>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</si>
  <si>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</si>
  <si>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</si>
  <si>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</si>
  <si>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</si>
  <si>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</si>
  <si>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</si>
  <si>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</si>
  <si>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</si>
  <si>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</si>
  <si>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</si>
  <si>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</si>
  <si>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</si>
  <si>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</si>
  <si>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</si>
  <si>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</si>
  <si>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</si>
  <si>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</si>
  <si>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</si>
  <si>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</si>
  <si>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</si>
  <si>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</si>
  <si>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</si>
  <si>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</si>
  <si>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</si>
  <si>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</si>
  <si>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</si>
  <si>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</si>
  <si>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</si>
  <si>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</si>
  <si>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</si>
  <si>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</si>
  <si>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</si>
  <si>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</si>
  <si>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</si>
  <si>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</si>
  <si>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</si>
  <si>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</si>
  <si>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</si>
  <si>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</si>
  <si>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</si>
  <si>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</si>
  <si>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</si>
  <si>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</si>
  <si>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</si>
  <si>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</si>
  <si>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</si>
  <si>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</si>
  <si>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</si>
  <si>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</si>
  <si>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</si>
  <si>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</si>
  <si>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</si>
  <si>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</si>
  <si>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</si>
  <si>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</si>
  <si>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</si>
  <si>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</si>
  <si>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</si>
  <si>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</si>
  <si>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</si>
  <si>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</si>
  <si>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</si>
  <si>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</si>
  <si>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</si>
  <si>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</si>
  <si>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</si>
  <si>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</si>
  <si>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</si>
  <si>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</si>
  <si>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</si>
  <si>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</si>
  <si>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</si>
  <si>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</si>
  <si>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</si>
  <si>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</si>
  <si>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</si>
  <si>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</si>
  <si>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</si>
  <si>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</si>
  <si>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</si>
  <si>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</si>
  <si>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</si>
  <si>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</si>
  <si>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</si>
  <si>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</si>
  <si>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</si>
  <si>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</si>
  <si>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</si>
  <si>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</si>
  <si>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</si>
  <si>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</si>
  <si>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</si>
  <si>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</si>
  <si>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</si>
  <si>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</si>
  <si>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</si>
  <si>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</si>
  <si>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</si>
  <si>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</si>
  <si>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</si>
  <si>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</si>
  <si>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</si>
  <si>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</si>
  <si>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</si>
  <si>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</si>
  <si>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</si>
  <si>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</si>
  <si>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</si>
  <si>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</si>
  <si>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</si>
  <si>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</si>
  <si>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</si>
  <si>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</si>
  <si>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</si>
  <si>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</si>
  <si>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</si>
  <si>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</si>
  <si>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</si>
  <si>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</si>
  <si>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</si>
  <si>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</si>
  <si>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</si>
  <si>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</si>
  <si>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</si>
  <si>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</si>
  <si>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</si>
  <si>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</si>
  <si>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</si>
  <si>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</si>
  <si>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</si>
  <si>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</si>
  <si>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</si>
  <si>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</si>
  <si>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</si>
  <si>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</si>
  <si>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</si>
  <si>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</si>
  <si>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</si>
  <si>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</si>
  <si>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</si>
  <si>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</si>
  <si>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</si>
  <si>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</si>
  <si>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</si>
  <si>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</si>
  <si>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</si>
  <si>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</si>
  <si>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</si>
  <si>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</si>
  <si>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</si>
  <si>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</si>
  <si>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</si>
  <si>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</si>
  <si>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</si>
  <si>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</si>
  <si>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</si>
  <si>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</si>
  <si>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</si>
  <si>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</si>
  <si>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</si>
  <si>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</si>
  <si>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</si>
  <si>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</si>
  <si>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</si>
  <si>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</si>
  <si>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</si>
  <si>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</si>
  <si>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</si>
  <si>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</si>
  <si>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</si>
  <si>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</si>
  <si>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</si>
  <si>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</si>
  <si>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</si>
  <si>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</si>
  <si>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</si>
  <si>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</si>
  <si>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</si>
  <si>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</si>
  <si>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</si>
  <si>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</si>
  <si>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</si>
  <si>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</si>
  <si>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</si>
  <si>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</si>
  <si>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</si>
  <si>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</si>
  <si>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</si>
  <si>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</si>
  <si>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</si>
  <si>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</si>
  <si>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</si>
  <si>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</si>
  <si>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</si>
  <si>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</si>
  <si>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</si>
  <si>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</si>
  <si>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</si>
  <si>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</si>
  <si>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</si>
  <si>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</si>
  <si>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</si>
  <si>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</si>
  <si>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</si>
  <si>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</si>
  <si>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</si>
  <si>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</si>
  <si>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</si>
  <si>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</si>
  <si>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</si>
  <si>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</si>
  <si>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</si>
  <si>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</si>
  <si>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</si>
  <si>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</si>
  <si>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</si>
  <si>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</si>
  <si>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</si>
  <si>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</si>
  <si>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</si>
  <si>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</si>
  <si>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</si>
  <si>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</si>
  <si>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</si>
  <si>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</si>
  <si>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</si>
  <si>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</si>
  <si>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</si>
  <si>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</si>
  <si>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</si>
  <si>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</si>
  <si>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</si>
  <si>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</si>
  <si>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</si>
  <si>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</si>
  <si>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</si>
  <si>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</si>
  <si>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</si>
  <si>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</si>
  <si>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</si>
  <si>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</si>
  <si>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</si>
  <si>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</si>
  <si>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</si>
  <si>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</si>
  <si>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</si>
  <si>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</si>
  <si>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</si>
  <si>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</si>
  <si>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</si>
  <si>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</si>
  <si>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</si>
  <si>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</si>
  <si>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</si>
  <si>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</si>
  <si>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</si>
  <si>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</si>
  <si>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</si>
  <si>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</si>
  <si>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</si>
  <si>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</si>
  <si>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</si>
  <si>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</si>
  <si>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</si>
  <si>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</si>
  <si>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</si>
  <si>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</si>
  <si>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</si>
  <si>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</si>
  <si>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</si>
  <si>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</si>
  <si>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</si>
  <si>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</si>
  <si>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</si>
  <si>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</si>
  <si>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</si>
  <si>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</si>
  <si>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</si>
  <si>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</si>
  <si>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</si>
  <si>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</si>
  <si>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</si>
  <si>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</si>
  <si>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</si>
  <si>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</si>
  <si>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</si>
  <si>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</si>
  <si>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</si>
  <si>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</si>
  <si>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</si>
  <si>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</si>
  <si>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</si>
  <si>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</si>
  <si>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</si>
  <si>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</si>
  <si>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</si>
  <si>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</si>
  <si>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</si>
  <si>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</si>
  <si>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</si>
  <si>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</si>
  <si>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</si>
  <si>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</si>
  <si>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</si>
  <si>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</si>
  <si>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</si>
  <si>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</si>
  <si>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</si>
  <si>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</si>
  <si>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</si>
  <si>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</si>
  <si>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</si>
  <si>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</si>
  <si>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</si>
  <si>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</si>
  <si>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</si>
  <si>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</si>
  <si>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</si>
  <si>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</si>
  <si>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</si>
  <si>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</si>
  <si>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</si>
  <si>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</si>
  <si>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</si>
  <si>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</si>
  <si>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</si>
  <si>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</si>
  <si>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</si>
  <si>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</si>
  <si>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</si>
  <si>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</si>
  <si>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</si>
  <si>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</si>
  <si>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</si>
  <si>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</si>
  <si>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</si>
  <si>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</si>
  <si>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</si>
  <si>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</si>
  <si>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</si>
  <si>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</si>
  <si>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</si>
  <si>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</si>
  <si>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</si>
  <si>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</si>
  <si>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</si>
  <si>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</si>
  <si>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</si>
  <si>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</si>
  <si>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</si>
  <si>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</si>
  <si>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</si>
  <si>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</si>
  <si>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</si>
  <si>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</si>
  <si>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</si>
  <si>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</si>
  <si>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</si>
  <si>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</si>
  <si>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</si>
  <si>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</si>
  <si>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</si>
  <si>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</si>
  <si>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</si>
  <si>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</si>
  <si>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</si>
  <si>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</si>
  <si>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</si>
  <si>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</si>
  <si>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</si>
  <si>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</si>
  <si>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</si>
  <si>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</si>
  <si>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</si>
  <si>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</si>
  <si>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</si>
  <si>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</si>
  <si>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</si>
  <si>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</si>
  <si>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</si>
  <si>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</si>
  <si>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</si>
  <si>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</si>
  <si>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</si>
  <si>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</si>
  <si>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</si>
  <si>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</si>
  <si>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</si>
  <si>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</si>
  <si>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</si>
  <si>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</si>
  <si>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</si>
  <si>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</si>
  <si>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</si>
  <si>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</si>
  <si>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</si>
  <si>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</si>
  <si>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</si>
  <si>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</si>
  <si>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</si>
  <si>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</si>
  <si>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</si>
  <si>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</si>
  <si>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</si>
  <si>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</si>
  <si>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</si>
  <si>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</si>
  <si>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</si>
  <si>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</si>
  <si>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</si>
  <si>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</si>
  <si>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</si>
  <si>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</si>
  <si>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</si>
  <si>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</si>
  <si>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</si>
  <si>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</si>
  <si>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</si>
  <si>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</si>
  <si>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</si>
  <si>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</si>
  <si>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</si>
  <si>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</si>
  <si>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</si>
  <si>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</si>
  <si>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</si>
  <si>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</si>
  <si>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</si>
  <si>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</si>
  <si>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</si>
  <si>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</si>
  <si>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</si>
  <si>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</si>
  <si>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</si>
  <si>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</si>
  <si>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</si>
  <si>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</si>
  <si>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</si>
  <si>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</si>
  <si>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</si>
  <si>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</si>
  <si>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</si>
  <si>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</si>
  <si>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</si>
  <si>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</si>
  <si>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</si>
  <si>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</si>
  <si>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</si>
  <si>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</si>
  <si>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</si>
  <si>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</si>
  <si>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</si>
  <si>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</si>
  <si>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</si>
  <si>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</si>
  <si>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</si>
  <si>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</si>
  <si>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</si>
  <si>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</si>
  <si>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</si>
  <si>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</si>
  <si>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</si>
  <si>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</si>
  <si>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</si>
  <si>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</si>
  <si>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</si>
  <si>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</si>
  <si>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</si>
  <si>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</si>
  <si>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</si>
  <si>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</si>
  <si>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</si>
  <si>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</si>
  <si>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</si>
  <si>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</si>
  <si>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</si>
  <si>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</si>
  <si>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</si>
  <si>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</si>
  <si>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</si>
  <si>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</si>
  <si>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</si>
  <si>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</si>
  <si>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</si>
  <si>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</si>
  <si>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</si>
  <si>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</si>
  <si>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</si>
  <si>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</si>
  <si>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</si>
  <si>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</si>
  <si>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</si>
  <si>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</si>
  <si>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</si>
  <si>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</si>
  <si>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</si>
  <si>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</si>
  <si>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</si>
  <si>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</si>
  <si>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</si>
  <si>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</si>
  <si>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</si>
  <si>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</si>
  <si>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</si>
  <si>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</si>
  <si>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</si>
  <si>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</si>
  <si>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</si>
  <si>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</si>
  <si>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</si>
  <si>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</si>
  <si>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</si>
  <si>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</si>
  <si>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</si>
  <si>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</si>
  <si>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</si>
  <si>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</si>
  <si>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</si>
  <si>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</si>
  <si>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</si>
  <si>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</si>
  <si>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</si>
  <si>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</si>
  <si>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</si>
  <si>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</si>
  <si>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</si>
  <si>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</si>
  <si>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</si>
  <si>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</si>
  <si>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</si>
  <si>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</si>
  <si>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</si>
  <si>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</si>
  <si>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</si>
  <si>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</si>
  <si>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</si>
  <si>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</si>
  <si>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</si>
  <si>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</si>
  <si>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</si>
  <si>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</si>
  <si>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</si>
  <si>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</si>
  <si>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</si>
  <si>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</si>
  <si>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</si>
  <si>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</si>
  <si>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</si>
  <si>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</si>
  <si>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</si>
  <si>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</si>
  <si>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</si>
  <si>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</si>
  <si>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</si>
  <si>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</si>
  <si>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</si>
  <si>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</si>
  <si>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</si>
  <si>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</si>
  <si>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</si>
  <si>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</si>
  <si>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</si>
  <si>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</si>
  <si>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</si>
  <si>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</si>
  <si>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</si>
  <si>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</si>
  <si>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</si>
  <si>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</si>
  <si>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</si>
  <si>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</si>
  <si>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</si>
  <si>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</si>
  <si>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</si>
  <si>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</si>
  <si>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</si>
  <si>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</si>
  <si>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</si>
  <si>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</si>
  <si>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</si>
  <si>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</si>
  <si>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</si>
  <si>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</si>
  <si>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</si>
  <si>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</si>
  <si>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</si>
  <si>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</si>
  <si>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</si>
  <si>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</si>
  <si>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</si>
  <si>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</si>
  <si>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</si>
  <si>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</si>
  <si>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</si>
  <si>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</si>
  <si>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</si>
  <si>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</si>
  <si>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</si>
  <si>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</si>
  <si>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</si>
  <si>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</si>
  <si>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</si>
  <si>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</si>
  <si>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</si>
  <si>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</si>
  <si>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</si>
  <si>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</si>
  <si>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</si>
  <si>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</si>
  <si>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</si>
  <si>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</si>
  <si>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</si>
  <si>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</si>
  <si>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</si>
  <si>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</si>
  <si>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</si>
  <si>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</si>
  <si>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</si>
  <si>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</si>
  <si>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</si>
  <si>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</si>
  <si>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</si>
  <si>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</si>
  <si>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</si>
  <si>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</si>
  <si>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</si>
  <si>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</si>
  <si>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</si>
  <si>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</si>
  <si>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</si>
  <si>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</si>
  <si>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</si>
  <si>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</si>
  <si>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</si>
  <si>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</si>
  <si>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</si>
  <si>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</si>
  <si>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</si>
  <si>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</si>
  <si>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</si>
  <si>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</si>
  <si>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</si>
  <si>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</si>
  <si>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</si>
  <si>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</si>
  <si>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</si>
  <si>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</si>
  <si>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</si>
  <si>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</si>
  <si>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</si>
  <si>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</si>
  <si>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</si>
  <si>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</si>
  <si>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</si>
  <si>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</si>
  <si>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</si>
  <si>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</si>
  <si>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</si>
  <si>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</si>
  <si>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</si>
  <si>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</si>
  <si>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</si>
  <si>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</si>
  <si>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</si>
  <si>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</si>
  <si>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</si>
  <si>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</si>
  <si>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</si>
  <si>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</si>
  <si>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</si>
  <si>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</si>
  <si>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</si>
  <si>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</si>
  <si>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</si>
  <si>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</si>
  <si>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</si>
  <si>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</si>
  <si>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</si>
  <si>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</si>
  <si>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</si>
  <si>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</si>
  <si>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</si>
  <si>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</si>
  <si>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</si>
  <si>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</si>
  <si>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</si>
  <si>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</si>
  <si>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</si>
  <si>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</si>
  <si>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</si>
  <si>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</si>
  <si>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</si>
  <si>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</si>
  <si>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</si>
  <si>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</si>
  <si>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</si>
  <si>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</si>
  <si>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</si>
  <si>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</si>
  <si>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</si>
  <si>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</si>
  <si>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</si>
  <si>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</si>
  <si>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</si>
  <si>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</si>
  <si>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</si>
  <si>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</si>
  <si>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</si>
  <si>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</si>
  <si>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</si>
  <si>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</si>
  <si>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</si>
  <si>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</si>
  <si>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</si>
  <si>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</si>
  <si>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</si>
  <si>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</si>
  <si>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</si>
  <si>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</si>
  <si>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</si>
  <si>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</si>
  <si>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</si>
  <si>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</si>
  <si>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</si>
  <si>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</si>
  <si>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</si>
  <si>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</si>
  <si>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</si>
  <si>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</si>
  <si>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</si>
  <si>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</si>
  <si>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</si>
  <si>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</si>
  <si>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</si>
  <si>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</si>
  <si>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</si>
  <si>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</si>
  <si>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</si>
  <si>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</si>
  <si>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</si>
  <si>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</si>
  <si>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</si>
  <si>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</si>
  <si>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</si>
  <si>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</si>
  <si>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</si>
  <si>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</si>
  <si>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</si>
  <si>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</si>
  <si>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</si>
  <si>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</si>
  <si>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</si>
  <si>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</si>
  <si>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</si>
  <si>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</si>
  <si>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</si>
  <si>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</si>
  <si>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</si>
  <si>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</si>
  <si>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</si>
  <si>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</si>
  <si>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</si>
  <si>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</si>
  <si>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</si>
  <si>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</si>
  <si>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</si>
  <si>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</si>
  <si>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</si>
  <si>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</si>
  <si>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</si>
  <si>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</si>
  <si>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</si>
  <si>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</si>
  <si>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</si>
  <si>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</si>
  <si>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</si>
  <si>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</si>
  <si>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</si>
  <si>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</si>
  <si>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</si>
  <si>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</si>
  <si>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</si>
  <si>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</si>
  <si>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</si>
  <si>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</si>
  <si>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</si>
  <si>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</si>
  <si>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</si>
  <si>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</si>
  <si>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</si>
  <si>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</si>
  <si>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</si>
  <si>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</si>
  <si>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</si>
  <si>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</si>
  <si>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</si>
  <si>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</si>
  <si>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</si>
  <si>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</si>
  <si>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</si>
  <si>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</si>
  <si>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</si>
  <si>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</si>
  <si>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</si>
  <si>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</si>
  <si>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</si>
  <si>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</si>
  <si>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</si>
  <si>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</si>
  <si>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</si>
  <si>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</si>
  <si>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</si>
  <si>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</si>
  <si>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</si>
  <si>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</si>
  <si>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</si>
  <si>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</si>
  <si>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</si>
  <si>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</si>
  <si>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</si>
  <si>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</si>
  <si>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</si>
  <si>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</si>
  <si>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</si>
  <si>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</si>
  <si>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</si>
  <si>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</si>
  <si>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</si>
  <si>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</si>
  <si>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</si>
  <si>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</si>
  <si>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</si>
  <si>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</si>
  <si>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</si>
  <si>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</si>
  <si>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</si>
  <si>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</si>
  <si>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</si>
  <si>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</si>
  <si>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</si>
  <si>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</si>
  <si>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</si>
  <si>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</si>
  <si>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</si>
  <si>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</si>
  <si>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</si>
  <si>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</si>
  <si>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</si>
  <si>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</si>
  <si>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</si>
  <si>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</si>
  <si>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</si>
  <si>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</si>
  <si>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</si>
  <si>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</si>
  <si>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</si>
  <si>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</si>
  <si>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</si>
  <si>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</si>
  <si>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</si>
  <si>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</si>
  <si>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</si>
  <si>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</si>
  <si>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</si>
  <si>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</si>
  <si>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</si>
  <si>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</si>
  <si>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</si>
  <si>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</si>
  <si>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</si>
  <si>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</si>
  <si>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</si>
  <si>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</si>
  <si>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</si>
  <si>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</si>
  <si>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</si>
  <si>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</si>
  <si>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</si>
  <si>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</si>
  <si>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</si>
  <si>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</si>
  <si>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</si>
  <si>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</si>
  <si>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</si>
  <si>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</si>
  <si>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</si>
  <si>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</si>
  <si>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</si>
  <si>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</si>
  <si>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</si>
  <si>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</si>
  <si>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</si>
  <si>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</si>
  <si>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</si>
  <si>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</si>
  <si>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</si>
  <si>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</si>
  <si>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</si>
  <si>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</si>
  <si>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</si>
  <si>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</si>
  <si>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</si>
  <si>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</si>
  <si>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</si>
  <si>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</si>
  <si>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</si>
  <si>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</si>
  <si>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</si>
  <si>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</si>
  <si>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</si>
  <si>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</si>
  <si>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</si>
  <si>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</si>
  <si>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</si>
  <si>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</si>
  <si>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</si>
  <si>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</si>
  <si>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</si>
  <si>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</si>
  <si>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</si>
  <si>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</si>
  <si>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</si>
  <si>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</si>
  <si>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</si>
  <si>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</si>
  <si>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</si>
  <si>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</si>
  <si>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</si>
  <si>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</si>
  <si>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</si>
  <si>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</si>
  <si>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</si>
  <si>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</si>
  <si>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</si>
  <si>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</si>
  <si>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</si>
  <si>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</si>
  <si>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</si>
  <si>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</si>
  <si>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</si>
  <si>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</si>
  <si>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</si>
  <si>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</si>
  <si>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</si>
  <si>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</si>
  <si>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</si>
  <si>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</si>
  <si>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</si>
  <si>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</si>
  <si>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</si>
  <si>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</si>
  <si>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</si>
  <si>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</si>
  <si>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</si>
  <si>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</si>
  <si>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</si>
  <si>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</si>
  <si>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</si>
  <si>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</si>
  <si>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</si>
  <si>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</si>
  <si>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</si>
  <si>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</si>
  <si>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</si>
  <si>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</si>
  <si>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</si>
  <si>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</si>
  <si>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</si>
  <si>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</si>
  <si>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</si>
  <si>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</si>
  <si>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</si>
  <si>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</si>
  <si>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</si>
  <si>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</si>
  <si>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</si>
  <si>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</si>
  <si>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</si>
  <si>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</si>
  <si>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</si>
  <si>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</si>
  <si>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</si>
  <si>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</si>
  <si>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</si>
  <si>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</si>
  <si>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</si>
  <si>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</si>
  <si>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</si>
  <si>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</si>
  <si>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</si>
  <si>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</si>
  <si>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</si>
  <si>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</si>
  <si>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</si>
  <si>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</si>
  <si>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</si>
  <si>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</si>
  <si>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</si>
  <si>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</si>
  <si>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</si>
  <si>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</si>
  <si>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</si>
  <si>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</si>
  <si>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</si>
  <si>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</si>
  <si>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</si>
  <si>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</si>
  <si>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</si>
  <si>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</si>
  <si>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</si>
  <si>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</si>
  <si>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</si>
  <si>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</si>
  <si>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</si>
  <si>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</si>
  <si>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</si>
  <si>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</si>
  <si>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</si>
  <si>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</si>
  <si>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</si>
  <si>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</si>
  <si>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</si>
  <si>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</si>
  <si>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</si>
  <si>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</si>
  <si>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</si>
  <si>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</si>
  <si>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</si>
  <si>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</si>
  <si>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</si>
  <si>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</si>
  <si>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</si>
  <si>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</si>
  <si>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</si>
  <si>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</si>
  <si>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</si>
  <si>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</si>
  <si>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</si>
  <si>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</si>
  <si>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</si>
  <si>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</si>
  <si>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</si>
  <si>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</si>
  <si>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</si>
  <si>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</si>
  <si>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</si>
  <si>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</si>
  <si>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</si>
  <si>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</si>
  <si>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</si>
  <si>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</si>
  <si>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</si>
  <si>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</si>
  <si>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</si>
  <si>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</si>
  <si>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</si>
  <si>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</si>
  <si>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</si>
  <si>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</si>
  <si>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</si>
  <si>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</si>
  <si>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</si>
  <si>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</si>
  <si>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</si>
  <si>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</si>
  <si>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</si>
  <si>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</si>
  <si>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</si>
  <si>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</si>
  <si>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</si>
  <si>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</si>
  <si>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</si>
  <si>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</si>
  <si>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</si>
  <si>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</si>
  <si>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</si>
  <si>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</si>
  <si>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</si>
  <si>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</si>
  <si>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</si>
  <si>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</si>
  <si>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</si>
  <si>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</si>
  <si>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</si>
  <si>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</si>
  <si>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</si>
  <si>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</si>
  <si>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</si>
  <si>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</si>
  <si>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</si>
  <si>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</si>
  <si>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</si>
  <si>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</si>
  <si>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</si>
  <si>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</si>
  <si>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</si>
  <si>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</si>
  <si>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</si>
  <si>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</si>
  <si>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</si>
  <si>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</si>
  <si>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</si>
  <si>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</si>
  <si>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</si>
  <si>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</si>
  <si>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</si>
  <si>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</si>
  <si>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</si>
  <si>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</si>
  <si>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</si>
  <si>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</si>
  <si>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</si>
  <si>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</si>
  <si>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</si>
  <si>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</si>
  <si>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</si>
  <si>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</si>
  <si>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</si>
  <si>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</si>
  <si>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</si>
  <si>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</si>
  <si>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</si>
  <si>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</si>
  <si>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</si>
  <si>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</si>
  <si>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</si>
  <si>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</si>
  <si>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</si>
  <si>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</si>
  <si>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</si>
  <si>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</si>
  <si>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</si>
  <si>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</si>
  <si>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</si>
  <si>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</si>
  <si>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</si>
  <si>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</si>
  <si>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</si>
  <si>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</si>
  <si>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</si>
  <si>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</si>
  <si>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</si>
  <si>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</si>
  <si>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</si>
  <si>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</si>
  <si>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</si>
  <si>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</si>
  <si>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</si>
  <si>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</si>
  <si>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</si>
  <si>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</si>
  <si>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</si>
  <si>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</si>
  <si>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</si>
  <si>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</si>
  <si>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</si>
  <si>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</si>
  <si>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</si>
  <si>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</si>
  <si>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</si>
  <si>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</si>
  <si>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</si>
  <si>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</si>
  <si>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</si>
  <si>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</si>
  <si>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</si>
  <si>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</si>
  <si>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</si>
  <si>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</si>
  <si>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</si>
  <si>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</si>
  <si>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</si>
  <si>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</si>
  <si>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</si>
  <si>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</si>
  <si>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</si>
  <si>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</si>
  <si>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</si>
  <si>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</si>
  <si>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</si>
  <si>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</si>
  <si>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</si>
  <si>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</si>
  <si>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</si>
  <si>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</si>
  <si>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</si>
  <si>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</si>
  <si>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</si>
  <si>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</si>
  <si>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</si>
  <si>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</si>
  <si>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</si>
  <si>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</si>
  <si>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</si>
  <si>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</si>
  <si>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</si>
  <si>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</si>
  <si>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</si>
  <si>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</si>
  <si>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</si>
  <si>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</si>
  <si>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</si>
  <si>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</si>
  <si>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</si>
  <si>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</si>
  <si>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</si>
  <si>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</si>
  <si>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</si>
  <si>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</si>
  <si>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</si>
  <si>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</si>
  <si>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</si>
  <si>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</si>
  <si>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</si>
  <si>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</si>
  <si>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</si>
  <si>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</si>
  <si>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</si>
  <si>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</si>
  <si>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</si>
  <si>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</si>
  <si>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</si>
  <si>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</si>
  <si>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</si>
  <si>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</si>
  <si>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</si>
  <si>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</si>
  <si>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</si>
  <si>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</si>
  <si>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</si>
  <si>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</si>
  <si>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</si>
  <si>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</si>
  <si>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</si>
  <si>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</si>
  <si>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</si>
  <si>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</si>
  <si>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</si>
  <si>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</si>
  <si>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</si>
  <si>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</si>
  <si>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</si>
  <si>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</si>
  <si>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</si>
  <si>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</si>
  <si>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</si>
  <si>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</si>
  <si>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</si>
  <si>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</si>
  <si>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</si>
  <si>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</si>
  <si>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</si>
  <si>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</si>
  <si>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</si>
  <si>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</si>
  <si>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</si>
  <si>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</si>
  <si>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</si>
  <si>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</si>
  <si>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</si>
  <si>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</si>
  <si>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</si>
  <si>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</si>
  <si>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</si>
  <si>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</si>
  <si>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</si>
  <si>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</si>
  <si>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</si>
  <si>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</si>
  <si>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</si>
  <si>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</si>
  <si>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</si>
  <si>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</si>
  <si>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</si>
  <si>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</si>
  <si>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</si>
  <si>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</si>
  <si>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</si>
  <si>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</si>
  <si>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</si>
  <si>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</si>
  <si>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</si>
  <si>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</si>
  <si>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</si>
  <si>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</si>
  <si>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</si>
  <si>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</si>
  <si>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</si>
  <si>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</si>
  <si>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</si>
  <si>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</si>
  <si>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</si>
  <si>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</si>
  <si>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</si>
  <si>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</si>
  <si>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</si>
  <si>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</si>
  <si>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</si>
  <si>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</si>
  <si>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</si>
  <si>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</si>
  <si>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</si>
  <si>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</si>
  <si>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</si>
  <si>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</si>
  <si>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</si>
  <si>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</si>
  <si>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</si>
  <si>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</si>
  <si>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</si>
  <si>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</si>
  <si>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</si>
  <si>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</si>
  <si>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</si>
  <si>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</si>
  <si>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</si>
  <si>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</si>
  <si>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</si>
  <si>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</si>
  <si>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</si>
  <si>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</si>
  <si>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</si>
  <si>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</si>
  <si>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</si>
  <si>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</si>
  <si>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</si>
  <si>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</si>
  <si>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</si>
  <si>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</si>
  <si>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</si>
  <si>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</si>
  <si>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</si>
  <si>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</si>
  <si>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</si>
  <si>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</si>
  <si>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</si>
  <si>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</si>
  <si>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</si>
  <si>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</si>
  <si>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</si>
  <si>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</si>
  <si>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</si>
  <si>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</si>
  <si>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</si>
  <si>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</si>
  <si>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</si>
  <si>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</si>
  <si>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</si>
  <si>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</si>
  <si>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</si>
  <si>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</si>
  <si>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</si>
  <si>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</si>
  <si>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</si>
  <si>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</si>
  <si>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</si>
  <si>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</si>
  <si>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</si>
  <si>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</si>
  <si>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</si>
  <si>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</si>
  <si>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</si>
  <si>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</si>
  <si>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</si>
  <si>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</si>
  <si>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</si>
  <si>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</si>
  <si>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</si>
  <si>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</si>
  <si>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</si>
  <si>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</si>
  <si>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</si>
  <si>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</si>
  <si>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</si>
  <si>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</si>
  <si>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</si>
  <si>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</si>
  <si>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</si>
  <si>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</si>
  <si>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</si>
  <si>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</si>
  <si>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</si>
  <si>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</si>
  <si>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</si>
  <si>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</si>
  <si>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</si>
  <si>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</si>
  <si>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</si>
  <si>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</si>
  <si>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</si>
  <si>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</si>
  <si>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</si>
  <si>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</si>
  <si>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</si>
  <si>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</si>
  <si>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</si>
  <si>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</si>
  <si>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</si>
  <si>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</si>
  <si>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</si>
  <si>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</si>
  <si>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</si>
  <si>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</si>
  <si>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</si>
  <si>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</si>
  <si>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</si>
  <si>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</si>
  <si>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</si>
  <si>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</si>
  <si>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</si>
  <si>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</si>
  <si>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</si>
  <si>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</si>
  <si>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</si>
  <si>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</si>
  <si>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</si>
  <si>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</si>
  <si>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</si>
  <si>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</si>
  <si>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</si>
  <si>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</si>
  <si>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</si>
  <si>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</si>
  <si>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</si>
  <si>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</si>
  <si>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</si>
  <si>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</si>
  <si>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</si>
  <si>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</si>
  <si>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</si>
  <si>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</si>
  <si>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</si>
  <si>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</si>
  <si>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</si>
  <si>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</si>
  <si>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</si>
  <si>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</si>
  <si>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</si>
  <si>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</si>
  <si>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</si>
  <si>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</si>
  <si>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</si>
  <si>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</si>
  <si>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</si>
  <si>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</si>
  <si>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</si>
  <si>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</si>
  <si>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</si>
  <si>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</si>
  <si>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</si>
  <si>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</si>
  <si>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</si>
  <si>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</si>
  <si>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</si>
  <si>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</si>
  <si>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</si>
  <si>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</si>
  <si>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</si>
  <si>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</si>
  <si>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</si>
  <si>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</si>
  <si>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</si>
  <si>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</si>
  <si>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</si>
  <si>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</si>
  <si>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</si>
  <si>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</si>
  <si>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</si>
  <si>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</si>
  <si>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</si>
  <si>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</si>
  <si>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</si>
  <si>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</si>
  <si>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</si>
  <si>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</si>
  <si>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</si>
  <si>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</si>
  <si>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</si>
  <si>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</si>
  <si>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</si>
  <si>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</si>
  <si>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</si>
  <si>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</si>
  <si>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</si>
  <si>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</si>
  <si>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</si>
  <si>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</si>
  <si>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</si>
  <si>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</si>
  <si>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</si>
  <si>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</si>
  <si>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</si>
  <si>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</si>
  <si>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</si>
  <si>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</si>
  <si>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</si>
  <si>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</si>
  <si>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</si>
  <si>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</si>
  <si>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</si>
  <si>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</si>
  <si>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</si>
  <si>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</si>
  <si>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</si>
  <si>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</si>
  <si>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</si>
  <si>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</si>
  <si>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</si>
  <si>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</si>
  <si>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</si>
  <si>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</si>
  <si>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</si>
  <si>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</si>
  <si>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</si>
  <si>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</si>
  <si>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</si>
  <si>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</si>
  <si>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</si>
  <si>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</si>
  <si>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</si>
  <si>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</si>
  <si>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</si>
  <si>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</si>
  <si>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</si>
  <si>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</si>
  <si>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</si>
  <si>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</si>
  <si>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</si>
  <si>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</si>
  <si>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</si>
  <si>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</si>
  <si>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</si>
  <si>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</si>
  <si>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</si>
  <si>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</si>
  <si>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</si>
  <si>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</si>
  <si>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</si>
  <si>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</si>
  <si>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</si>
  <si>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</si>
  <si>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</si>
  <si>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</si>
  <si>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</si>
  <si>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</si>
  <si>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</si>
  <si>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</si>
  <si>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</si>
  <si>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</si>
  <si>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</si>
  <si>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</si>
  <si>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</si>
  <si>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</si>
  <si>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</si>
  <si>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</si>
  <si>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</si>
  <si>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</si>
  <si>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</si>
  <si>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</si>
  <si>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</si>
  <si>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</si>
  <si>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</si>
  <si>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</si>
  <si>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</si>
  <si>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</si>
  <si>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</si>
  <si>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</si>
  <si>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</si>
  <si>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</si>
  <si>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</si>
  <si>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</si>
  <si>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</si>
  <si>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</si>
  <si>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</si>
  <si>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</si>
  <si>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</si>
  <si>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</si>
  <si>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</si>
  <si>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</si>
  <si>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</si>
  <si>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</si>
  <si>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</si>
  <si>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</si>
  <si>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</si>
  <si>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</si>
  <si>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</si>
  <si>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</si>
  <si>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</si>
  <si>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</si>
  <si>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</si>
  <si>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</si>
  <si>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</si>
  <si>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</si>
  <si>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</si>
  <si>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</si>
  <si>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</si>
  <si>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</si>
  <si>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</si>
  <si>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</si>
  <si>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</si>
  <si>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</si>
  <si>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</si>
  <si>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</si>
  <si>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</si>
  <si>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</si>
  <si>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</si>
  <si>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</si>
  <si>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</si>
  <si>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</si>
  <si>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</si>
  <si>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</si>
  <si>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</si>
  <si>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</si>
  <si>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</si>
  <si>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</si>
  <si>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</si>
  <si>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</si>
  <si>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</si>
  <si>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</si>
  <si>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</si>
  <si>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</si>
  <si>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</si>
  <si>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</si>
  <si>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</si>
  <si>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</si>
  <si>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</si>
  <si>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</si>
  <si>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</si>
  <si>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</si>
  <si>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</si>
  <si>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</si>
  <si>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</si>
  <si>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</si>
  <si>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</si>
  <si>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</si>
  <si>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</si>
  <si>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</si>
  <si>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</si>
  <si>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</si>
  <si>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</si>
  <si>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</si>
  <si>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</si>
  <si>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</si>
  <si>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</si>
  <si>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</si>
  <si>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</si>
  <si>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</si>
  <si>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</si>
  <si>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</si>
  <si>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</si>
  <si>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</si>
  <si>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</si>
  <si>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</si>
  <si>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</si>
  <si>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</si>
  <si>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</si>
  <si>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</si>
  <si>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</si>
  <si>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</si>
  <si>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</si>
  <si>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</si>
  <si>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</si>
  <si>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</si>
  <si>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</si>
  <si>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</si>
  <si>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</si>
  <si>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</si>
  <si>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</si>
  <si>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</si>
  <si>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</si>
  <si>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</si>
  <si>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</si>
  <si>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</si>
  <si>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</si>
  <si>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</si>
  <si>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</si>
  <si>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</si>
  <si>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</si>
  <si>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</si>
  <si>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</si>
  <si>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</si>
  <si>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</si>
  <si>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</si>
  <si>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</si>
  <si>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</si>
  <si>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</si>
  <si>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</si>
  <si>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</si>
  <si>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</si>
  <si>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</si>
  <si>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</si>
  <si>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</si>
  <si>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</si>
  <si>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</si>
  <si>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</si>
  <si>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</si>
  <si>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</si>
  <si>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</si>
  <si>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</si>
  <si>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</si>
  <si>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</si>
  <si>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</si>
  <si>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</si>
  <si>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</si>
  <si>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</si>
  <si>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</si>
  <si>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</si>
  <si>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</si>
  <si>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</si>
  <si>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</si>
  <si>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</si>
  <si>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</si>
  <si>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</si>
  <si>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</si>
  <si>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</si>
  <si>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</si>
  <si>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</si>
  <si>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</si>
  <si>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</si>
  <si>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</si>
  <si>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</si>
  <si>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</si>
  <si>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</si>
  <si>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</si>
  <si>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</si>
  <si>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</si>
  <si>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</si>
  <si>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</si>
  <si>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</si>
  <si>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</si>
  <si>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</si>
  <si>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</si>
  <si>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</si>
  <si>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</si>
  <si>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</si>
  <si>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</si>
  <si>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</si>
  <si>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</si>
  <si>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</si>
  <si>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</si>
  <si>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</si>
  <si>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</si>
  <si>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</si>
  <si>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</si>
  <si>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</si>
  <si>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</si>
  <si>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</si>
  <si>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</si>
  <si>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</si>
  <si>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</si>
  <si>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</si>
  <si>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</si>
  <si>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</si>
  <si>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</si>
  <si>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</si>
  <si>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</si>
  <si>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</si>
  <si>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</si>
  <si>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</si>
  <si>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</si>
  <si>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</si>
  <si>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</si>
  <si>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</si>
  <si>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</si>
  <si>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</si>
  <si>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</si>
  <si>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</si>
  <si>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</si>
  <si>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</si>
  <si>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</si>
  <si>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</si>
  <si>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</si>
  <si>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</si>
  <si>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</si>
  <si>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</si>
  <si>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</si>
  <si>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</si>
  <si>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</si>
  <si>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</si>
  <si>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</si>
  <si>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</si>
  <si>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</si>
  <si>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</si>
  <si>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</si>
  <si>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</si>
  <si>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</si>
  <si>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</si>
  <si>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</si>
  <si>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</si>
  <si>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</si>
  <si>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</si>
  <si>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</si>
  <si>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</si>
  <si>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</si>
  <si>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</si>
  <si>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</si>
  <si>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</si>
  <si>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</si>
  <si>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</si>
  <si>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</si>
  <si>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</si>
  <si>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</si>
  <si>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</si>
  <si>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</si>
  <si>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</si>
  <si>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</si>
  <si>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</si>
  <si>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</si>
  <si>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</si>
  <si>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</si>
  <si>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</si>
  <si>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</si>
  <si>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</si>
  <si>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</si>
  <si>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</si>
  <si>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</si>
  <si>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</si>
  <si>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</si>
  <si>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</si>
  <si>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</si>
  <si>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</si>
  <si>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</si>
  <si>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</si>
  <si>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</si>
  <si>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</si>
  <si>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</si>
  <si>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</si>
  <si>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</si>
  <si>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</si>
  <si>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</si>
  <si>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</si>
  <si>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</si>
  <si>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</si>
  <si>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</si>
  <si>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</si>
  <si>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</si>
  <si>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</si>
  <si>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</si>
  <si>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</si>
  <si>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</si>
  <si>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</si>
  <si>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</si>
  <si>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</si>
  <si>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</si>
  <si>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</si>
  <si>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</si>
  <si>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</si>
  <si>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</si>
  <si>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</si>
  <si>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</si>
  <si>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</si>
  <si>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</si>
  <si>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</si>
  <si>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</si>
  <si>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</si>
  <si>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</si>
  <si>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</si>
  <si>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</si>
  <si>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</si>
  <si>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</si>
  <si>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</si>
  <si>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</si>
  <si>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</si>
  <si>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</si>
  <si>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</si>
  <si>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</si>
  <si>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</si>
  <si>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</si>
  <si>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</si>
  <si>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</si>
  <si>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</si>
  <si>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</si>
  <si>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</si>
  <si>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</si>
  <si>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</si>
  <si>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</si>
  <si>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</si>
  <si>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</si>
  <si>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</si>
  <si>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</si>
  <si>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</si>
  <si>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</si>
  <si>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</si>
  <si>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</si>
  <si>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</si>
  <si>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</si>
  <si>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</si>
  <si>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</si>
  <si>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</si>
  <si>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</si>
  <si>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</si>
  <si>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</si>
  <si>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</si>
  <si>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</si>
  <si>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</si>
  <si>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</si>
  <si>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</si>
  <si>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</si>
  <si>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</si>
  <si>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</si>
  <si>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</si>
  <si>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</si>
  <si>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</si>
  <si>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</si>
  <si>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</si>
  <si>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</si>
  <si>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</si>
  <si>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</si>
  <si>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</si>
  <si>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</si>
  <si>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</si>
  <si>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</si>
  <si>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</si>
  <si>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</si>
  <si>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</si>
  <si>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</si>
  <si>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</si>
  <si>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</si>
  <si>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</si>
  <si>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</si>
  <si>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</si>
  <si>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</si>
  <si>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</si>
  <si>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</si>
  <si>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</si>
  <si>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</si>
  <si>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</si>
  <si>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</si>
  <si>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</si>
  <si>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</si>
  <si>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</si>
  <si>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</si>
  <si>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</si>
  <si>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</si>
  <si>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</si>
  <si>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</si>
  <si>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</si>
  <si>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</si>
  <si>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</si>
  <si>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</si>
  <si>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</si>
  <si>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</si>
  <si>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</si>
  <si>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</si>
  <si>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</si>
  <si>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</si>
  <si>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</si>
  <si>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</si>
  <si>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</si>
  <si>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</si>
  <si>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</si>
  <si>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</si>
  <si>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</si>
  <si>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</si>
  <si>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</si>
  <si>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</si>
  <si>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</si>
  <si>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</si>
  <si>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</si>
  <si>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</si>
  <si>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</si>
  <si>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</si>
  <si>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</si>
  <si>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</si>
  <si>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</si>
  <si>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</si>
  <si>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</si>
  <si>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</si>
  <si>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</si>
  <si>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</si>
  <si>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</si>
  <si>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</si>
  <si>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</si>
  <si>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</si>
  <si>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</si>
  <si>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</si>
  <si>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</si>
  <si>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</si>
  <si>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</si>
  <si>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</si>
  <si>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</si>
  <si>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</si>
  <si>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</si>
  <si>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</si>
  <si>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</si>
  <si>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</si>
  <si>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</si>
  <si>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</si>
  <si>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</si>
  <si>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</si>
  <si>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</si>
  <si>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</si>
  <si>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</si>
  <si>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</si>
  <si>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</si>
  <si>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</si>
  <si>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</si>
  <si>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</si>
  <si>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</si>
  <si>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</si>
  <si>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</si>
  <si>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</si>
  <si>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</si>
  <si>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</si>
  <si>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</si>
  <si>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</si>
  <si>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</si>
  <si>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</si>
  <si>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</si>
  <si>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</si>
  <si>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</si>
  <si>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</si>
  <si>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</si>
  <si>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</si>
  <si>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</si>
  <si>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</si>
  <si>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</si>
  <si>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</si>
  <si>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</si>
  <si>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</si>
  <si>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</si>
  <si>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</si>
  <si>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</si>
  <si>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</si>
  <si>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</si>
  <si>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</si>
  <si>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</si>
  <si>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</si>
  <si>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</si>
  <si>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</si>
  <si>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</si>
  <si>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</si>
  <si>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</si>
  <si>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</si>
  <si>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</si>
  <si>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</si>
  <si>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</si>
  <si>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</si>
  <si>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</si>
  <si>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</si>
  <si>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</si>
  <si>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</si>
  <si>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</si>
  <si>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</si>
  <si>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</si>
  <si>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</si>
  <si>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</si>
  <si>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</si>
  <si>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</si>
  <si>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</si>
  <si>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</si>
  <si>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</si>
  <si>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</si>
  <si>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</si>
  <si>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</si>
  <si>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</si>
  <si>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</si>
  <si>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</si>
  <si>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</si>
  <si>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</si>
  <si>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</si>
  <si>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</si>
  <si>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</si>
  <si>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</si>
  <si>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</si>
  <si>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</si>
  <si>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</si>
  <si>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</si>
  <si>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</si>
  <si>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</si>
  <si>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</si>
  <si>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</si>
  <si>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</si>
  <si>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</si>
  <si>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</si>
  <si>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</si>
  <si>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</si>
  <si>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</si>
  <si>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</si>
  <si>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</si>
  <si>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</si>
  <si>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</si>
  <si>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</si>
  <si>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</si>
  <si>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</si>
  <si>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</si>
  <si>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</si>
  <si>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</si>
  <si>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</si>
  <si>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</si>
  <si>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</si>
  <si>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</si>
  <si>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</si>
  <si>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</si>
  <si>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</si>
  <si>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</si>
  <si>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</si>
  <si>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</si>
  <si>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</si>
  <si>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</si>
  <si>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</si>
  <si>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</si>
  <si>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</si>
  <si>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</si>
  <si>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</si>
  <si>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</si>
  <si>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</si>
  <si>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</si>
  <si>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</si>
  <si>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</si>
  <si>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</si>
  <si>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</si>
  <si>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</si>
  <si>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</si>
  <si>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</si>
  <si>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</si>
  <si>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</si>
  <si>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</si>
  <si>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</si>
  <si>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</si>
  <si>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</si>
  <si>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</si>
  <si>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</si>
  <si>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</si>
  <si>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</si>
  <si>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</si>
  <si>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</si>
  <si>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</si>
  <si>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</si>
  <si>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</si>
  <si>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</si>
  <si>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</si>
  <si>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</si>
  <si>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</si>
  <si>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</si>
  <si>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</si>
  <si>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</si>
  <si>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</si>
  <si>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</si>
  <si>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</si>
  <si>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</si>
  <si>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</si>
  <si>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</si>
  <si>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</si>
  <si>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</si>
  <si>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</si>
  <si>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</si>
  <si>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</si>
  <si>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</si>
  <si>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</si>
  <si>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</si>
  <si>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</si>
  <si>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</si>
  <si>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</si>
  <si>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</si>
  <si>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</si>
  <si>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</si>
  <si>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</si>
  <si>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</si>
  <si>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</si>
  <si>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</si>
  <si>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</si>
  <si>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</si>
  <si>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</si>
  <si>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</si>
  <si>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</si>
  <si>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</si>
  <si>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</si>
  <si>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</si>
  <si>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</si>
  <si>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</si>
  <si>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</si>
  <si>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</si>
  <si>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</si>
  <si>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</si>
  <si>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</si>
  <si>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</si>
  <si>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</si>
  <si>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</si>
  <si>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</si>
  <si>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</si>
  <si>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</si>
  <si>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</si>
  <si>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</si>
  <si>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</si>
  <si>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</si>
  <si>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</si>
  <si>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</si>
  <si>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</si>
  <si>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</si>
  <si>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</si>
  <si>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</si>
  <si>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</si>
  <si>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</si>
  <si>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</si>
  <si>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</si>
  <si>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</si>
  <si>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</si>
  <si>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</si>
  <si>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</si>
  <si>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</si>
  <si>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</si>
  <si>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</si>
  <si>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</si>
  <si>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</si>
  <si>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</si>
  <si>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</si>
  <si>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</si>
  <si>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</si>
  <si>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</si>
  <si>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</si>
  <si>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</si>
  <si>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</si>
  <si>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</si>
  <si>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</si>
  <si>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</si>
  <si>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</si>
  <si>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</si>
  <si>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</si>
  <si>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</si>
  <si>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</si>
  <si>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</si>
  <si>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</si>
  <si>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</si>
  <si>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</si>
  <si>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</si>
  <si>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</si>
  <si>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</si>
  <si>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</si>
  <si>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</si>
  <si>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</si>
  <si>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</si>
  <si>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</si>
  <si>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</si>
  <si>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</si>
  <si>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</si>
  <si>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</si>
  <si>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</si>
  <si>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</si>
  <si>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</si>
  <si>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</si>
  <si>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</si>
  <si>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</si>
  <si>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</si>
  <si>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</si>
  <si>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</si>
  <si>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</si>
  <si>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</si>
  <si>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</si>
  <si>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</si>
  <si>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</si>
  <si>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</si>
  <si>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</si>
  <si>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</si>
  <si>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</si>
  <si>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</si>
  <si>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</si>
  <si>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</si>
  <si>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</si>
  <si>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</si>
  <si>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</si>
  <si>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</si>
  <si>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</si>
  <si>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</si>
  <si>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</si>
  <si>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</si>
  <si>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</si>
  <si>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</si>
  <si>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</si>
  <si>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</si>
  <si>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</si>
  <si>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</si>
  <si>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</si>
  <si>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</si>
  <si>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</si>
  <si>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</si>
  <si>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</si>
  <si>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</si>
  <si>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</si>
  <si>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</si>
  <si>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</si>
  <si>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</si>
  <si>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</si>
  <si>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</si>
  <si>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</si>
  <si>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</si>
  <si>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</si>
  <si>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</si>
  <si>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</si>
  <si>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</si>
  <si>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</si>
  <si>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</si>
  <si>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</si>
  <si>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</si>
  <si>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</si>
  <si>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</si>
  <si>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</si>
  <si>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</si>
  <si>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</si>
  <si>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</si>
  <si>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</si>
  <si>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</si>
  <si>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</si>
  <si>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</si>
  <si>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</si>
  <si>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</si>
  <si>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</si>
  <si>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</si>
  <si>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</si>
  <si>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</si>
  <si>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</si>
  <si>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</si>
  <si>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</si>
  <si>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</si>
  <si>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</si>
  <si>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</si>
  <si>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</si>
  <si>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</si>
  <si>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</si>
  <si>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</si>
  <si>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</si>
  <si>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</si>
  <si>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</si>
  <si>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</si>
  <si>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</si>
  <si>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</si>
  <si>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</si>
  <si>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</si>
  <si>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</si>
  <si>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</si>
  <si>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</si>
  <si>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</si>
  <si>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</si>
  <si>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</si>
  <si>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</si>
  <si>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</si>
  <si>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</si>
  <si>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</si>
  <si>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</si>
  <si>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</si>
  <si>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</si>
  <si>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</si>
  <si>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</si>
  <si>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</si>
  <si>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</si>
  <si>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</si>
  <si>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</si>
  <si>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</si>
  <si>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</si>
  <si>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</si>
  <si>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</si>
  <si>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</si>
  <si>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</si>
  <si>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</si>
  <si>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</si>
  <si>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</si>
  <si>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</si>
  <si>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</si>
  <si>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</si>
  <si>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</si>
  <si>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</si>
  <si>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</si>
  <si>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</si>
  <si>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</si>
  <si>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</si>
  <si>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</si>
  <si>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</si>
  <si>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</si>
  <si>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</si>
  <si>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</si>
  <si>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</si>
  <si>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</si>
  <si>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</si>
  <si>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</si>
  <si>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</si>
  <si>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</si>
  <si>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</si>
  <si>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</si>
  <si>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</si>
  <si>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</si>
  <si>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</si>
  <si>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</si>
  <si>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</si>
  <si>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</si>
  <si>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</si>
  <si>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</si>
  <si>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</si>
  <si>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</si>
  <si>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</si>
  <si>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</si>
  <si>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</si>
  <si>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</si>
  <si>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</si>
  <si>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</si>
  <si>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</si>
  <si>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</si>
  <si>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</si>
  <si>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</si>
  <si>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</si>
  <si>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</si>
  <si>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</si>
  <si>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</si>
  <si>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</si>
  <si>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</si>
  <si>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</si>
  <si>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</si>
  <si>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</si>
  <si>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</si>
  <si>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</si>
  <si>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</si>
  <si>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</si>
  <si>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</si>
  <si>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</si>
  <si>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</si>
  <si>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</si>
  <si>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</si>
  <si>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</si>
  <si>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</si>
  <si>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</si>
  <si>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</si>
  <si>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</si>
  <si>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</si>
  <si>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</si>
  <si>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</si>
  <si>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</si>
  <si>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</si>
  <si>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</si>
  <si>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</si>
  <si>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</si>
  <si>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</si>
  <si>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</si>
  <si>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</si>
  <si>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</si>
  <si>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</si>
  <si>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</si>
  <si>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</si>
  <si>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</si>
  <si>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</si>
  <si>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</si>
  <si>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</si>
  <si>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</si>
  <si>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</si>
  <si>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</si>
  <si>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</si>
  <si>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</si>
  <si>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</si>
  <si>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</si>
  <si>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</si>
  <si>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</si>
  <si>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</si>
  <si>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</si>
  <si>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</si>
  <si>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</si>
  <si>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</si>
  <si>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</si>
  <si>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</si>
  <si>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</si>
  <si>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</si>
  <si>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</si>
  <si>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</si>
  <si>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</si>
  <si>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</si>
  <si>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</si>
  <si>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</si>
  <si>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</si>
  <si>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</si>
  <si>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</si>
  <si>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</si>
  <si>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</si>
  <si>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</si>
  <si>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</si>
  <si>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</si>
  <si>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</si>
  <si>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</si>
  <si>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</si>
  <si>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</si>
  <si>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</si>
  <si>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</si>
  <si>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</si>
  <si>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</si>
  <si>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</si>
  <si>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</si>
  <si>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</si>
  <si>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</si>
  <si>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</si>
  <si>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</si>
  <si>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</si>
  <si>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</si>
  <si>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</si>
  <si>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</si>
  <si>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</si>
  <si>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</si>
  <si>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</si>
  <si>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</si>
  <si>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</si>
  <si>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</si>
  <si>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</si>
  <si>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</si>
  <si>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</si>
  <si>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</si>
  <si>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</si>
  <si>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</si>
  <si>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</si>
  <si>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</si>
  <si>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</si>
  <si>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</si>
  <si>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</si>
  <si>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</si>
  <si>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</si>
  <si>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</si>
  <si>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</si>
  <si>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</si>
  <si>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</si>
  <si>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</si>
  <si>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</si>
  <si>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</si>
  <si>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</si>
  <si>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</si>
  <si>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</si>
  <si>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</si>
  <si>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</si>
  <si>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</si>
  <si>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</si>
  <si>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</si>
  <si>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</si>
  <si>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</si>
  <si>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</si>
  <si>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</si>
  <si>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</si>
  <si>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</si>
  <si>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</si>
  <si>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</si>
  <si>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</si>
  <si>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</si>
  <si>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</si>
  <si>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</si>
  <si>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</si>
  <si>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</si>
  <si>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</si>
  <si>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</si>
  <si>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</si>
  <si>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</si>
  <si>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</si>
  <si>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</si>
  <si>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</si>
  <si>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</si>
  <si>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</si>
  <si>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</si>
  <si>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</si>
  <si>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</si>
  <si>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</si>
  <si>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</si>
  <si>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</si>
  <si>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</si>
  <si>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</si>
  <si>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</si>
  <si>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</si>
  <si>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</si>
  <si>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</si>
  <si>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</si>
  <si>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</si>
  <si>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</si>
  <si>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</si>
  <si>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</si>
  <si>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</si>
  <si>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</si>
  <si>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</si>
  <si>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</si>
  <si>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</si>
  <si>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</si>
  <si>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</si>
  <si>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</si>
  <si>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</si>
  <si>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</si>
  <si>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</si>
  <si>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</si>
  <si>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</si>
  <si>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</si>
  <si>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</si>
  <si>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</si>
  <si>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</si>
  <si>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</si>
  <si>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</si>
  <si>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</si>
  <si>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</si>
  <si>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</si>
  <si>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</si>
  <si>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</si>
  <si>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</si>
  <si>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</si>
  <si>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</si>
  <si>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</si>
  <si>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</si>
  <si>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</si>
  <si>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</si>
  <si>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</si>
  <si>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</si>
  <si>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</si>
  <si>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</si>
  <si>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</si>
  <si>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</si>
  <si>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</si>
  <si>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</si>
  <si>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</si>
  <si>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</si>
  <si>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</si>
  <si>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</si>
  <si>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</si>
  <si>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</si>
  <si>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</si>
  <si>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</si>
  <si>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</si>
  <si>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</si>
  <si>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</si>
  <si>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</si>
  <si>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</si>
  <si>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</si>
  <si>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</si>
  <si>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</si>
  <si>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</si>
  <si>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</si>
  <si>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</si>
  <si>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</si>
  <si>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</si>
  <si>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</si>
  <si>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</si>
  <si>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</si>
  <si>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</si>
  <si>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</si>
  <si>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</si>
  <si>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</si>
  <si>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</si>
  <si>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</si>
  <si>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</si>
  <si>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</si>
  <si>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</si>
  <si>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</si>
  <si>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</si>
  <si>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</si>
  <si>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</si>
  <si>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</si>
  <si>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</si>
  <si>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</si>
  <si>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</si>
  <si>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</si>
  <si>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</si>
  <si>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</si>
  <si>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</si>
  <si>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</si>
  <si>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</si>
  <si>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</si>
  <si>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</si>
  <si>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</si>
  <si>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</si>
  <si>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</si>
  <si>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</si>
  <si>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</si>
  <si>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</si>
  <si>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</si>
  <si>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</si>
  <si>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</si>
  <si>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</si>
  <si>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</si>
  <si>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</si>
  <si>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</si>
  <si>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</si>
  <si>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</si>
  <si>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</si>
  <si>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</si>
  <si>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</si>
  <si>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</si>
  <si>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</si>
  <si>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</si>
  <si>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</si>
  <si>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</si>
  <si>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</si>
  <si>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</si>
  <si>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</si>
  <si>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</si>
  <si>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</si>
  <si>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</si>
  <si>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</si>
  <si>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</si>
  <si>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</si>
  <si>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</si>
  <si>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</si>
  <si>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</si>
  <si>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</si>
  <si>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</si>
  <si>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</si>
  <si>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</si>
  <si>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</si>
  <si>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</si>
  <si>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</si>
  <si>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</si>
  <si>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</si>
  <si>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</si>
  <si>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</si>
  <si>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</si>
  <si>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</si>
  <si>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</si>
  <si>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</si>
  <si>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</si>
  <si>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</si>
  <si>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</si>
  <si>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</si>
  <si>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</si>
  <si>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</si>
  <si>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</si>
  <si>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</si>
  <si>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</si>
  <si>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</si>
  <si>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</si>
  <si>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</si>
  <si>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</si>
  <si>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</si>
  <si>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</si>
  <si>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</si>
  <si>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</si>
  <si>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</si>
  <si>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</si>
  <si>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</si>
  <si>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</si>
  <si>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</si>
  <si>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</si>
  <si>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</si>
  <si>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</si>
  <si>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</si>
  <si>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</si>
  <si>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</si>
  <si>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</si>
  <si>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</si>
  <si>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</si>
  <si>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</si>
  <si>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</si>
  <si>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</si>
  <si>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</si>
  <si>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</si>
  <si>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</si>
  <si>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</si>
  <si>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</si>
  <si>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</si>
  <si>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</si>
  <si>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</si>
  <si>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</si>
  <si>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</si>
  <si>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</si>
  <si>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</si>
  <si>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</si>
  <si>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</si>
  <si>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</si>
  <si>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</si>
  <si>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</si>
  <si>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</si>
  <si>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</si>
  <si>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</si>
  <si>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</si>
  <si>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</si>
  <si>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</si>
  <si>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</si>
  <si>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</si>
  <si>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</si>
  <si>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</si>
  <si>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</si>
  <si>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</si>
  <si>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</si>
  <si>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</si>
  <si>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</si>
  <si>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</si>
  <si>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</si>
  <si>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</si>
  <si>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</si>
  <si>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</si>
  <si>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</si>
  <si>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</si>
  <si>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</si>
  <si>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</si>
  <si>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</si>
  <si>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</si>
  <si>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</si>
  <si>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</si>
  <si>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</si>
  <si>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</si>
  <si>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</si>
  <si>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</si>
  <si>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</si>
  <si>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</si>
  <si>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</si>
  <si>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</si>
  <si>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</si>
  <si>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</si>
  <si>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</si>
  <si>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</si>
  <si>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</si>
  <si>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</si>
  <si>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</si>
  <si>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</si>
  <si>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</si>
  <si>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</si>
  <si>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</si>
  <si>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</si>
  <si>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</si>
  <si>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</si>
  <si>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</si>
  <si>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</si>
  <si>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</si>
  <si>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</si>
  <si>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</si>
  <si>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</si>
  <si>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</si>
  <si>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</si>
  <si>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</si>
  <si>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</si>
  <si>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</si>
  <si>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</si>
  <si>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</si>
  <si>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</si>
  <si>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</si>
  <si>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</si>
  <si>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</si>
  <si>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</si>
  <si>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</si>
  <si>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</si>
  <si>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</si>
  <si>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</si>
  <si>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</si>
  <si>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</si>
  <si>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</si>
  <si>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</si>
  <si>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</si>
  <si>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</si>
  <si>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</si>
  <si>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</si>
  <si>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</si>
  <si>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</si>
  <si>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</si>
  <si>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</si>
  <si>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</si>
  <si>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</si>
  <si>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</si>
  <si>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</si>
  <si>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</si>
  <si>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</si>
  <si>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</si>
  <si>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</si>
  <si>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</si>
  <si>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</si>
  <si>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</si>
  <si>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</si>
  <si>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</si>
  <si>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</si>
  <si>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</si>
  <si>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</si>
  <si>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</si>
  <si>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</si>
  <si>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</si>
  <si>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</si>
  <si>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</si>
  <si>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</si>
  <si>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</si>
  <si>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</si>
  <si>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</si>
  <si>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</si>
  <si>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</si>
  <si>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</si>
  <si>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</si>
  <si>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</si>
  <si>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</si>
  <si>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</si>
  <si>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</si>
  <si>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</si>
  <si>
    <t>1401/056/01</t>
  </si>
  <si>
    <t>شبا بانک 3263</t>
  </si>
  <si>
    <t>شبا بانک 5290</t>
  </si>
  <si>
    <t>واریز به کارت 1840</t>
  </si>
  <si>
    <t>شبا 5984</t>
  </si>
  <si>
    <t>شبا بانک 4974</t>
  </si>
  <si>
    <t>شبا بانک 7525</t>
  </si>
  <si>
    <t>واریز به کارت 2266</t>
  </si>
  <si>
    <t>شبا بانک 9764</t>
  </si>
  <si>
    <t>شبا بانک 6006</t>
  </si>
  <si>
    <t>شبا بانک 1942</t>
  </si>
  <si>
    <t>واریز به کارت 9530</t>
  </si>
  <si>
    <t>شبا بانک 4586</t>
  </si>
  <si>
    <t>شبا بانک 2692</t>
  </si>
  <si>
    <t>شبا بانک 0811</t>
  </si>
  <si>
    <t>واریز به کارت حدیثه رازی</t>
  </si>
  <si>
    <t>مبلغ 30 میلیون تومان در تاریخ 1401/06/02 اضافه شد.</t>
  </si>
  <si>
    <t>مبلغ 60 میلیون در تاریخ 1401/06/02 اضافه شد.</t>
  </si>
  <si>
    <t>1401/06/03</t>
  </si>
  <si>
    <t>واریز به کارت 8076</t>
  </si>
  <si>
    <t>واریز به کارت 3706</t>
  </si>
  <si>
    <t>واریز به کارت 4492</t>
  </si>
  <si>
    <t>1401/06/04</t>
  </si>
  <si>
    <t>واریز به کارت 5870</t>
  </si>
  <si>
    <t>رامی ( واریزی به ساریه بیسوده )</t>
  </si>
  <si>
    <t>سعید بالا ولایت تحولی</t>
  </si>
  <si>
    <t>واریز به کارت 5218</t>
  </si>
  <si>
    <t>واریز به کارت 5001</t>
  </si>
  <si>
    <t>1401/06/05</t>
  </si>
  <si>
    <t>تسویه از اصل پول</t>
  </si>
  <si>
    <t>شبا بانک 5539</t>
  </si>
  <si>
    <t>6037-6975-8775-4430</t>
  </si>
  <si>
    <t>شبا بانک 8910</t>
  </si>
  <si>
    <t>واریز به کارت 0133</t>
  </si>
  <si>
    <t>واریز به کارت 7080</t>
  </si>
  <si>
    <t>1401/06/06</t>
  </si>
  <si>
    <t>شماره شبا 2688</t>
  </si>
  <si>
    <t>شبا بانک 5949</t>
  </si>
  <si>
    <t>5859-8311-8776-6620</t>
  </si>
  <si>
    <t>واریز به کارت 6161</t>
  </si>
  <si>
    <t>فکر کنم واریزی مرداد ماه</t>
  </si>
  <si>
    <t>1401/06/07</t>
  </si>
  <si>
    <t>شبا بانک 2009</t>
  </si>
  <si>
    <t>مبلغ 500 میلیون دوم برای برای 23 روز محاسبه شد مبلغ 24/916/000 تومان شد.</t>
  </si>
  <si>
    <t>واریز به کارت 7296</t>
  </si>
  <si>
    <t>مبلغ 60 میلیون از اصل پول تسویه شد.</t>
  </si>
  <si>
    <t>مبلغ جدید از مهر ماه</t>
  </si>
  <si>
    <t>مهدی مولوی زاده یزدی</t>
  </si>
  <si>
    <t>واریز به کارت 0055</t>
  </si>
  <si>
    <t>برای 18 روز محاسبه شد.</t>
  </si>
  <si>
    <t>واریز به کارت 2003</t>
  </si>
  <si>
    <t>مبلغ 10 میلیون تومان در تاریخ هفتم شهریور اضافه و اصل مبلغ 30 تومان شد.</t>
  </si>
  <si>
    <t>در تاریخ هفتم شهریور مبلغ 60 میلیون تومان افزایش سرمایه دادند و اصل مبلغ 360  تومان شد.</t>
  </si>
  <si>
    <t>در تاریخ 6 شهریور مبلغ 30 میلیون تومان افزایش سرمایه دادند و اصل مبلغ 85 میلیون تومان شد.</t>
  </si>
  <si>
    <t>مبلغ 70 میلیون در تاریخ هفتم شهریور اضافه شد و اصل میلغ 1/916/000/000 شد.</t>
  </si>
  <si>
    <t>برای 25 شهریور ماه 138440 و برای 25 مهرماه 140680</t>
  </si>
  <si>
    <t>رضا حسینی پور</t>
  </si>
  <si>
    <t>در تاریخ 1401/06/08 مشارکت شد.</t>
  </si>
  <si>
    <t>مبلغ 52 میلیون در تاریخ هفتم شهریور اضافه شد - مبلغ توسط کارت هر روز برداشت شود.</t>
  </si>
  <si>
    <t>مبلغ 35 میلیون در تاریخ 6 شهریور به اصل مبلغ اضافه شد - از حساب های علی آقا کسر شود.</t>
  </si>
  <si>
    <t>مصطفی خدادوست</t>
  </si>
  <si>
    <t>سمیه خورا</t>
  </si>
  <si>
    <t>سفته 371534</t>
  </si>
  <si>
    <t>علیرضا محمدنیا</t>
  </si>
  <si>
    <t>1401/06/08</t>
  </si>
  <si>
    <t xml:space="preserve">واریز به کارت 9109 </t>
  </si>
  <si>
    <t>واریز به کارت 1091</t>
  </si>
  <si>
    <t>شبا بانک 2621</t>
  </si>
  <si>
    <t>واریز به کارت 9565</t>
  </si>
  <si>
    <t>شبا بانک 9057</t>
  </si>
  <si>
    <t>شبا بانک 3003</t>
  </si>
  <si>
    <t>شبا بانک 0531</t>
  </si>
  <si>
    <t>از اصل پول 386 میلیون تسویه شد.</t>
  </si>
  <si>
    <t>مبلغ 150 میلیون ماشین از 500 میلیون تسویه شود-50 تومن تیر تسویه شد و 64 میلیون در مرداد و 36 میلیون در شهریور تسویه میشود.</t>
  </si>
  <si>
    <t>واریز به کارت 5235</t>
  </si>
  <si>
    <t>مبلغ 100 میلیون از اصل پول 150 میلیون تسوشه شد و مانده اصل 50 میلیون شد.</t>
  </si>
  <si>
    <t>اصل مانده</t>
  </si>
  <si>
    <t>در کل مبلغ 165 میلیون اضافه شد و اصل مبلغ 700 میلیون شد - از سود دوم مهر 15 پرداخت شد.</t>
  </si>
  <si>
    <t>شبا شماره 9785</t>
  </si>
  <si>
    <t>واریزی بعدی 14 مهر ماه</t>
  </si>
  <si>
    <t xml:space="preserve">مبلغ 40 میلیون اضافه شد اصل 105 شد و واریزی 14 شهریور انجام شد ازکم کردن 40 میلیون </t>
  </si>
  <si>
    <t>علی تیاوری</t>
  </si>
  <si>
    <t>6277-6013-0290-3768</t>
  </si>
  <si>
    <t>مرتضی شاه پسند</t>
  </si>
  <si>
    <t>هشتم</t>
  </si>
  <si>
    <t>مشارکت جدید در تاریخ 1401/06/08</t>
  </si>
  <si>
    <t>1401/06/09</t>
  </si>
  <si>
    <t>5894-6311-1336-1125</t>
  </si>
  <si>
    <t>6277-6012-9409-7447</t>
  </si>
  <si>
    <t>مبلغ 5 میلیون در تاریخ 1401/05/12 و مبلغ 5 میلیون در تاریخ 1401/05/13 واریز شد و مبلغ 5 میلیون در تاریخ 1401/05/22 واریز شد - اصل مبلغ پول 35 میلیون شد .</t>
  </si>
  <si>
    <t>گل افروز کامگار</t>
  </si>
  <si>
    <t>6037-9917-8265-8144</t>
  </si>
  <si>
    <t>شبا بانک 80003</t>
  </si>
  <si>
    <t>شبا بانک 0178</t>
  </si>
  <si>
    <t>شبا بانک 5594</t>
  </si>
  <si>
    <t>واریز به کارت 7309</t>
  </si>
  <si>
    <t>توسط علی آقا واریز شد.</t>
  </si>
  <si>
    <t>1401/06/</t>
  </si>
  <si>
    <t>توسط علی آقا پرداخت شد.</t>
  </si>
  <si>
    <t>مبلغ 100 میلیون از اصل پول تسویه شود.</t>
  </si>
  <si>
    <t>1401/06/02</t>
  </si>
  <si>
    <t>شبا بانک 1681</t>
  </si>
  <si>
    <t>شبا بانک 1280</t>
  </si>
  <si>
    <t>بابت یورو</t>
  </si>
  <si>
    <t>شبا بانک 7001</t>
  </si>
  <si>
    <t>واریز به کارت فاطمه علی محمدی</t>
  </si>
  <si>
    <t>شبا بانک 8043</t>
  </si>
  <si>
    <t>مبلغ 6 میلیون قرضی دادیم</t>
  </si>
  <si>
    <t>1401/06/28</t>
  </si>
  <si>
    <t>چک صادرات</t>
  </si>
  <si>
    <t>بهناز ذبیحی</t>
  </si>
  <si>
    <t>واریز به کارت 8710</t>
  </si>
  <si>
    <t>سود مشارکت تیر و مرداد ماه به اصل مبلغ اضافه شود.</t>
  </si>
  <si>
    <t>سود مشارکت شهریورماه</t>
  </si>
  <si>
    <t>واریز به کارت 0655</t>
  </si>
  <si>
    <t>فاطمه خدادادی ( ابوالفضل آخوندی )</t>
  </si>
  <si>
    <t>واریز به حساب 1003</t>
  </si>
  <si>
    <t>6037-9975-6347-8461</t>
  </si>
  <si>
    <t>شبا بانک 0000</t>
  </si>
  <si>
    <t>شبا بانک 6203</t>
  </si>
  <si>
    <t>شبابانک 8804</t>
  </si>
  <si>
    <t>شبا بانک 3000</t>
  </si>
  <si>
    <t>از 5 شهریور مبلغ 2 میلیون تومان</t>
  </si>
  <si>
    <t>واریز به کارت خانم طاهره کامکاری - یک درصد از این مبلغ برای خود خانم طاهره کامکاری میباشد.</t>
  </si>
  <si>
    <t>تمامی مبالغ تا تاریخ دهم محاسبه شد و مجموع واریزی شهریور ماه 9 میلیون و از مهر ماه کامل میباشد.</t>
  </si>
  <si>
    <t>شبا بانک 6831</t>
  </si>
  <si>
    <t>شبا بانک 4004</t>
  </si>
  <si>
    <t>6104-3389-4781-3941</t>
  </si>
  <si>
    <t>شبا بانک1742</t>
  </si>
  <si>
    <t>140106/03</t>
  </si>
  <si>
    <t>شبا بانک 7006</t>
  </si>
  <si>
    <t>شبا بانک 4357</t>
  </si>
  <si>
    <t>معصومه ریگی</t>
  </si>
  <si>
    <t>1401/06/10</t>
  </si>
  <si>
    <t>شبا بانک 4295</t>
  </si>
  <si>
    <t>6104-3374-0499-4004</t>
  </si>
  <si>
    <t>ام البنین میرکی قرائی</t>
  </si>
  <si>
    <t>6037-7014-3681-0284</t>
  </si>
  <si>
    <t>6273-8111-7452-9047</t>
  </si>
  <si>
    <t>شبا بانک 8604</t>
  </si>
  <si>
    <t>واریز به کارت 9353</t>
  </si>
  <si>
    <t>واریز به کارت 6756</t>
  </si>
  <si>
    <t>حسین نظام دوست</t>
  </si>
  <si>
    <t>چک بانک کشاورزی 595471</t>
  </si>
  <si>
    <t>1406/09/28</t>
  </si>
  <si>
    <t>1404/06/10</t>
  </si>
  <si>
    <t>سفته 180946</t>
  </si>
  <si>
    <t>سه ماهه - تاریخ سفته 1401/09/03</t>
  </si>
  <si>
    <t>شبا بانک 8384</t>
  </si>
  <si>
    <t>1401/06/11</t>
  </si>
  <si>
    <t>6104-3375-3318-5029</t>
  </si>
  <si>
    <t>هر  شش ماه دو میلیون واریز میشود.</t>
  </si>
  <si>
    <t xml:space="preserve">برای سه ماه ( 3*700=2100 ) + سه ماه ( 3 * 350 = 1/050/000) جمعا 3/150/000 تومان - </t>
  </si>
  <si>
    <t>برای یک ماه ( 1 * 350 = 350 )</t>
  </si>
  <si>
    <t>تسویه سفته سالانه</t>
  </si>
  <si>
    <t>شبا بانک 1056</t>
  </si>
  <si>
    <t>زهرا فخری</t>
  </si>
  <si>
    <t>6037-6975-7125-1443</t>
  </si>
  <si>
    <t>6062-5610-1931-5962</t>
  </si>
  <si>
    <t>منصوره سهیلی فرد</t>
  </si>
  <si>
    <t>مرضیه احمدی ( نیک پی )</t>
  </si>
  <si>
    <t>1401/06/12</t>
  </si>
  <si>
    <t>شبا بانک 6814</t>
  </si>
  <si>
    <t>واریز به کارت 5518</t>
  </si>
  <si>
    <t>واریز به کارت 5097</t>
  </si>
  <si>
    <t>تسویه دو ماه مهر و آبان</t>
  </si>
  <si>
    <t>6037-9919-2513-6255</t>
  </si>
  <si>
    <t>واریز به حساب 5000</t>
  </si>
  <si>
    <t>مرداد ماه مبلغ 200 هزار تومان بیشتر واریز شده است.</t>
  </si>
  <si>
    <t>عصمت نیازجو ( همسر حمید غضنفری )</t>
  </si>
  <si>
    <t>6037-9979-4050-1571</t>
  </si>
  <si>
    <t>نیاز به بررسی</t>
  </si>
  <si>
    <t>واریز به کارت 9528</t>
  </si>
  <si>
    <t>6037-9975-6289-2654</t>
  </si>
  <si>
    <t>واریز به کارت 3655</t>
  </si>
  <si>
    <t>مبلغ 1/600/000 تومان از سود به 8/400/000 واریزی اضافه شد و اصل مبلغ 60 میلیون شد.</t>
  </si>
  <si>
    <t>واریز به کارت 8013</t>
  </si>
  <si>
    <t>واریز به کارت 3547</t>
  </si>
  <si>
    <t>واریز به کارت 9663</t>
  </si>
  <si>
    <t>شبا بانک 1363</t>
  </si>
  <si>
    <t>واریز به کارت طیبه غلامعلی زاده عباس آبادی</t>
  </si>
  <si>
    <t>شبا بانک 1888</t>
  </si>
  <si>
    <t>شبا بانک 3082</t>
  </si>
  <si>
    <t>بهناز ذبیحی (شمسی میرکی)</t>
  </si>
  <si>
    <t>شبا بانک 6393</t>
  </si>
  <si>
    <t>واریز به حساب 6007</t>
  </si>
  <si>
    <t>1401/06/13</t>
  </si>
  <si>
    <t>واریز به کارت 9476</t>
  </si>
  <si>
    <t>مبلغ 10 میلیون تومان در تاریخ یازده شهریور اضافه شد.</t>
  </si>
  <si>
    <t>مبلغ 10 میلیون تومان در تاریخ سیزده شهریور اضافه شد.</t>
  </si>
  <si>
    <t>مبلغ 10 میلیون تومان در تاریخ چهارده شهریور اضافه شد.</t>
  </si>
  <si>
    <t>مبلغ 10 میلیون تومان در تاریخ پانزده شهریور اضافه شد.</t>
  </si>
  <si>
    <t>واریزی از شهریورماه</t>
  </si>
  <si>
    <t>حسین کاشانی</t>
  </si>
  <si>
    <t>16 تیرماه 57 تومت=ن - 16 مرداد 62</t>
  </si>
  <si>
    <t>خانم شکوری</t>
  </si>
  <si>
    <t>1402/06/13</t>
  </si>
  <si>
    <t>سفته 180949</t>
  </si>
  <si>
    <t>1401/06/14</t>
  </si>
  <si>
    <t>واریز به کارت 4993</t>
  </si>
  <si>
    <t>محمود محمودی</t>
  </si>
  <si>
    <t>شبا بانک 7493</t>
  </si>
  <si>
    <t>واریزی اول مهر ماه</t>
  </si>
  <si>
    <t>بهاره کبوتری</t>
  </si>
  <si>
    <t>1402/06/14</t>
  </si>
  <si>
    <t>سفته 180952</t>
  </si>
  <si>
    <t>مبلغ 85/090/000 تومان تاریخ 14 شهریور واریز کردند + سود 15 ام جمعا صد میلیون اضافه شد</t>
  </si>
  <si>
    <t>از مهرماه محاسبه میشود</t>
  </si>
  <si>
    <t>سود شهریور ماه تسویه شد</t>
  </si>
  <si>
    <t>امید جلالی</t>
  </si>
  <si>
    <t>1401/06/15</t>
  </si>
  <si>
    <t>واریز به کارت 7301</t>
  </si>
  <si>
    <t>شبا بانک 9671</t>
  </si>
  <si>
    <t>1402/05/28</t>
  </si>
  <si>
    <t>سفته 201310</t>
  </si>
  <si>
    <t>علی دهنوی</t>
  </si>
  <si>
    <t>علی محمدی</t>
  </si>
  <si>
    <t>1404/07/25</t>
  </si>
  <si>
    <t>سفته 996179</t>
  </si>
  <si>
    <t>1402/04/25</t>
  </si>
  <si>
    <t>سفته 201308</t>
  </si>
  <si>
    <t>الهام حقی پناه</t>
  </si>
  <si>
    <t>حساب 2008</t>
  </si>
  <si>
    <t>سفته 183218</t>
  </si>
  <si>
    <t>1402/04/15</t>
  </si>
  <si>
    <t>هاجر قاینی</t>
  </si>
  <si>
    <t>سفته 186656</t>
  </si>
  <si>
    <t>1404/09/15</t>
  </si>
  <si>
    <t>زهره خورنگار (حسین)</t>
  </si>
  <si>
    <t>سفته 996178</t>
  </si>
  <si>
    <t>1407/04/30</t>
  </si>
  <si>
    <t>سفته 183212</t>
  </si>
  <si>
    <t>1407/05/25</t>
  </si>
  <si>
    <t>محمد غلامی (پسر علی)</t>
  </si>
  <si>
    <t>1404/08/23</t>
  </si>
  <si>
    <t>سفته 183214</t>
  </si>
  <si>
    <t>سی و نه ماهه</t>
  </si>
  <si>
    <t>1401/11/20</t>
  </si>
  <si>
    <t>سفته996176</t>
  </si>
  <si>
    <t>مصیب بیدل</t>
  </si>
  <si>
    <t>1402/05/21</t>
  </si>
  <si>
    <t>سفته 996177</t>
  </si>
  <si>
    <t>رضا احسانی</t>
  </si>
  <si>
    <t>1407/06/08</t>
  </si>
  <si>
    <t>سفته 065279</t>
  </si>
  <si>
    <t xml:space="preserve">قربانعلی مهربان </t>
  </si>
  <si>
    <t>1407/03/15</t>
  </si>
  <si>
    <t>سفته 183219</t>
  </si>
  <si>
    <t>احمد غلامی (برادر مهدی)</t>
  </si>
  <si>
    <t>سفته 186658</t>
  </si>
  <si>
    <t>1407/06/06</t>
  </si>
  <si>
    <t>مهدی زبردست</t>
  </si>
  <si>
    <t>سفته 186660</t>
  </si>
  <si>
    <t>1404/10/12</t>
  </si>
  <si>
    <t>محمد مردان دوست</t>
  </si>
  <si>
    <t>1404/10/04</t>
  </si>
  <si>
    <t>سفته 186655</t>
  </si>
  <si>
    <t>صادق رضایی</t>
  </si>
  <si>
    <t>سفته 186489</t>
  </si>
  <si>
    <t>1407/06/02</t>
  </si>
  <si>
    <t>مریم السادات پهلوزاده</t>
  </si>
  <si>
    <t>1407/06/09</t>
  </si>
  <si>
    <t>سفته 186486</t>
  </si>
  <si>
    <t>1401/06/16</t>
  </si>
  <si>
    <t>تسویه سود سفته سالانه</t>
  </si>
  <si>
    <t>مبلغ 25 میلیون از اقای کیخواه تسویه شد.</t>
  </si>
  <si>
    <t>واریز به کارت 2825</t>
  </si>
  <si>
    <t>واریز به کارت 1674</t>
  </si>
  <si>
    <t xml:space="preserve">مبلغ 500 هزار تومان از مهر ماه پرداخت شد </t>
  </si>
  <si>
    <t>مبلغ 3/600/000 + 200/000 تومان در تاریخ 1401/06/19 اضافه شد.</t>
  </si>
  <si>
    <t>مبلغ 3/600/000 + 200/000 در تاریخ 19 شهریور اضافه شد و جمع مبلغ 44/623/000 شد.</t>
  </si>
  <si>
    <t>مبلغ 5 میلیون الباقی سود به اصل مبلغ اضافه شد.</t>
  </si>
  <si>
    <t>واریز به کارت 5856</t>
  </si>
  <si>
    <t>واریز به کارت 7003</t>
  </si>
  <si>
    <t>واریز به کارت 4705</t>
  </si>
  <si>
    <t>مبلغ 21 میلیون مانده سود شهریور ماه به اصل مبلغ اضافه شد.</t>
  </si>
  <si>
    <t>مبلغ مهر ماه</t>
  </si>
  <si>
    <t>عادل ضیایی</t>
  </si>
  <si>
    <t>مبلغ 160/000/000 میلیون تومان در تاریخ 1401/06/16 افزایش سرمایه داشتند.</t>
  </si>
  <si>
    <t>1401/06/17</t>
  </si>
  <si>
    <t>واریز به کارت 1141</t>
  </si>
  <si>
    <t>واریز به کارت 0679</t>
  </si>
  <si>
    <t>واریز به کارت 5936</t>
  </si>
  <si>
    <t>واریز به کارت 3439</t>
  </si>
  <si>
    <t>واریز به کارت 8604</t>
  </si>
  <si>
    <t>140106/17</t>
  </si>
  <si>
    <t>واریز به کارت 0696</t>
  </si>
  <si>
    <t>واریز به کارت 6371</t>
  </si>
  <si>
    <t>واریز به کارت 6348</t>
  </si>
  <si>
    <t>مبلغ مشارکت جدید برای مهرماه</t>
  </si>
  <si>
    <t>این مبلغ از سمت آقای محمدی به سمت آقای الوانی انتقال یافت.</t>
  </si>
  <si>
    <t>با خانم زهرا عباسی یکی شد.</t>
  </si>
  <si>
    <t>واریزی جدید - حساب خانم زهرا عباسی با خانم سمیه جان محمدی یکی شد.</t>
  </si>
  <si>
    <t>در تاریخ 1401/06/19 مبلغ یک میلیارد افزایش سرمایه داشتند.</t>
  </si>
  <si>
    <t>141/06/18</t>
  </si>
  <si>
    <t>1401/06/19</t>
  </si>
  <si>
    <t>واریزی بعدی 15 ام مهرماه</t>
  </si>
  <si>
    <t>مبلغ 5 میلیون از شهریور ماه در مرداد پرداخت شده است.</t>
  </si>
  <si>
    <t>تا 4 مهر تسویه کامل شده است.</t>
  </si>
  <si>
    <t xml:space="preserve">سه ماه </t>
  </si>
  <si>
    <t>چک 885 + چک 160</t>
  </si>
  <si>
    <t>محمد حسن مبین زاده 09359837970</t>
  </si>
  <si>
    <t>واریز به کارت 7488</t>
  </si>
  <si>
    <t>شبا بانک 2676</t>
  </si>
  <si>
    <t>واریز به کارت 6775</t>
  </si>
  <si>
    <t>شبا بانک2050</t>
  </si>
  <si>
    <t>شبا بانک 6669</t>
  </si>
  <si>
    <t>شبا بانک 8230</t>
  </si>
  <si>
    <t>شبا باننک 3510</t>
  </si>
  <si>
    <t>تاریخ 12 شهریور مبلغ 70 میلیون تومان واریز شد - 19 شهریور 950 هزار تومان و از 19 مهر 4/200 هزار تومان</t>
  </si>
  <si>
    <t>علیرضا رضایی</t>
  </si>
  <si>
    <t>اولین واریزی 19 مهر</t>
  </si>
  <si>
    <t>مبلغ 60 میلیون ضمانت دریافت نکردند - تا 1/500 درصد سود 70 درصد و از 1/500 به بالا 80 درصد</t>
  </si>
  <si>
    <t>زربانو جواهری</t>
  </si>
  <si>
    <t>اولین واریزی 6 مهر</t>
  </si>
  <si>
    <t>1401/06/20</t>
  </si>
  <si>
    <t>از سود مشارکت مهرماه است.</t>
  </si>
  <si>
    <t>اصل 75 ماهیانه 4 میلیون</t>
  </si>
  <si>
    <t>140106/21</t>
  </si>
  <si>
    <t>شبا بانک 5205</t>
  </si>
  <si>
    <t>واریز به حساب 5001</t>
  </si>
  <si>
    <t>6037-7016-1041-8672</t>
  </si>
  <si>
    <t>6037-6915-1078-9563</t>
  </si>
  <si>
    <t>در تاربخ 1401/06/02 مبلغ 10/000/000 تومان افزایش سرمایه داشتند</t>
  </si>
  <si>
    <t>در تاربخ 1401/06/03 مبلغ 5/000/000 تومان افزایش سرمایه داشتند</t>
  </si>
  <si>
    <t>از یکم تا بیستم 6 درصد و از بیستم تا سی ام 6/5 محاسبه شود و ماه های بعدی 6/5 محاسبه گردد.</t>
  </si>
  <si>
    <t>شبا بانک 0245</t>
  </si>
  <si>
    <t>شبا بانک 7008</t>
  </si>
  <si>
    <t>هرماه مبلغ 2 میلیون شیرینی به سود اضافه میشود.</t>
  </si>
  <si>
    <t>شبا بانک 4505</t>
  </si>
  <si>
    <t>اصل مبلغ 700 میلیون شده است و مبلغ 57/500/000 باید واریز شود.</t>
  </si>
  <si>
    <t>شبا بانک 1582</t>
  </si>
  <si>
    <t>شبا بانک 4006</t>
  </si>
  <si>
    <t>مشارکت جدید از مهرماه</t>
  </si>
  <si>
    <t>1401/06/22</t>
  </si>
  <si>
    <t>شبا بانک 2733</t>
  </si>
  <si>
    <t>به حساب 2420</t>
  </si>
  <si>
    <t>واریزی های آقای عبداللهی برای سود مهر ماه</t>
  </si>
  <si>
    <t>جمع کل واریزی تا مهر ماه :</t>
  </si>
  <si>
    <t>مانده از سود مهر :</t>
  </si>
  <si>
    <t>نمیدونم بابت چی واریز شده است</t>
  </si>
  <si>
    <t>شبا بانک 0616</t>
  </si>
  <si>
    <t>شبا بانک 4002</t>
  </si>
  <si>
    <t>6037-9974-2473-2528</t>
  </si>
  <si>
    <t>5894-6311-5362-9209</t>
  </si>
  <si>
    <t xml:space="preserve">مائده حسینی </t>
  </si>
  <si>
    <t>الیاس غضنفری</t>
  </si>
  <si>
    <t>سفته 70 میلیون تحویل اقای عبداللهی شد - برای برداشت اصل سرمایه چک به تاریخ 1401/06/24 دادند.</t>
  </si>
  <si>
    <t>مبلغ 10 میلیون ورودی مشارکت در تاریخ 1401/06/10</t>
  </si>
  <si>
    <t>مبلغ 10 میلیون ورودی مشارکت در تاریخ 1401/06/11</t>
  </si>
  <si>
    <t>مبلغ 10 میلیون ورودی مشارکت در تاریخ 1401/06/14</t>
  </si>
  <si>
    <t>مبلغ 12 میلیون ورودی مشارکت در تاریخ 1401/06/22</t>
  </si>
  <si>
    <t>مبلغ 52 میلیون توسط کارت هر روز برداشت شد.</t>
  </si>
  <si>
    <t>5041-7210-6-2681-1779</t>
  </si>
  <si>
    <t>اشتباها به کارت اقای مجتبی چمنی ریابی واریز شد و ایشان به کارت خانم محمدزاده انتقال دادند.</t>
  </si>
  <si>
    <t>مبلغ 800 هزار تومن برای 18 روز محاسبه شد.</t>
  </si>
  <si>
    <t>6104-3389-1510-3713</t>
  </si>
  <si>
    <t>5892-1013-8398-8355</t>
  </si>
  <si>
    <t>واریزی مرداد و شهریور- هر دوماهی واریز میشود.</t>
  </si>
  <si>
    <t>6037-7015-2537-3392</t>
  </si>
  <si>
    <t>تسویه سود پنجم تا بیستم اصل مبلغ</t>
  </si>
  <si>
    <t>اصل پول طی چک در تاریخ 21 شهریور برداشت شد.</t>
  </si>
  <si>
    <t>6104-3389-4657-5475</t>
  </si>
  <si>
    <t>اصل پول به همراه سود تسویه کامل شد.</t>
  </si>
  <si>
    <t>شبا بانک 4451</t>
  </si>
  <si>
    <t>سود 30 میلیون از تاریخ 12 ام تا بیست و دوم محاسبه شد.</t>
  </si>
  <si>
    <t>از مهر ماه مبلغ 2/300/000 تومان بیست و دوم هر ماه</t>
  </si>
  <si>
    <t>مریم سلطان پور</t>
  </si>
  <si>
    <t>6037-9982-0534-6041</t>
  </si>
  <si>
    <t>عفت عبداللهی</t>
  </si>
  <si>
    <t>1401/06/24</t>
  </si>
  <si>
    <t>6037-9917-9507-0519</t>
  </si>
  <si>
    <t>سفته را تحویل بگیریم</t>
  </si>
  <si>
    <t>1401/06/25</t>
  </si>
  <si>
    <t>1401/06/26</t>
  </si>
  <si>
    <t>6104-3373-4849-3543</t>
  </si>
  <si>
    <t>شبا بانک 7903</t>
  </si>
  <si>
    <t>141/06/27</t>
  </si>
  <si>
    <t>شبا بانک 7988</t>
  </si>
  <si>
    <t>شبا بانک 2005</t>
  </si>
  <si>
    <t>مبلغ 2/500/000 تومان اشتباهی به حسابشان درتاریخ 22 شهریور واریزشد که چون برنگردوندن از اصل پول کم شد.</t>
  </si>
  <si>
    <t>واریزی مهر ماه</t>
  </si>
  <si>
    <t>مبلغ 60 میلیون در تاریخ 1401/06/17 اضافه شد که 40 میلیون ماهیانه و 20 میلیون راسی شد.</t>
  </si>
  <si>
    <t>بابت 60 میلیون جدید و 20 میلیون قبلی سفته نگرفتند.</t>
  </si>
  <si>
    <t>دو ساله</t>
  </si>
  <si>
    <t>مبلغ 10 میلیون از 110 میلیون راسی یکساله شد.</t>
  </si>
  <si>
    <t>محمد امیرشی بهلولی</t>
  </si>
  <si>
    <t>آقای غلامرضا یگانه</t>
  </si>
  <si>
    <t>از 167/000/000 میلیون 1400/06/11 مبلغ 100 میلیون سالیانه 7 درصد ( رضا مقدم ) و 67 میلیون به دادگی اضافه شود.</t>
  </si>
  <si>
    <t>دادگی آقای یگانه به ما تا اول شهریور 1401 : 225=78+80+67</t>
  </si>
  <si>
    <t>مبلغ 225/000/000 میلیون کمباین از 1401/06/01 تا 1401/12/01 به مدت شش ماه 7 درصد محاسبه شود.</t>
  </si>
  <si>
    <t>1401/12/01</t>
  </si>
  <si>
    <t>از60/000/000 میلیون 1400/12/01 شش ماهه تا 1401/06/01 پنج درصد (مهدی یگانه ) میشود 78 میلیون که به دادگی اضافه شود.</t>
  </si>
  <si>
    <t>از50/000/000 میلیون 1400/05/20 یکسال  تا 1401/06/01 پنج درصد (مهدی یگانه ) میشود 80 میلیون که به دادگی اضافه شود.</t>
  </si>
  <si>
    <t>افزایش سرمایه در تاریخ 1401/06/01</t>
  </si>
  <si>
    <t>افزایش سرمایه در تاریخ 1401/06/02</t>
  </si>
  <si>
    <t>افزایش سرمایه در تاریخ 1401/06/03</t>
  </si>
  <si>
    <t>حذف شدند.</t>
  </si>
  <si>
    <t xml:space="preserve">تاریخ چک </t>
  </si>
  <si>
    <t>مبلغ چک</t>
  </si>
  <si>
    <t>شماره چک</t>
  </si>
  <si>
    <t>در وجه</t>
  </si>
  <si>
    <t>نام بانک</t>
  </si>
  <si>
    <t>سپه</t>
  </si>
  <si>
    <t>کشاورزی</t>
  </si>
  <si>
    <t>1400/03/08</t>
  </si>
  <si>
    <t>1400/07/07</t>
  </si>
  <si>
    <t>1400/09/08</t>
  </si>
  <si>
    <t>1400/12/08</t>
  </si>
  <si>
    <t>1401/07/08</t>
  </si>
  <si>
    <t>1401/11/08</t>
  </si>
  <si>
    <t>1402/03/01</t>
  </si>
  <si>
    <t>1402/06/04</t>
  </si>
  <si>
    <t>1777/058012/27</t>
  </si>
  <si>
    <t>3374/939953</t>
  </si>
  <si>
    <t>1777/058007/42</t>
  </si>
  <si>
    <t>1798/442817/41</t>
  </si>
  <si>
    <t>3374/939991</t>
  </si>
  <si>
    <t>3374/939973</t>
  </si>
  <si>
    <t>0051/298607</t>
  </si>
  <si>
    <t>6091/672612</t>
  </si>
  <si>
    <t>مرضیه احیایی</t>
  </si>
  <si>
    <t>ملت</t>
  </si>
  <si>
    <t>تجارت</t>
  </si>
  <si>
    <t xml:space="preserve">جمع کل تا مرداد : </t>
  </si>
  <si>
    <t>و چک مبلغ یک میلیارد بصورت پنج تا فیش بانکی دویست میلیونی پرداخت شد و مبلغ پانصد میلیون چک با باقیمانده مرداد ماه که پانصد و پنجاه میلیون بود یک چک به میلغ یک میلیارد و پنجاه میلیون تومان داده شد.</t>
  </si>
  <si>
    <t>از سیستم چک های به شماره 595471 به مبلغ یک میلیارد و چک به شماره 174155 به مبلغ پانصد میلیون حذف شدند.</t>
  </si>
  <si>
    <t>چک شماره 174155 اصلاح شد و مبلغ یک میلیارد و پنجاه میلیون درج شد.</t>
  </si>
  <si>
    <t>مبلغ 1/680/000/000 میلیون با سود مشارکت 8 درصد به سرمایه خانم احیایی اضافه شد.</t>
  </si>
  <si>
    <t>مبلغ سرمایه جدید + چک قبلی ( 174155 به مبلغ 1/050/000/000 تومان ) یک چک داده شد به مبلغ 2/730/000/000 تومان</t>
  </si>
  <si>
    <t>چک 174155 تحویل آقای عبداللهی شد.</t>
  </si>
  <si>
    <t xml:space="preserve">جمع مبلغ تا 13شهریور : </t>
  </si>
  <si>
    <t xml:space="preserve">جمع کل تا اول شهریور : </t>
  </si>
  <si>
    <t>اطلاعات اولیه</t>
  </si>
  <si>
    <t>اطلاعات تا اول شهریور</t>
  </si>
  <si>
    <t>اطلاعات تا سیزده شهریور</t>
  </si>
  <si>
    <t>1402/06/08</t>
  </si>
  <si>
    <t>6091/672621</t>
  </si>
  <si>
    <t>پرداختی مرداد ماه</t>
  </si>
  <si>
    <t>تسویه مرداد ماه - مانده 550 میلیون مرداد ماه چک داده شد</t>
  </si>
  <si>
    <t>احتمالا از تیرماه</t>
  </si>
  <si>
    <t>مبلغ 47/350/000 میلیون از 200 میلیون مجدد برگشت خورد به حساب اقای عبداللهی</t>
  </si>
  <si>
    <t>مبلغ 945 میلیون افزایش سرمایه داشتند که برای مهرماه با سود 7 درصد و از مهرماه سئد 8 درصد خواهد گردید.</t>
  </si>
  <si>
    <t>مبلغ سود 945 میلیون برای شهریور ماه 66 میلیون میشود که 18 روز آن محاسبه گردید و به اصل مبلغ اضافه شد. (983/000/000=38/000/000+945/000/0000)</t>
  </si>
  <si>
    <t>مانده شهریور ماه + سود خانم مرضیه عبداللهی به اصل مبلغ اضافه گردید.</t>
  </si>
  <si>
    <t>به اصل مبلغ آقای احمد عبداللهی اضافه گردید.</t>
  </si>
  <si>
    <t>واریزی بیستم مهر</t>
  </si>
  <si>
    <t>از دو مبلغ اولیه هرچی سرمایه اضافه بشه با درصد سود 8 میباشد.</t>
  </si>
  <si>
    <t>الباقی مانده  سود به اصل مبلغ آقای احمد عبداللهی اضافه گردید.</t>
  </si>
  <si>
    <t>چک 599124</t>
  </si>
  <si>
    <t>تسویه شهریور ماه - سفته های 049885 و 049886 و 977161 از اقای محمودی به مبلغ 245 میلیون تحویل گرفته شدند.</t>
  </si>
  <si>
    <t>حسین رشیدی</t>
  </si>
  <si>
    <t>این دو مبلغ راسی شدند به تاریخ 1402/01/18 چک به مبلغ 1/560/000/000 داده شد.</t>
  </si>
  <si>
    <t>سرمایه جدید</t>
  </si>
  <si>
    <t>چندماهه</t>
  </si>
  <si>
    <t>چک</t>
  </si>
  <si>
    <t>مبلغ 700 میلیون در تاریخ یکم شهریور اضافه شد.</t>
  </si>
  <si>
    <t>مبلغ 400 میلیون در تاریخ هشتم شهریور اضافه شد.</t>
  </si>
  <si>
    <t>مبلغ 36 میلیون بابت سود های 700 و 400 میلیون تا تاریخ 18 شهریور + 14 میلیون واریزی جدید</t>
  </si>
  <si>
    <t>سود 700 میلیون از یک شهریور تا هفتم شریور شد : 11/064/000 تومان</t>
  </si>
  <si>
    <t>سود 1/100/000/000  میلیون از هشتم شریور هفدهم شد : 24/838/000 تومان</t>
  </si>
  <si>
    <t>واریزی بعدی 18 مهر ماه</t>
  </si>
  <si>
    <t>از 1401/07/18 تا 1401/11/18 سود میگیرند و دو ماه اخر یعنی 1401/12/18 و 1402/01/18 روی چک اصل مبلغ کشیده شد.</t>
  </si>
  <si>
    <t>اصل پول 50 میلیون ماهیانه با سود سه میلیون و 50 میلیون راسی سه ساله</t>
  </si>
  <si>
    <t>چک 343382</t>
  </si>
  <si>
    <t xml:space="preserve">علیرضا نقی پور </t>
  </si>
  <si>
    <t>چک 3374/939988</t>
  </si>
  <si>
    <t>چک تجارت 3374/939989</t>
  </si>
  <si>
    <t>1401/08/15</t>
  </si>
  <si>
    <t>چک 0063/857079</t>
  </si>
  <si>
    <t>چک 111 میلیون مبلغ 11 میلیون واریز شد و 100 میلیون مانده - چک 3374/939980</t>
  </si>
  <si>
    <t>سفته 25 میلیونی بهشون داده شد.</t>
  </si>
  <si>
    <t>مهدی مستمند</t>
  </si>
  <si>
    <t>مبلغ 5 میلیون افزایش سرمایه داشتند.</t>
  </si>
  <si>
    <t>زهره هزاره</t>
  </si>
  <si>
    <t xml:space="preserve">در تاریخ 31 شهریور به شماره شبا 3430 آقای عبداللهی واریز شد - سه ماهه </t>
  </si>
  <si>
    <t>مبلغ 10 میلیون تومان در تاریخ 1401/06/12 اضافه شد.</t>
  </si>
  <si>
    <t>مبلغ 10 مبلبون تومان درتاربخ 1401/05/20 واریز شد.</t>
  </si>
  <si>
    <t>مبلغ 10 میلیون تومان در تاریخ 1401/05/19 واریز شد.</t>
  </si>
  <si>
    <t>مبلغ 10 میلیون تومان در تاریخ 1401/06/02 اضافه شد.</t>
  </si>
  <si>
    <t>سفته نداشتند.</t>
  </si>
  <si>
    <t>1401/08/01</t>
  </si>
  <si>
    <t>1402/01/17</t>
  </si>
  <si>
    <t>1402/03/22</t>
  </si>
  <si>
    <t>افزایش سرمایه در تاریخ 1401/07/02</t>
  </si>
  <si>
    <t>مبلغ آبان ماه</t>
  </si>
  <si>
    <t>آقای غلامرضا یگانه -کل ضمانت ها 1/036/000/000 میلیون تومان است - مبلغ 895/000/000 تومان ضمانت ندارند.</t>
  </si>
  <si>
    <t>اصل 150 میلیون ماهیانه 9 میلیون تومان ششم هر ماه واریز شود. در تاریخ 20 شهریور واریز شده</t>
  </si>
  <si>
    <t>در تاریخ 1401/07/04 واریز شده است.</t>
  </si>
  <si>
    <t>1401/06/29</t>
  </si>
  <si>
    <t>شبا 9002</t>
  </si>
  <si>
    <t>6037-7014-3253-1322</t>
  </si>
  <si>
    <t>شبا بانک 4957</t>
  </si>
  <si>
    <t>سید قادر حسینی</t>
  </si>
  <si>
    <t>5892-1011-0606-4526</t>
  </si>
  <si>
    <t>مبلغ 20 میلیون از اصل پول تسویه شد.</t>
  </si>
  <si>
    <t>1401/06/30</t>
  </si>
  <si>
    <t>واریز به کارت 2493</t>
  </si>
  <si>
    <t>مبلغ یک میلیارد در تاریخ 1401/06/30 اضافه شد.</t>
  </si>
  <si>
    <t>حبیب علمی</t>
  </si>
  <si>
    <t>شروع مشارکت از 1401/06/30</t>
  </si>
  <si>
    <t>مبلغ 70 میلیون در تاریخ 1401/06/30 و مبلغ 50 میلیون در تاریخ 1401/07/02 گداشتند.</t>
  </si>
  <si>
    <t>1401/09/30</t>
  </si>
  <si>
    <t>چک 1803/152091/13</t>
  </si>
  <si>
    <t>واریز به کارت 9198</t>
  </si>
  <si>
    <t>واریز به کارت 5923</t>
  </si>
  <si>
    <t>واریز به حساب 4337</t>
  </si>
  <si>
    <t>تسویه 29 شهریور</t>
  </si>
  <si>
    <t>واریز به کارت 2974</t>
  </si>
  <si>
    <t>واریز به کارت 9102</t>
  </si>
  <si>
    <t>واریز به کارت 8275</t>
  </si>
  <si>
    <t>واریز به کارت 9903</t>
  </si>
  <si>
    <t>مبلغ 80 میلیون مانده از 85 میلیون بیستم  به اصل مبلغ اضافه شد.</t>
  </si>
  <si>
    <t>شبا بانک 6352</t>
  </si>
  <si>
    <t>از سود دوم مهر 15 میلیون در شهریورماه پرداخت شد.</t>
  </si>
  <si>
    <t>مبلغ 25 میلیون ماه گدشته اضافه واریز شده که 17/500 سود مهر رو برداشتند و مابقی رو برگشت میزنند.</t>
  </si>
  <si>
    <t xml:space="preserve">برای 30 میلیون سفته تحویل نگرفتند. </t>
  </si>
  <si>
    <t>مبلغ صد میلیون از سود مشارکت مهر ماه ماه به اصل مبلغ اضافه شد - اصل مبلغ برای یکم مهر 1/800/000 تومان</t>
  </si>
  <si>
    <t>مبلغ 2/400/000 واریز شود و مبلغ 3 میلیون به اصل مبلغ اضافه شود - اصل مبلغ برای اول مهر ماه 111 میلیون میباشد.</t>
  </si>
  <si>
    <t>مبلغ 30 میلیون در تاربخ 1401/06/17 افزایش سرمایه دادند.</t>
  </si>
  <si>
    <t>مانده اصل پول</t>
  </si>
  <si>
    <t>مبلغ 7 تومن با تاییدیه اقای عبداللهی اضافه و اصل پول 100 تومان شد.</t>
  </si>
  <si>
    <t>مبلغ 10/000/000 از سود مهر ماه در شهریور پرداخت شد و مانده سود شهریور 14/500/000 تومان میباشد.</t>
  </si>
  <si>
    <t>تا 4 مهر تسویه کامل شده است - مبلغ 160/000/000 میلیون تومان در تاریخ 1401/06/16 افزایش سرمایه داشتند.</t>
  </si>
  <si>
    <t>1401/07/05</t>
  </si>
  <si>
    <t>واریز به کارت 9006</t>
  </si>
  <si>
    <t>شبا بانک 6239</t>
  </si>
  <si>
    <t>1401/07/04</t>
  </si>
  <si>
    <t>شبا بانک 6612</t>
  </si>
  <si>
    <t>شبا بانک 7604</t>
  </si>
  <si>
    <t>شبا بانک 7355</t>
  </si>
  <si>
    <t>واریز به کارت 2751</t>
  </si>
  <si>
    <t>شبا بانک 3002</t>
  </si>
  <si>
    <t>1401/07/03</t>
  </si>
  <si>
    <t>6104-3375-3340-0055</t>
  </si>
  <si>
    <t>عباس امام وردی</t>
  </si>
  <si>
    <t>1401/07/*03</t>
  </si>
  <si>
    <t>واریز به کارت 9618</t>
  </si>
  <si>
    <t>6037-7014-5319-9801</t>
  </si>
  <si>
    <t>پریسا غفاری پور</t>
  </si>
  <si>
    <t>واریز به کارت 6527</t>
  </si>
  <si>
    <t>1401/0/02</t>
  </si>
  <si>
    <t>مراد غلامی</t>
  </si>
  <si>
    <t>شبا 2809</t>
  </si>
  <si>
    <t>1401/07/01</t>
  </si>
  <si>
    <t>شبا بانک 4830</t>
  </si>
  <si>
    <t>6104-3389-5015-1866</t>
  </si>
  <si>
    <t>1401/06/31</t>
  </si>
  <si>
    <t>شبا بانک8752</t>
  </si>
  <si>
    <t>شبا 63000</t>
  </si>
  <si>
    <t>شبا 3201</t>
  </si>
  <si>
    <t>واریزی بعدی یک آبان</t>
  </si>
  <si>
    <t>شبابانک 8675</t>
  </si>
  <si>
    <t>شبا بانک 8675</t>
  </si>
  <si>
    <t>واریز به کارت 0514</t>
  </si>
  <si>
    <t>واریز به کارت 7085</t>
  </si>
  <si>
    <t>شبا بانک 8812</t>
  </si>
  <si>
    <t>تسویه مهر ماه</t>
  </si>
  <si>
    <t>فکر میکنم مهر در شهریور تسویه شده است.</t>
  </si>
  <si>
    <t>محمدرضا محمدی بمرود</t>
  </si>
  <si>
    <t>شبا بانک 4009</t>
  </si>
  <si>
    <t>زهرا هزاره</t>
  </si>
  <si>
    <t>140106/31</t>
  </si>
  <si>
    <t>6037-7011-9222-1874</t>
  </si>
  <si>
    <t>6037-6915-6515-0893</t>
  </si>
  <si>
    <t>مبلغ 4 میلیون اضافه رو برگشت زدن</t>
  </si>
  <si>
    <t>مادر آقای ...... از گرماب</t>
  </si>
  <si>
    <t>در تاریخ 6 مهر اضافه شدند.</t>
  </si>
  <si>
    <t>شبا بانک 9010</t>
  </si>
  <si>
    <t>سکینه هژبر</t>
  </si>
  <si>
    <t>1401/07/09</t>
  </si>
  <si>
    <t>شبا بانک 6571</t>
  </si>
  <si>
    <t>شبا بانک 3212</t>
  </si>
  <si>
    <t>شبا بانک 9601</t>
  </si>
  <si>
    <t>شبا بانک 5499</t>
  </si>
  <si>
    <t>شبا بانک 8009</t>
  </si>
  <si>
    <t>شبا بانک 3824</t>
  </si>
  <si>
    <t>واریز به کارت 3506</t>
  </si>
  <si>
    <t>6037-7017-1565-8982</t>
  </si>
  <si>
    <t>شبا بانک 8677</t>
  </si>
  <si>
    <t>واریز به کارت 2987</t>
  </si>
  <si>
    <t>پاس شد.</t>
  </si>
  <si>
    <t>1401/10/10</t>
  </si>
  <si>
    <t>برای صد میلیون سفته داده شد و مبلغ پنج میلیون سفته ندادیم.</t>
  </si>
  <si>
    <t>گل افروز کامگار (علی کامگار)</t>
  </si>
  <si>
    <t>واریز به کارت 2092</t>
  </si>
  <si>
    <t>واریز به کارت علی کامگار</t>
  </si>
  <si>
    <t>شبا بانک 5004</t>
  </si>
  <si>
    <t>شباا بانک 8862</t>
  </si>
  <si>
    <t>واریز به کارت 3902</t>
  </si>
  <si>
    <t>برای دو ماه شهریور و مهر پرداخت شد.</t>
  </si>
  <si>
    <t>شبا بانک 4447</t>
  </si>
  <si>
    <t>واریز به کارت 5913</t>
  </si>
  <si>
    <t>واریز به کارت 7498</t>
  </si>
  <si>
    <t>شبا انک 6755</t>
  </si>
  <si>
    <t>از آبان ماه مبلغ 4 میلیون کامل واریز میشود.</t>
  </si>
  <si>
    <t>واریز به کارت 8409</t>
  </si>
  <si>
    <t>واریز به کارت 2921</t>
  </si>
  <si>
    <t>1401/07/10</t>
  </si>
  <si>
    <t>واریز به کارت 3908</t>
  </si>
  <si>
    <t>مبلغ 40 میلیون افزایش سرمایه داشتند</t>
  </si>
  <si>
    <t>واریز به کارت 2968</t>
  </si>
  <si>
    <t>مبینا رفیعی (محمود رفیعی)</t>
  </si>
  <si>
    <t>واریز به کارت 2758</t>
  </si>
  <si>
    <t>برای دو ماه شهریور و مهر به کارت محمود رفیعی پرداخت شد.</t>
  </si>
  <si>
    <t>شبا بانک 0112</t>
  </si>
  <si>
    <t>شبا بانک 80000</t>
  </si>
  <si>
    <t>مهدی غلامی پل بند</t>
  </si>
  <si>
    <t>شبا بانک 0459</t>
  </si>
  <si>
    <t>مبلغ 50 میلیون در تاریخ 1401/06/31 افزایش سرمایه داشتند.</t>
  </si>
  <si>
    <t>مبلغ 5 میلیون از تاریخ 13 مرداد تا 7 مهر به مدت 56 روز محاسبه شد. 453/600=8100*56</t>
  </si>
  <si>
    <t>مبلغ 5 میلیون از تاریخ 12 مرداد تا 7 مهر به مدت 57 روز محاسبه شد. 461/700=8100*57</t>
  </si>
  <si>
    <t>مبلغ 5 میلیون از تاریخ 23 مرداد تا 7 مهر به مدت 46 روز محاسبه شد. 372/600=8100*46</t>
  </si>
  <si>
    <t>مرضیه بخشی گلستانی</t>
  </si>
  <si>
    <t>مبلغ 50 میلیون از قبل و 5 میلیون جدید مربوط به خانم زینب صولتی مقدم است. (واریز به کارت پارسیان)</t>
  </si>
  <si>
    <t>(واریز به کارت پارسیان)</t>
  </si>
  <si>
    <t>یک سفته 16 میلیون یکساله داشتند که شده 27 میلیون - 27 میلیون + 12/500 شده 39/500/000 - اصل مبلغ شد 50 میلیون ماهیانه 2/500/000 - (واریز به کارت پارسیان)</t>
  </si>
  <si>
    <t>از ماه بعد مبلغ دو میلیون از سود پول کم میشود چون مبلغ خانم بی بی زهرا تنهایی تسویه شده است.</t>
  </si>
  <si>
    <t>مبلغ 400 میلیون به تاریخ 1402/07/06 سفته داده شد.</t>
  </si>
  <si>
    <t>محمد علی اکبرخانی</t>
  </si>
  <si>
    <t>مبلغ 100 میلیون به تاریخ 1402/07/11 سفته داده شد.</t>
  </si>
  <si>
    <t>1401/07/11</t>
  </si>
  <si>
    <t>5892-1012-5731-1742</t>
  </si>
  <si>
    <t>واریز به کارت 4419</t>
  </si>
  <si>
    <t>واریز به کارت زهرا قاسمی تبار</t>
  </si>
  <si>
    <t>شبا بانک 6642</t>
  </si>
  <si>
    <t>سمیه جان محمدی موسی آباد (زهرا عباسی)</t>
  </si>
  <si>
    <t>علی خوردوی گلخطمی (سمیه جان مجمدی موسی آباد)</t>
  </si>
  <si>
    <t>تاریخ سی ام با یازدهم یکی شد و قرار شد هر دو مبلغ در تاریخ یازدهم هرماه واریز شود.</t>
  </si>
  <si>
    <t>141/07/11</t>
  </si>
  <si>
    <t>ام البنین کامگارپور (محسن غلامی)</t>
  </si>
  <si>
    <t>واریز به کارت محسن غلامی</t>
  </si>
  <si>
    <t>مشارکت جدید در تاریخ 1401/06/28</t>
  </si>
  <si>
    <t>مبلغ 102 میلیون در تاریخ 1400/12/28 شش ماهه گذاشتند که 140 میلیون شده است.</t>
  </si>
  <si>
    <t>توسط مهدی غلامی پرداخت شد از هفتم مهرماه ما باید واریز کنیم</t>
  </si>
  <si>
    <t>توسط مهدی غلامی پرداخت شد</t>
  </si>
  <si>
    <t>برای تیر و خرداد</t>
  </si>
  <si>
    <t>اصل پول 10 میلیون تسویه شده است.</t>
  </si>
  <si>
    <t>مبلغ 50 میلیون به تاریخ 1402/07/15 سفته داده شد.</t>
  </si>
  <si>
    <t>مبلغ 200 میلیون به تاریخ 1402/08/25 سفته داده شد.</t>
  </si>
  <si>
    <t>سفته شماره 432137</t>
  </si>
  <si>
    <t>1402/08/25</t>
  </si>
  <si>
    <t>1401/07/13</t>
  </si>
  <si>
    <t>محمد حسین کامگار</t>
  </si>
  <si>
    <t>حساب 8582</t>
  </si>
  <si>
    <t>6362-1411-1484-9418</t>
  </si>
  <si>
    <t>ایستگاه صلواتی</t>
  </si>
  <si>
    <t>6104-3374-2830-8710</t>
  </si>
  <si>
    <t>تسویه مهر ماه و آبان ماه</t>
  </si>
  <si>
    <t>1401/07/14</t>
  </si>
  <si>
    <t>مهدی پابرجای</t>
  </si>
  <si>
    <t>شبا بانک 0343</t>
  </si>
  <si>
    <t>سجاد کامکاری</t>
  </si>
  <si>
    <t>5892-1013-9174-6993</t>
  </si>
  <si>
    <t>مبلغ 3 میلیون پرداخت شد و مبلغ 47 میلیون ماهانه شد - واریزی بعدی دوم آبان</t>
  </si>
  <si>
    <t>واریز به کارت 6668</t>
  </si>
  <si>
    <t>واریز به کارت 7769</t>
  </si>
  <si>
    <t>به حساب ساناز حسن زاده اضافه شد.</t>
  </si>
  <si>
    <t>واریز به کارت 4051</t>
  </si>
  <si>
    <t>واریز به کارت 1032</t>
  </si>
  <si>
    <t>باید برای 3 هفته حساب میشد و اشتباها کامل واریز شد - از سود آبان کسر گردد.</t>
  </si>
  <si>
    <t>علی صدیقی</t>
  </si>
  <si>
    <t>مبلغ ده میلیون افزایش سرمایه داشتند - افزایش سرمایه</t>
  </si>
  <si>
    <t>سودا حسنی ( دختر فاطمه حسنی )</t>
  </si>
  <si>
    <t>سودا حسنی ( دختر فاطمه حسینی )</t>
  </si>
  <si>
    <t>مبلغ ده میلیون افزایش سرمایه داشتند.</t>
  </si>
  <si>
    <t>1401/07/16</t>
  </si>
  <si>
    <t>شبا بانک 1708</t>
  </si>
  <si>
    <t>6104-3389-2810-0912</t>
  </si>
  <si>
    <t>شبا بانک 2864</t>
  </si>
  <si>
    <t>شبا بانک 4417</t>
  </si>
  <si>
    <t>شبا بانک 3522</t>
  </si>
  <si>
    <t>واریز به کارت ریحانه جازاری معمویی</t>
  </si>
  <si>
    <t>مبلغ 2/500/000 تومان اضافه واریز شد که از مهرماه کسر شود.</t>
  </si>
  <si>
    <t>مبلغ 2/500/000 در شهریور پرداخت شد.</t>
  </si>
  <si>
    <t>6037-7015-0438-2083</t>
  </si>
  <si>
    <t>از سود آبان ماه پرداخت شده است.</t>
  </si>
  <si>
    <t>واریز به کارت 3773</t>
  </si>
  <si>
    <t>امین تابانی</t>
  </si>
  <si>
    <t>1407/07/16</t>
  </si>
  <si>
    <t>تسویه اصل پول</t>
  </si>
  <si>
    <t>1401/07/17</t>
  </si>
  <si>
    <t>مشارکت جدید در تاریخ 1401/06/28- مبلغ 102 میلیون در تاریخ 1400/12/28 شش ماهه گذاشتند که 140 میلیون شده است.</t>
  </si>
  <si>
    <t>واریز به کارت 8415</t>
  </si>
  <si>
    <t>تسویه مهرماه</t>
  </si>
  <si>
    <t>5859-8310-0230-5562</t>
  </si>
  <si>
    <t>نرگس اقبال همت ابادی</t>
  </si>
  <si>
    <t>واریز به کارت 8374</t>
  </si>
  <si>
    <t>مبلغ 100 هزار تومان کم واریز شد. ابان ماه پرداخت شود.</t>
  </si>
  <si>
    <t>مبلغ 6 میلیون قرضی در شهریور ماه دادیم که از سود مهرماه کسر شد.</t>
  </si>
  <si>
    <t>امید دولتی میل کاریز</t>
  </si>
  <si>
    <t>واریز به کارت 1914</t>
  </si>
  <si>
    <t>حانیه زردادخانی</t>
  </si>
  <si>
    <t>واریز به کارت 7881</t>
  </si>
  <si>
    <t>فکر کنم از ماه اینده باید کسر شود</t>
  </si>
  <si>
    <t>شبا بانک 6545</t>
  </si>
  <si>
    <t>تسویه مهر و آبان - مبلغ 19 میلیون تومان ضمانت داده نشده است احتمال برداشت و یا یک چک کلی هر دو مبلغ وجود دارد.</t>
  </si>
  <si>
    <t>شبا بانک 5595</t>
  </si>
  <si>
    <t>شبا بانک 6105</t>
  </si>
  <si>
    <t>شبا بانک 6805</t>
  </si>
  <si>
    <t>شبا بانک 5059</t>
  </si>
  <si>
    <t>شبا بانک 7778</t>
  </si>
  <si>
    <t>شبا بانک 5593</t>
  </si>
  <si>
    <t>به کارت علی عزیز عربی واریز شد -شانزدهم تیر 57 تومان و شانزدهم مرداد 62 تومان</t>
  </si>
  <si>
    <t>مازاد چک 482 میلیون</t>
  </si>
  <si>
    <t>شبا بانک 2021</t>
  </si>
  <si>
    <t>شبا بانک 6094</t>
  </si>
  <si>
    <t>علی صمصامی</t>
  </si>
  <si>
    <t>سفته 996154</t>
  </si>
  <si>
    <t>1402/06/25</t>
  </si>
  <si>
    <t>سفته های 186642-698087-186643</t>
  </si>
  <si>
    <t>1401/12/30</t>
  </si>
  <si>
    <t>سی ام</t>
  </si>
  <si>
    <t>در تاریخ سی شهریور مبلغ 200 میلیون واریز شد.</t>
  </si>
  <si>
    <t>1401/07/23</t>
  </si>
  <si>
    <t>شبا بانک 4424</t>
  </si>
  <si>
    <t>تسویه سود یکم مهر ماه</t>
  </si>
  <si>
    <t>تسویه سود یکم آبان ماه</t>
  </si>
  <si>
    <t>شبا بانک 8905</t>
  </si>
  <si>
    <t>مبلغ 4 میلیون در تاریخ 1401/07/18 اضافه شد.</t>
  </si>
  <si>
    <t xml:space="preserve">مانئه مبلغ سپرده گذاری </t>
  </si>
  <si>
    <t>عصمت شبانی</t>
  </si>
  <si>
    <t>زهره کریمی</t>
  </si>
  <si>
    <t>اقدس علیزاده</t>
  </si>
  <si>
    <t>1401/07/19</t>
  </si>
  <si>
    <t>شبا بانک 6002</t>
  </si>
  <si>
    <t>1401/07/20</t>
  </si>
  <si>
    <t>واریز به حساب 5970</t>
  </si>
  <si>
    <t>واریز به کارت 1874</t>
  </si>
  <si>
    <t>1401/07/21</t>
  </si>
  <si>
    <t>شبا بانک 2137</t>
  </si>
  <si>
    <t>6277-6012-9135-5921</t>
  </si>
  <si>
    <t>شبا بانک 1008</t>
  </si>
  <si>
    <t>شبا بانک 0765</t>
  </si>
  <si>
    <t>در تاریخ 1401/07/19 به اصل مبلغ اضافه شد که تا تاریخ کم محاسبه شود.</t>
  </si>
  <si>
    <t>1401/07/24</t>
  </si>
  <si>
    <t>از مبلغ آبان ماه پرداخت شد - در تاریخ 1401/07/17 مقرر شد از آبان ماه درصد 6 درصد شود.</t>
  </si>
  <si>
    <t>قرضی</t>
  </si>
  <si>
    <t>مرتضی نیکفرجام</t>
  </si>
  <si>
    <t>مبلغ 45 میلیون به تاریخ 1402/06/05 سفته داده شد. شماره سفته : 438085</t>
  </si>
  <si>
    <t>مبلغ 60 میلیون تومان در تاریخ 1401/07/18 دریافت شد.</t>
  </si>
  <si>
    <t>1401/07/25</t>
  </si>
  <si>
    <t>شبا بانک 6455</t>
  </si>
  <si>
    <t>شبا بانک 1133</t>
  </si>
  <si>
    <t>شبا بانک 0843</t>
  </si>
  <si>
    <t>شبا بانک 0301</t>
  </si>
  <si>
    <t>زهرا خالقی</t>
  </si>
  <si>
    <t>مبلغ 10 میلیون به تاریخ 1402/07/25 سفته داده شد. شماره سفته : 659146 و 659148</t>
  </si>
  <si>
    <t>شبا بانک 0009</t>
  </si>
  <si>
    <t xml:space="preserve">جواد عباسپور </t>
  </si>
  <si>
    <t>مبلغ 200 میلیون به تاریخ 1402/07/26 سفته داده شد. شماره سفته : 588608 و 588612</t>
  </si>
  <si>
    <t>1401/07/26</t>
  </si>
  <si>
    <t>واریز به کارت 5184</t>
  </si>
  <si>
    <t>معصومه غلامی (علی غلامی)</t>
  </si>
  <si>
    <t>شبا بانک 8008</t>
  </si>
  <si>
    <t>فاطمه میرانی نژاد (علی میرانی)</t>
  </si>
  <si>
    <t>شبا بانک 5879</t>
  </si>
  <si>
    <t>شبا بانک 6009</t>
  </si>
  <si>
    <t>جواد خدا دوست (سمیه خدادوست)</t>
  </si>
  <si>
    <t>شبا بانک 8906</t>
  </si>
  <si>
    <t>واریز به کارت 2446</t>
  </si>
  <si>
    <t>واریز به کارت 6532</t>
  </si>
  <si>
    <t>سمانه شیردل شرقی</t>
  </si>
  <si>
    <t>6362-1411-1393-6745</t>
  </si>
  <si>
    <t>حسن عباسپور</t>
  </si>
  <si>
    <t>واریز به کارت 4415</t>
  </si>
  <si>
    <t>1401/07/27</t>
  </si>
  <si>
    <t>محمد پرویزی مقدم</t>
  </si>
  <si>
    <t>5892-1010-2897-6351</t>
  </si>
  <si>
    <t>صغری اسداللهی</t>
  </si>
  <si>
    <t>6274-1212-0006-6249</t>
  </si>
  <si>
    <t>1401/07/28</t>
  </si>
  <si>
    <t>واریز به کارت 2160</t>
  </si>
  <si>
    <t>منیره رستگار مقدم اصغری</t>
  </si>
  <si>
    <t>شبا بانک 9293</t>
  </si>
  <si>
    <t>1402/01/10</t>
  </si>
  <si>
    <t>سفته های 976090-976089-976091</t>
  </si>
  <si>
    <t>احمد رضا علی پور</t>
  </si>
  <si>
    <t>در تاریخ 1401/07/12 مبلغ 100 میلیون اضافه شد و برای 8 روز تا بیستم محاسبه شد که برابر 2/133/000 تومان شد.</t>
  </si>
  <si>
    <t>در تاریخ 1401/07/13 مبلغ 100 میلیون اضافه شد و برای 7 روز تا بیستم محاسبه شد که برابر 1/866/000 تومان شد.</t>
  </si>
  <si>
    <t>در تاریخ 1401/07/14 مبلغ 100 میلیون اضافه شد و برای 6 روز تا بیستم محاسبه شد که برابر 1/600/000 تومان شد.</t>
  </si>
  <si>
    <t>سود بیستم مهر ماه :</t>
  </si>
  <si>
    <t>جمع واریزی به ما درمهر ماه :</t>
  </si>
  <si>
    <t>اطلاعات جدید آقای جوینی</t>
  </si>
  <si>
    <t>قرار شد ماهی 39 میلیون از سودمهر و آبان کم شود تا 78 میلیون سفته راسی تسویه شود.</t>
  </si>
  <si>
    <t>بابت سفته راسی مهر و ابان کم میشود.</t>
  </si>
  <si>
    <t>ساناز حسن زاده</t>
  </si>
  <si>
    <t>مبلغ 9 میلیون در تاریخ 1401/07/16 واریز شد.</t>
  </si>
  <si>
    <t>مبلغ 5 میلیون در تاریخ 1401/07/16 واریز شد.</t>
  </si>
  <si>
    <t>مبلغ 10/800/000 تومان از حساب قاسم جوینی به خانم حسن زاده اضافه شد.</t>
  </si>
  <si>
    <t>برداشت از کارت</t>
  </si>
  <si>
    <t>هزینه ماهیانه حقوق</t>
  </si>
  <si>
    <t>هزینه تبلیغات</t>
  </si>
  <si>
    <t>غلام احمد حسینی</t>
  </si>
  <si>
    <t>مبلغ 93 میلیون در تاریخ 1401/07/30 واریز شد - الباقی یکم آبان</t>
  </si>
  <si>
    <t>1401/07/30</t>
  </si>
  <si>
    <t>سفته تحویل آقای عبداللهی شد.</t>
  </si>
  <si>
    <t>در تاریخ 1401/04/04 واریز شد.</t>
  </si>
  <si>
    <t>از گرفتن اصل پشیمون شدند . مبلغ 13/942/000 تومان در تاریخ 1401/07/23 برگشت زدند - باید 192/000 براشون بریزیم.</t>
  </si>
  <si>
    <t>سفته های 588606 - 069995</t>
  </si>
  <si>
    <t>چهار ساله</t>
  </si>
  <si>
    <t>در تاریخ 1401/07/30 واریز شد.</t>
  </si>
  <si>
    <t>مبلغ 10 میلیون در تاریخ 1401/07/11 افزایش سرمایه داشتند.</t>
  </si>
  <si>
    <t>مبلغ 100 میلیون آقای ابراهیم قویبازو شکوری ماهانه واریز کردند و مبلغ 15 میلیون اقای محمد بیدل سه ساله گذاشتند.</t>
  </si>
  <si>
    <t>ابراهیم قویبازو شکوری</t>
  </si>
  <si>
    <t>شروع سرمایه گذاری در تاریخ بیستم مهر ماه توسط مهدی غلامی</t>
  </si>
  <si>
    <t>محمد بیدل</t>
  </si>
  <si>
    <t>توسط مهدی غلامی در تاریخ 1401/07/20</t>
  </si>
  <si>
    <t>افزایش سرمایه در تاریخ 1401/07/04</t>
  </si>
  <si>
    <t>افزایش سرمایه در تاریخ 1401/07/11</t>
  </si>
  <si>
    <t>مبلغ 5 میلیون در تاریخ 1401/06/30افزایش سرمایه داشتند.</t>
  </si>
  <si>
    <t>لیلا جلالی - مراد غلامی</t>
  </si>
  <si>
    <t>در تاریخ دهم مهر ماه به حساب ملت آقای عبدالهی واریز شده است.</t>
  </si>
  <si>
    <t>محمد صادق خالقی ( داماد مراد غلامی)</t>
  </si>
  <si>
    <t>در تاریخ یازدهم مهر ماه مبلغ 190 میلیون به حساب ملت آقای عبداللهی واریز شد که صد میلیون سه ساله و 90 میلیون ماهانه محاسبه شود.</t>
  </si>
  <si>
    <t>1404/07/11</t>
  </si>
  <si>
    <t>واریز به کارت ابوالفضل برات نیا - اصل پول هفتاد میلیون ( مبلغ پنجاه میلیون در تاریخ 1401/07/03 رستوران کارت کشیدند و مبلغ 20 میلیون طی دو واریزی ده میلیون</t>
  </si>
  <si>
    <t>در تاریخ های سوم مهر و چهارم مهر به حساب ملی آقای عبداللهی واریز کردند.</t>
  </si>
  <si>
    <t>حلیمه خالقی</t>
  </si>
  <si>
    <t>سفته 435153</t>
  </si>
  <si>
    <t>چک 30/28/905041 بانک صادرات به تاریخ 1401/04/29 به مبلغ 38 میلیون تحویل ما شد و مبلغ راسی شد.</t>
  </si>
  <si>
    <t>حسین رضایی</t>
  </si>
  <si>
    <t>مبلغ 100 میلیون تومان توسط علی اقا در تاریخ 1401/07/30 به حساب ملت 3430 اقای عبداللهی واریز شد - شماره پیگیری : 706474</t>
  </si>
  <si>
    <t>مبلغ 30 میلیون تومان توسط علی اقا در تاریخ 1401/07/30 به حساب ملت 3430 اقای عبداللهی واریز شد - شماره پیگیری : 706474 و 20 میلیون تا اخر ماه - سفته 951395</t>
  </si>
  <si>
    <t>مبلغ 10 میلیون از سمت خانم نجمه ایمانی به سمت ایشان آمده است.</t>
  </si>
  <si>
    <t>مبلغ 10 میلیون از حساب خانم ایمانی به سمت آقای علی اکبر باقریان رفته اشت</t>
  </si>
  <si>
    <t>در تاریخ 1401/07/09 اضافه شد - اول آبان ماه 20 روز محاسبه میگردد و از اول آذر ماه کامل میشود.</t>
  </si>
  <si>
    <t>مبلغ 21 میلیون در تاریخ 1401/04/13 به حساب کشاورزی واریز شد.</t>
  </si>
  <si>
    <t>در تاریخ 1400/11/02 مبلغ 25 میلیون و 1400/12/01 مبلغ 10 میلیون واریز شد که تا دوم مهر شد 50 میلیون</t>
  </si>
  <si>
    <t>چک 3374/939972</t>
  </si>
  <si>
    <t>فکر کنم مبلغ ماهیانه شد.</t>
  </si>
  <si>
    <t>یازدهم</t>
  </si>
  <si>
    <t>مبلغ 20 میلیون ماهانه داشتند ماهی یک میلیون و مبلغ 20 میلیون سالانه داشتند که 33 میلیون شده بود.</t>
  </si>
  <si>
    <t>مبلغ 20 میلیون ماهانه تسویه شد و مبلغ 33 میلیون سالانه بصورت ماهانه شد.</t>
  </si>
  <si>
    <t>حسین کامگار</t>
  </si>
  <si>
    <t>مبلغ 470 میلیون در تاریخ 1401/07/30 به حساب سپه 8318 اقای عبداللهی واریز شد.</t>
  </si>
  <si>
    <t>1402/07/30</t>
  </si>
  <si>
    <t>قرار شد ماهی 28 میلیون سود بگیرند اما بعد یکسال ( دوازده ماه هر ماه 28 میلیون به اصل مبلغ اضافه میشود.)</t>
  </si>
  <si>
    <t>در تاریخ 1401/07/30 مبلغ 150 میلیون اضافه شد برای 5 روز تا تاریخ پنجم 1/600/000 تومان شد.</t>
  </si>
  <si>
    <t>سود پنجم آبان + 1/600/000 به اصل مبلغ اضافه شد و مبلغ 70/400/000 واریز میکنند.</t>
  </si>
  <si>
    <t>بابت این دوتا مبلغ ضمانت ندارند و چک آقای احمد کامگار باید برگشت شود.</t>
  </si>
  <si>
    <t>مهر 1401</t>
  </si>
  <si>
    <t>آبان 1401</t>
  </si>
  <si>
    <t>آذر 1401</t>
  </si>
  <si>
    <t>دی 1401</t>
  </si>
  <si>
    <t>بهمن 1401</t>
  </si>
  <si>
    <t>اسفند 1401</t>
  </si>
  <si>
    <t>سود اول شهریور -1401/06/01</t>
  </si>
  <si>
    <t>سود اول مهر-1401/07/04</t>
  </si>
  <si>
    <t>سود اول آذر</t>
  </si>
  <si>
    <t>حمیدرضا فلاحیان</t>
  </si>
  <si>
    <t>زینب کریمی</t>
  </si>
  <si>
    <t>مبلغ 10 میلیون تومان در تاریخ 1401/07/28 دریافت شد.</t>
  </si>
  <si>
    <t>مبلغ 5/488/000 تومان در تاریخ 1401/07/17 به کارت 1325 آقای عبداللهی واریز کردند.</t>
  </si>
  <si>
    <t>ملک جوینی</t>
  </si>
  <si>
    <t>مبلغ 1 تومان در تاریخ 1401/07/09 به کارت 1325 آقای عبداللهی و مبلغ 66 میلیون تومان در تاریخ1401/07/10 به حساب5978  واریز کردند.</t>
  </si>
  <si>
    <t>مبلغ 25 میلیون به اصل پول اضاف شد.</t>
  </si>
  <si>
    <t>از 25 میلیون افزایش سرمایه مبلغ 3 میلیون سود شهریور خودشون و مبلغ 18/250 سود شهربانو قدم دخت کسر و مبلغ3/750 در تاریخ 1401/06/29 به کارت 1325 واریز شد.</t>
  </si>
  <si>
    <t>مبلغ صد میلیون از سود اول آبان به اصل مبلغ اضافه شد - اول آذر ماه</t>
  </si>
  <si>
    <t>1401/07/29</t>
  </si>
  <si>
    <t>واریز به کارت 4580</t>
  </si>
  <si>
    <t xml:space="preserve">برداشت از حساب صادرات </t>
  </si>
  <si>
    <t>به اصل مبلغ اضافه مشود.</t>
  </si>
  <si>
    <t xml:space="preserve">مبلغ با قیمانده به اصل مبلغ اضافه شد. چک گرفتن به تاریخ 1402/07/08 </t>
  </si>
  <si>
    <t>واریز به ملت آقای غبداللهی</t>
  </si>
  <si>
    <t>مبلغ جدید برای اول آذر</t>
  </si>
  <si>
    <t>واریز به کارت 1455</t>
  </si>
  <si>
    <t>واریز به کارت عذری غلامی</t>
  </si>
  <si>
    <t>سود اول آبان ماه پرداخت شد.</t>
  </si>
  <si>
    <t>واریز به کارت طاهره کامکاری</t>
  </si>
  <si>
    <t>شیرینی</t>
  </si>
  <si>
    <t>مبلغ 20 میلیون تومان در تاریخ 1401/06/25 واریز شد - فیش واریزی چک شود. (ده میلیون دوماهه و ده میلیون شش ماهه)</t>
  </si>
  <si>
    <t>شبا بانک 7002</t>
  </si>
  <si>
    <t>شبا بانک 9002</t>
  </si>
  <si>
    <t>شبا بانک 5961</t>
  </si>
  <si>
    <t>واریزی بعدی یکم آذر</t>
  </si>
  <si>
    <t>امیر مهدی رضایی</t>
  </si>
  <si>
    <t>مبلغ 288/000/000 تومان از سود مرداد ماه به اصل مبلغ اضافه شود - مرداد ماه تسویه شد</t>
  </si>
  <si>
    <t>مبلغ 10 میلیون تومان در تاریخ 1401/07/09 واریز شد.</t>
  </si>
  <si>
    <t>مبلغ پنج میلیون در تاریخ 1401/08/02 افزایش سرمایه داشتند. از پنجم آذر ماه درصد سود پنج درصد میشود.</t>
  </si>
  <si>
    <t>مبلغ 10 میلیون تومان در تاریخ 1401/08/02 به کارت 1401 اقای عبداللهی واریز شد.</t>
  </si>
  <si>
    <t>از سود آبان ماه هشت میلیون پرداخت شده است.</t>
  </si>
  <si>
    <t>سود آبان ماه تسویه شده است.</t>
  </si>
  <si>
    <t>مبلغ صد میلیون از سود مشارکت آبان ماه ماه به اصل مبلغ اضافه شد - اصل مبلغ برای یکم آذر1/900/000 تومان</t>
  </si>
  <si>
    <t>اصل مبلغ برای یکم آذر</t>
  </si>
  <si>
    <t>سود آبان ماه پرداخت شده است.</t>
  </si>
  <si>
    <t>مبلغ 10/000/000 از سود آبان ماه در مهر پرداخت شد  - در تاریخ 1401/07/17 مقرر شد از آبان ماه درصد 6 درصد شود.</t>
  </si>
  <si>
    <t>مبلغ 110 میلیون قرار بود براشون واریز بشه اما از پول دستشون خودشون برداشت کردند.</t>
  </si>
  <si>
    <t>واریز به کارت امید ملکی</t>
  </si>
  <si>
    <t xml:space="preserve">بیست و هفتم </t>
  </si>
  <si>
    <t>مشارکت جدید در تاریخ 1401/07/10 - واریز به کارت پارسیان</t>
  </si>
  <si>
    <t>جمع تا اول مهر ماه :</t>
  </si>
  <si>
    <t>جمع تا اول آبان ماه :</t>
  </si>
  <si>
    <t>مبلغ 10 میلیون در تاریخ 1401/08/07 به کارت صادرات آقای عبداللهی واریز شد.</t>
  </si>
  <si>
    <t>مبلغ 10 میلیون در تاریخ 1401/07/01 به حساب 1325 اقای عبداللهی واریز شد.</t>
  </si>
  <si>
    <t>مبلغ 8/400/000 تومان در تاریخ 1401/07/01 به حساب 1325 اقای عبداللهی واریز شد.</t>
  </si>
  <si>
    <t>پرداختی دهم آذرماه</t>
  </si>
  <si>
    <t>سود آبان ماه به اصل مبلغ اضافه شد.</t>
  </si>
  <si>
    <t>مبلغ ده میلیون در تاریخ 1401/07/07 واریز کردند.</t>
  </si>
  <si>
    <t>مبلغ ده میلیون در تاریخ 1401/07/08 واریز کردند.</t>
  </si>
  <si>
    <t>مبلغ ده میلیون در تاریخ 1401/07/09 واریز کردند.</t>
  </si>
  <si>
    <t>مبلغ ده میلیون در تاریخ 1401/07/10واریز کردند.</t>
  </si>
  <si>
    <t>مبلغ ده میلیون در تاریخ 1401/07/13 واریز کردند.</t>
  </si>
  <si>
    <t>مبلغ مشارکت اول آبان ماه به اصل مبلغ اضافه شد.</t>
  </si>
  <si>
    <t>آذر ماه - مبلغ 150 میلیون مشارکت با احتساب 27100 دریافت شد. سفته 200 میلیونی داده شد - 50 میلیون بعدا واریز شد.</t>
  </si>
  <si>
    <t>حسن ابراهیمی</t>
  </si>
  <si>
    <t>مبلغ 200 ملیون سفته داده شد - شماره سفته : 976098 - 976099</t>
  </si>
  <si>
    <t>سفته 50 میلیون تحویل آقای عبداللهی شد و سفته 90 میلیون تحویل شد.</t>
  </si>
  <si>
    <t>علیرضا خدادادی آهنگرانی</t>
  </si>
  <si>
    <t>یبیست و هشتم</t>
  </si>
  <si>
    <t>کبری مردان دوست</t>
  </si>
  <si>
    <t>1407/08/02</t>
  </si>
  <si>
    <t>1401/08/02</t>
  </si>
  <si>
    <t>سفته 369206</t>
  </si>
  <si>
    <t>مبلغ 10 میلیون  تاریخ 1401/08/01  از کارت 4882 به کارت 1325 و مبلغ 30 میلیون در تاریخ 1401/08/02 از کارت 9737 به کارت 8318 آقای عبداللهی واریز شد.</t>
  </si>
  <si>
    <t>در تاریخ 1401/08/01 مبلغ 10 میلیون به کارت 1325 و در تاریخ 1401/08/01  مبلغ 10 میلیون  به کارت 1325</t>
  </si>
  <si>
    <t>زینب حدید</t>
  </si>
  <si>
    <t>سفته 163078</t>
  </si>
  <si>
    <t>مجتبی نوشادی فر - محمد نوشادی فر</t>
  </si>
  <si>
    <t>شبا بانک 8752</t>
  </si>
  <si>
    <t>6063-7311-3663-9482</t>
  </si>
  <si>
    <t>مربوط به مهر ماه</t>
  </si>
  <si>
    <t>6037-9971-0194-3760</t>
  </si>
  <si>
    <t>1401/08/03</t>
  </si>
  <si>
    <t>واریز به کارت 0066</t>
  </si>
  <si>
    <t>سود اول آبان 1401/08/03</t>
  </si>
  <si>
    <t>شبا بانک 2689</t>
  </si>
  <si>
    <t>شبا بانک 6003</t>
  </si>
  <si>
    <t>احسان پا برجای</t>
  </si>
  <si>
    <t>محاسبه سود 12 روز مهدی پابرجای</t>
  </si>
  <si>
    <t>6037-9981-4389-7493</t>
  </si>
  <si>
    <t>تسویه کامل مهدی پابرجای</t>
  </si>
  <si>
    <t>قرار شد تمامی مبالغ تا تاریخ 29 مهر ماه یکی شوند - واریزی بعدی 29 آبان ماه</t>
  </si>
  <si>
    <t>برگشت اضافه پولشون</t>
  </si>
  <si>
    <t>واریز به کارت 2307</t>
  </si>
  <si>
    <t>تسویه کامل - واریز به کارت طیبه فیضی</t>
  </si>
  <si>
    <t>واریز به کارت 7183</t>
  </si>
  <si>
    <t>واریز به کارت سمیه نادی</t>
  </si>
  <si>
    <t>از ماه بعد مبلغ 3/500 واریز میشود.</t>
  </si>
  <si>
    <t>واریز به کارت 1078</t>
  </si>
  <si>
    <t>در تاریخ 1401/07/01 مبلغ 75 میلیون به اصل سرمایه اضافه شد.</t>
  </si>
  <si>
    <t>واریز به کارت 6767</t>
  </si>
  <si>
    <t>مبلغ 15 میلیون ( 9/800+ 5/200 ) در تاریخ 1401/05/03 اضافه شده است.</t>
  </si>
  <si>
    <t>سفته 369141</t>
  </si>
  <si>
    <t>1402/08/04</t>
  </si>
  <si>
    <t>1401/08/04</t>
  </si>
  <si>
    <t xml:space="preserve">محمد علی امینی </t>
  </si>
  <si>
    <t>واریز به کارت 0645</t>
  </si>
  <si>
    <t>مبلغ مشارکت جدید در تاریخ اول مهر</t>
  </si>
  <si>
    <t>تسویه پولی که دوم مهر داده بودن و بدون سود برداشت کردند.</t>
  </si>
  <si>
    <t>توسط دخترشون خانم نرگس رمضانی پرداخت شد.</t>
  </si>
  <si>
    <t>سود اول ماه 229/880/000 به اصل مبلغ 1/130/000/000 تومان اضافه میشود .</t>
  </si>
  <si>
    <t>سود برای بیست روز محاسبه میشود تا تاریخ بیستم شود - 12/260/000 تومان</t>
  </si>
  <si>
    <t>سود بیستم مهر ماه به اصل مبلغ تاریخ بیستم اضافه شد.</t>
  </si>
  <si>
    <t>در سود مهر ماه محاسبه شد.</t>
  </si>
  <si>
    <t>اصل مبلغ برای یکم آبان</t>
  </si>
  <si>
    <t>مبلغ 110 میلیون قرار بود براشون واریز بشه اما از گول دستشون خودشون برداشت کردند.</t>
  </si>
  <si>
    <t>مبلغ 5 میلیون در تاریخ 7 مهر اضافه شد. (مربوط به خانم زینب صولتی مقدم)</t>
  </si>
  <si>
    <t>مبلغ 10/500/000 تومان در تاریخ 11 مهر اضافه شد. (مربوط به خانم فاطمه بخشی گلستانی)</t>
  </si>
  <si>
    <t>مشارکت جدید در تاریخ 1401/07/10</t>
  </si>
  <si>
    <t>تسویه سود ده میلیون</t>
  </si>
  <si>
    <t>سود مهرماه تسویه شد.</t>
  </si>
  <si>
    <t xml:space="preserve">تسویه اصل پول ماهانه </t>
  </si>
  <si>
    <t>سود مرداد و شهریور و مهر و 16 روز از ابان حساب شد :1/650/000 +(3/200/000*3)</t>
  </si>
  <si>
    <t>دو مبلغ جدید + 791/250/000 تومان به اصل مبلغ اضافه و چک 935 میلیون  گرفته میشود.</t>
  </si>
  <si>
    <t>اصل مبلغ تسویه میشود.</t>
  </si>
  <si>
    <t>تسویه سفته راسی</t>
  </si>
  <si>
    <t>قرار شد ماهیانه دریافت نکنند.</t>
  </si>
  <si>
    <t>واریز به کارت 9241</t>
  </si>
  <si>
    <t>شبا بانک 5586</t>
  </si>
  <si>
    <t>واریز به کارت 8531</t>
  </si>
  <si>
    <t xml:space="preserve">اسدالله وطن پرست 100 مشارکت جدید و مبلغ 50 محمد علی پورمشارکت جدید -  </t>
  </si>
  <si>
    <t>سود آبان ماه تسویه شد. سودشونو از مشارکت های جدید برداشتند.</t>
  </si>
  <si>
    <t>تسویه اصل مبلغ</t>
  </si>
  <si>
    <t>واریز به حساب 2420</t>
  </si>
  <si>
    <t>در تاریخ 1401/07/10 به شبا 3430 واریز شد.</t>
  </si>
  <si>
    <t>در تاریخ 1401/07/09 به شبا 3430 واریز شد.</t>
  </si>
  <si>
    <t>1401/08/05</t>
  </si>
  <si>
    <t>شبا بانک 4492</t>
  </si>
  <si>
    <t>رویا غلامی</t>
  </si>
  <si>
    <t>شبا بانک 3021</t>
  </si>
  <si>
    <t>مبلغ 62/820/000 در تاریخ 1401/08/05 و مبلغ 6/980/000 در تاریخ 1401/08/05 به ملت اقای عبداللهی واریز شد.</t>
  </si>
  <si>
    <t>مبلغ آذر ماه</t>
  </si>
  <si>
    <t>از آذر ماه</t>
  </si>
  <si>
    <t>زهرا پردل</t>
  </si>
  <si>
    <t>واریز به کارت 1406</t>
  </si>
  <si>
    <t>واریز به کارت 9347</t>
  </si>
  <si>
    <t>اطلاعاتی از واریزی الباقی ایشان ندارم - سفته صد میلیونی تحویل شد.</t>
  </si>
  <si>
    <t>6037-9982-3029-4554</t>
  </si>
  <si>
    <t>کارت 1325</t>
  </si>
  <si>
    <t>حسین کوه پیکر</t>
  </si>
  <si>
    <t>مبلغ 100 میلیون تومان در تاریخ 1402/08/07 سفته داده شد.</t>
  </si>
  <si>
    <t>زهرا صهبائی کیاستی</t>
  </si>
  <si>
    <t>مبلغ 70 میلیون تومان در تاریخ 1402/08/07 سفته داده شد.</t>
  </si>
  <si>
    <t>مبلغ 70 میلیون از سود آبان ماه به اصل مبلغ اضافه شد.</t>
  </si>
  <si>
    <t>6037-7014-5606-2188</t>
  </si>
  <si>
    <t>شبا بانک 6269</t>
  </si>
  <si>
    <t>مبلغ 250 هزار تومان مهرماه کمتر واریز شده بود.</t>
  </si>
  <si>
    <t>شبا بانک 8913</t>
  </si>
  <si>
    <t>واریز به کارت 8031</t>
  </si>
  <si>
    <t>شبا بانک 6590</t>
  </si>
  <si>
    <t>1401/08/07</t>
  </si>
  <si>
    <t>شبابانک 6007</t>
  </si>
  <si>
    <t>نصرت چراغعلی پورطرقی</t>
  </si>
  <si>
    <t>سفته های 126572-778342</t>
  </si>
  <si>
    <t>اصل 50 میلیون دو ساله</t>
  </si>
  <si>
    <t>سفته 126575</t>
  </si>
  <si>
    <t>1403/08/07</t>
  </si>
  <si>
    <t>اسماعیل مختاری</t>
  </si>
  <si>
    <t>محسن دین پرور</t>
  </si>
  <si>
    <t>سفته 350 میلیونی به تاریخ 1402/08/07 داده شد. شماره سفته : 369140</t>
  </si>
  <si>
    <t>1401/08/08</t>
  </si>
  <si>
    <t>واریز به حساب 9003</t>
  </si>
  <si>
    <t>لیلا پنجکه</t>
  </si>
  <si>
    <t>سفته 50 میلیونی به تاریخ 1402/08/05 داده شد. شماره سفته : 192244</t>
  </si>
  <si>
    <t>سود آبان ماه</t>
  </si>
  <si>
    <t>سود آذر ماه - دو بار واریز شده است.</t>
  </si>
  <si>
    <t>1401/09/09</t>
  </si>
  <si>
    <t>شبا بانک 3426</t>
  </si>
  <si>
    <t>1401/08/09</t>
  </si>
  <si>
    <t>شبا بانک 6901</t>
  </si>
  <si>
    <t>سودمهر ماه</t>
  </si>
  <si>
    <t xml:space="preserve">وحید پروانه </t>
  </si>
  <si>
    <t>شبا بانک 9629</t>
  </si>
  <si>
    <t>شبا بانک 0007</t>
  </si>
  <si>
    <t>واریز به کارت 8773</t>
  </si>
  <si>
    <t>واریز به کارت زهرا علی اکبری</t>
  </si>
  <si>
    <t>الهام خدایی کریم آبادی</t>
  </si>
  <si>
    <t>شبا بانک 8440</t>
  </si>
  <si>
    <t>شبا بانک 9553</t>
  </si>
  <si>
    <t>منیر علیمیرزایی</t>
  </si>
  <si>
    <t>6104-3373-5816-5940</t>
  </si>
  <si>
    <t>از ماه بعد کسر شود</t>
  </si>
  <si>
    <t>شبا بانک 1161</t>
  </si>
  <si>
    <t>مشارکت جدید در تاریخ 1401/06/08 - سود تا 4 آبان محاسبه شد و کل پول راسی یک ساله شد و 40 میلیون هم دوباره واریز کردند.</t>
  </si>
  <si>
    <t>اولین واریزی 16 آذر</t>
  </si>
  <si>
    <t>شبا بانک 9746</t>
  </si>
  <si>
    <t>مبلغ 150 میلیون اضافه کردند. 42 میلیون سود علی عزیز عربی + 108 میلیون چک</t>
  </si>
  <si>
    <t>مبلغ 42 میلیون از سود به اصل پول آقای حسین کاشانی اضافه شد.</t>
  </si>
  <si>
    <t>سفته به مبلغ 150 میلیون تومان به تاریخ 1402/08/09 داده شد - شماره سفته : 204174</t>
  </si>
  <si>
    <t>محدثه محمدی استاد</t>
  </si>
  <si>
    <t>سفته به مبلغ 55 میلیون تومان به تاریخ 1402/08/08 داده شد - شماره سفته : 759115</t>
  </si>
  <si>
    <t>سفته به مبلغ 70 میلیون به تاریخ 1402/08/10 داده شد - شماره سفته : 088945</t>
  </si>
  <si>
    <t>اصل مبلغ 340 میلیون و سود 17 میلیون دهم هر ماه</t>
  </si>
  <si>
    <t>1401/08/10</t>
  </si>
  <si>
    <t>شبا بانک 2688</t>
  </si>
  <si>
    <t>شبا بانک 9131</t>
  </si>
  <si>
    <t>شبا بانک 5337</t>
  </si>
  <si>
    <t xml:space="preserve">مبلغ 20 میلیون از اصل پول به حساب خانم مرضیه غلامعلی زاده انتقال یافت - سود آذر ماه </t>
  </si>
  <si>
    <t xml:space="preserve">مبلغ 20 میلیون از اصل پول آقای دده خانی به خانم مرضیه غلامعلی زاده انتقال یافت - سود آذر ماه </t>
  </si>
  <si>
    <t>افزایش سرمایه در تاریخ 1401/07/12</t>
  </si>
  <si>
    <t xml:space="preserve">مجتبی قیامی </t>
  </si>
  <si>
    <t>احسان حسینی زاده</t>
  </si>
  <si>
    <t>اسماعیل حسینی زاده</t>
  </si>
  <si>
    <t xml:space="preserve">در تاریخ 1401/07/12 به حساب 793730216 واریز شده است </t>
  </si>
  <si>
    <t xml:space="preserve">در تاریخ 1401/08/02 به حساب ملی واریز شده است </t>
  </si>
  <si>
    <t>1401/08/11</t>
  </si>
  <si>
    <t>تسویه آبان ماه</t>
  </si>
  <si>
    <t>قرضی احتمالا تسویه آذر ماه</t>
  </si>
  <si>
    <t>مجید توکلی</t>
  </si>
  <si>
    <t>شبا بانک 7182</t>
  </si>
  <si>
    <t>تسویه سود</t>
  </si>
  <si>
    <t>منصوره سهیلی فرد (حمید رازی)</t>
  </si>
  <si>
    <t>سود مهر در شهریور پرداخت شد.</t>
  </si>
  <si>
    <t>منصوره سهیلی فرد ( حمید رازی )</t>
  </si>
  <si>
    <t>تسویه سود مهر</t>
  </si>
  <si>
    <t>تسویه سود شهریور</t>
  </si>
  <si>
    <t>s</t>
  </si>
  <si>
    <t>شبا بانک 6929</t>
  </si>
  <si>
    <t>1401/08/12</t>
  </si>
  <si>
    <t>مبلغ 1/500/000 در تاریخ ........ برگشت دادند.</t>
  </si>
  <si>
    <t>مبلغ اصل 80 میلیون + سود مهر ماه توسط آقای علی عزیز عربی پرداخت شد و صد میلیون به آقای  محمد علی اکبر خانی انتقال یافت.</t>
  </si>
  <si>
    <t>شبا بانک 4393</t>
  </si>
  <si>
    <t>شبا بانک 4976</t>
  </si>
  <si>
    <t xml:space="preserve"> رامین عبداللهی</t>
  </si>
  <si>
    <t>شبا بانک 4068</t>
  </si>
  <si>
    <t>در تاریخ 1401/07/23 به حساب کشاورزی واریز شده است</t>
  </si>
  <si>
    <t>تسویه مهر ماه - واریز به کارت عذری غلامی</t>
  </si>
  <si>
    <t>تسویه شهریور ماه - واریز به کارت عذری غلامی</t>
  </si>
  <si>
    <t>5892-1014-0315-6595</t>
  </si>
  <si>
    <t>6037-7011-3056-4310</t>
  </si>
  <si>
    <t>شبا بانک 3242</t>
  </si>
  <si>
    <t>1401/08/14</t>
  </si>
  <si>
    <t>حساب 4126</t>
  </si>
  <si>
    <t>شبا بانک 7053</t>
  </si>
  <si>
    <t>مبلغ 200 میلیون چک به تاریخ 1401/07/10 تحویل آقای عبداللهی دادند.</t>
  </si>
  <si>
    <t>عاطفه جان محمد موسی آباد ( جلال دل آرام )</t>
  </si>
  <si>
    <t>6037-6976-0921-8869</t>
  </si>
  <si>
    <t>شیرین سادات موسوی ابرده</t>
  </si>
  <si>
    <t>سفته به مبلغ 75 میلیون تومان به تاریخ 1402/08/14 داده شد - شماره سفته : 088944</t>
  </si>
  <si>
    <t>شبا بانک 1006</t>
  </si>
  <si>
    <t>شبا بانک 9005</t>
  </si>
  <si>
    <t>5022-2910-6206-8604</t>
  </si>
  <si>
    <t>واریز به کارت عاطفه حسنی</t>
  </si>
  <si>
    <t>مبلغ 100 میلیون از اصل پول تسویه شد + 10 میلیون تاریخ چک راسی عقب افتاد.</t>
  </si>
  <si>
    <t>1401/08/16</t>
  </si>
  <si>
    <t>5859-8310-7760-0228</t>
  </si>
  <si>
    <t>مبلغ بیستم آذرماه</t>
  </si>
  <si>
    <t>محمد اسماعیلی</t>
  </si>
  <si>
    <t>1402/08/06</t>
  </si>
  <si>
    <t>سفته های 192239 192242</t>
  </si>
  <si>
    <t>سفته 192237</t>
  </si>
  <si>
    <t>1402/06/12</t>
  </si>
  <si>
    <t>محمد امیرشی بهلولی سفته 15 قبلی را گرفتن - 5 به ایشان پرداخت کرده بودیم - 10 میلیون راسی شد 17 به نام علی غلامی</t>
  </si>
  <si>
    <t>حجت امیرشی بهلولی</t>
  </si>
  <si>
    <t>سفته 192240</t>
  </si>
  <si>
    <t>سفته 070100</t>
  </si>
  <si>
    <t>1402/08/01</t>
  </si>
  <si>
    <t>سفته 150 میلیون به تاریخ 1402/08/15 داده شد.</t>
  </si>
  <si>
    <t>حمید فدایی</t>
  </si>
  <si>
    <t>سفته 204177</t>
  </si>
  <si>
    <t>1401/11/15</t>
  </si>
  <si>
    <t>مبلغ 15 میلیون در تاریخ 1401/07/14 واریز کردند که سود به اصل مبلغ اضافه شد</t>
  </si>
  <si>
    <t>مبلغ 14/250/000 تومان واریز کردند + سود 15 میلیون جمعا شد 15 میلیون جدید</t>
  </si>
  <si>
    <t>زهرا عباس پور</t>
  </si>
  <si>
    <t>مبلغ 100 میلیون چک ایران زمین به تاریخ 1401/08/16 تحویل اقای عبداللهی شد و مبلغ 50 میلیون در تاریخ 1401/08/16 به حساب 3430 واریز شد.</t>
  </si>
  <si>
    <t>زهرا بابادی</t>
  </si>
  <si>
    <t>مبلغ 5/488/000 تومان در تاریخ 1401/08/17 به کارت 1325 آقای عبداللهی واریز کردند.</t>
  </si>
  <si>
    <t xml:space="preserve">فاطمه گلبهاری </t>
  </si>
  <si>
    <t>1400/06/27</t>
  </si>
  <si>
    <t>تمدید شد</t>
  </si>
  <si>
    <t>1402/08/27</t>
  </si>
  <si>
    <t>چک 377146</t>
  </si>
  <si>
    <t>واریز به کارت مژگان پورخواجه</t>
  </si>
  <si>
    <t xml:space="preserve">مبلغ 500 هزار تومان در مهر ماه پرداخت شد </t>
  </si>
  <si>
    <t>اصل پول را طی چک 95 میلیون برداشت کردند.</t>
  </si>
  <si>
    <t>شبا بانک 9006</t>
  </si>
  <si>
    <t>مبلغ 70 میلیون در تاریخ 1402/08/16 سفته داده شد - مشارکت جدید شش درصد</t>
  </si>
  <si>
    <t>مبلغ 29 میلیون در تاریخ 1401/08/15 اضافه و تایید شد.</t>
  </si>
  <si>
    <t>محمود میرشکار</t>
  </si>
  <si>
    <t>1402/02/16</t>
  </si>
  <si>
    <t>برای سود چک داده شد - 857054</t>
  </si>
  <si>
    <t>برای اصل پول سفته داده شد - 369142</t>
  </si>
  <si>
    <t>واریز به کارت 5381</t>
  </si>
  <si>
    <t>حسین عطایی</t>
  </si>
  <si>
    <t>در تاریخ 1401/07/30 به حساب 3430 واریز کردند - سه ماهه گذاشتند.</t>
  </si>
  <si>
    <t xml:space="preserve">شبا بانک </t>
  </si>
  <si>
    <t xml:space="preserve">واریز به کارت ریحانه جازاری </t>
  </si>
  <si>
    <t>افزایش سرمایه - چک به مبلغ 25 میلیون و مبلغ 5 میلیون نقدا در تاریخ 1401/07/06 به اصل مبلغ اضافه شد.</t>
  </si>
  <si>
    <t>تاریخ ششم تا چهاردهم محاسبه شد - پرداختی چهاردهم هر ماه</t>
  </si>
  <si>
    <t>سفته به مبلغ 200/000/000 تومان به تاریخ 14012/08/16 داده شد - شماره سفته : 122846</t>
  </si>
  <si>
    <t>مبلغ سفته 130/000/000 تومان برگشت داده میشود.</t>
  </si>
  <si>
    <t>مبلغ 12 میلیون از سود آبان ماه توسط آقای علی صدیقی پرداخت شد.</t>
  </si>
  <si>
    <t>واریز به کارت صغری اسداللهی</t>
  </si>
  <si>
    <t>6037-7011-9310-2529</t>
  </si>
  <si>
    <t>این مبلغ در تاریخ 1401/08/18 برگشت زده شد چون باید 3/600/000 واریز میشد اما 9 میلیون واریزشد.</t>
  </si>
  <si>
    <t>هر سه ماهی دریافت میکنند. مبلغ سه ماه : 3/600/000 تومان</t>
  </si>
  <si>
    <t>شبا بانک 5112</t>
  </si>
  <si>
    <t>علی آخوند زاده</t>
  </si>
  <si>
    <t>تاریخ واریزی 1401/08/16</t>
  </si>
  <si>
    <t>حمیده خیامی ( مادر ارسیا صنعتی )</t>
  </si>
  <si>
    <t>مبلغ 57/000/000 تومان به حساب ارسیا و مبلغ 43/000/000 به حساب 3430 واریز کردند.</t>
  </si>
  <si>
    <t>سود این ماهشون به اصل مبلغ مادرشون اضافه شد + 40 میلیون فروش جمعا 57میلیون</t>
  </si>
  <si>
    <t>اصل پول تسویه میشود.</t>
  </si>
  <si>
    <t>شبا بانک 8010</t>
  </si>
  <si>
    <t>سفته 759115</t>
  </si>
  <si>
    <t>1402/08/08</t>
  </si>
  <si>
    <t>سود 50 میلیون از 8 ام تا 17 ام</t>
  </si>
  <si>
    <t>هزینه کیف</t>
  </si>
  <si>
    <t>زیبا فتاحی حصاری</t>
  </si>
  <si>
    <t>فیش واریزی در تاریخ 1401/08/18</t>
  </si>
  <si>
    <t>شبا بانک 1322</t>
  </si>
  <si>
    <t>1401/08/20</t>
  </si>
  <si>
    <t>جمع کل</t>
  </si>
  <si>
    <t>جمع کل تا پایان مرداد</t>
  </si>
  <si>
    <t xml:space="preserve">جمع واریزی های شهریور ماه </t>
  </si>
  <si>
    <t>جمع واریزی های مهر ماه</t>
  </si>
  <si>
    <t>جمع کل تا پایان مهر ماه</t>
  </si>
  <si>
    <t>جمع کل تا پایان شهریور ماه</t>
  </si>
  <si>
    <t>سود مهر ماه</t>
  </si>
  <si>
    <t>حساب 0103706612005</t>
  </si>
  <si>
    <t>مبلغ سود اول آذر ماه + چک کشاورزی عزیز عربی به مبلغ 22/600/000 به تاریخ 18 آبان جمعا 70 میلیون اضافه میشود</t>
  </si>
  <si>
    <t>واریزی بعدی اول دی ماه</t>
  </si>
  <si>
    <t>زهرا هشمتی</t>
  </si>
  <si>
    <t>مبلغ 80 میلیون واریز کردند و مبلغ 30 میلیون از طرف اقای حمید عبداللهی انتقال شد و به مبلغ 10 میلیون چکشون عقب افتاده شد.</t>
  </si>
  <si>
    <t>شبا بانک 5466</t>
  </si>
  <si>
    <t>شبا بانک 4880</t>
  </si>
  <si>
    <t>6104-3389-7357-0563</t>
  </si>
  <si>
    <t>واریز به کارت 9824</t>
  </si>
  <si>
    <t>حانیه زردادخانی (خانم اسماعیل حسینی)</t>
  </si>
  <si>
    <t>مبلغ 10 میلیون در تاریخ 1401/07/13 و مبلغ 10 میلیون در تاریخ 1401/07/15 واریز کردند که یکی ماهیانه و بعدی راسی شد.</t>
  </si>
  <si>
    <t>6037-7014-3444-7881</t>
  </si>
  <si>
    <t>سفته 283130</t>
  </si>
  <si>
    <t>در تاریخ 1401/08/13 مبلغ 19 میلیون اضافه شد.</t>
  </si>
  <si>
    <t>بیست و چهارم مهر 1401</t>
  </si>
  <si>
    <t>بیست و چهارم آبان 1401</t>
  </si>
  <si>
    <t>بیست و چهارم آذر 1401</t>
  </si>
  <si>
    <t>بیست و چهارم دی 1401</t>
  </si>
  <si>
    <t>بیست و چهارم بهمن 1401</t>
  </si>
  <si>
    <t>بیست و چهارم اسفند 1401</t>
  </si>
  <si>
    <t>بیست و چهارم فروردین 1402</t>
  </si>
  <si>
    <t>بیست و چهارم اردیبهشت 1402</t>
  </si>
  <si>
    <t>بیست و چهارم خرداد 1402</t>
  </si>
  <si>
    <t>بیست و چهارم  تیر 1402</t>
  </si>
  <si>
    <t>بیست و چهارم مرداد 1402</t>
  </si>
  <si>
    <t>بیست و چهارم شهریور1402</t>
  </si>
  <si>
    <t>بیست و چهارم مهر 1402</t>
  </si>
  <si>
    <t>زهرا خو</t>
  </si>
  <si>
    <t>1404/06/07</t>
  </si>
  <si>
    <t>شبا بانک 5994</t>
  </si>
  <si>
    <t>امید غلامی ( حمیدرضا غلامی )</t>
  </si>
  <si>
    <t>6037-6975-7826-8309</t>
  </si>
  <si>
    <t>برای دو ماه مهر و آبان پرداخت شد. مبلغ واریزی 50 میلیون در تاریخ 1401/06/12 به حساب 0216 آقای عبداللهی</t>
  </si>
  <si>
    <t>اشتباها دوبار واریز کردیم - واریزی آبان ماه</t>
  </si>
  <si>
    <t>شبا بانک 4000</t>
  </si>
  <si>
    <t>شبا بانک 9996</t>
  </si>
  <si>
    <t>فکر میکنم از اصل پول تسویه شد.</t>
  </si>
  <si>
    <t>توحید مظفری پهلوانلو</t>
  </si>
  <si>
    <t>واریز به کارت 0362</t>
  </si>
  <si>
    <t>واریز به حساب 379657</t>
  </si>
  <si>
    <t>واریز به کارت الهام حقی پناه</t>
  </si>
  <si>
    <t>واریز به کارت 4178</t>
  </si>
  <si>
    <t>مسعود رامی</t>
  </si>
  <si>
    <t>مبلغ آذرماه</t>
  </si>
  <si>
    <t>مشارکت جدید در 15 آبان ماه</t>
  </si>
  <si>
    <t>6104-3378-2586-7664</t>
  </si>
  <si>
    <t>1402/09/02</t>
  </si>
  <si>
    <t>چک 140005/645053</t>
  </si>
  <si>
    <t>سفته به مبلغ 100 میلیون به تاریخ 1402/08/19 تحویلشون شد - شماره سفته : 340386</t>
  </si>
  <si>
    <t>مبلغ 60 میلیون از قبل + 40 میلیون جدید</t>
  </si>
  <si>
    <t>1401/0/21</t>
  </si>
  <si>
    <t>1401/08/22</t>
  </si>
  <si>
    <t>واریز به کارت 2847</t>
  </si>
  <si>
    <t>مبلغ 20 میلیون تومان بابت بدهی پدرشون از اصل مبلغشون کم شد.</t>
  </si>
  <si>
    <t>واریز به کارت 4263</t>
  </si>
  <si>
    <t>شبا بانک 3848</t>
  </si>
  <si>
    <t>واریز به کارت 9209</t>
  </si>
  <si>
    <t>واریز به حساب 0451</t>
  </si>
  <si>
    <t>تاریخ چک شون رو عقب انداختند</t>
  </si>
  <si>
    <t>واریز به کارت 1389</t>
  </si>
  <si>
    <t>حمید گلچین</t>
  </si>
  <si>
    <t>مبلغ 150/000/000 تومان در تاریخ 1401/08/02 واریز کردند.</t>
  </si>
  <si>
    <t>مبلغ 4 میلیون نقدی و 96 میلیون تاریخ 1401/08/07به شبا 6662 آقای عبداللهی واریز شد سفته صد میلیونی به تاریخ 1402/08/08 داده شد شماره سفته : 770528</t>
  </si>
  <si>
    <t>مبلغ 200 میلیون ماهی 11 میلیون 15 ام محمد عبداللهی غلام + 100 میلیون مصیب ماهی 5 میلیون + 10 میلیون سود تا اول مهر دوتاییشون جمعا 310 میلیون</t>
  </si>
  <si>
    <t>محمدعلی گلچین</t>
  </si>
  <si>
    <t>سعید خالقی</t>
  </si>
  <si>
    <t>پری خالقی</t>
  </si>
  <si>
    <t>1401/12/11</t>
  </si>
  <si>
    <t>سفته 023676 به مبلغ 33 میلیون به تاریخ 1401/08/09 سعید خالقی و سفته 780168 به مبلغ 50 میلیون به تاریخ 1401/08/12 پری خالقی جمعا 83 میلیون راسی چهارماهه شد.</t>
  </si>
  <si>
    <t>جمع سه تا مبلغ 39/500 میشود که 11 میلیون آن ماهانه شد و 1/500 واریز کردند</t>
  </si>
  <si>
    <t xml:space="preserve"> و 30 میلیون یکساله 43 میلیون شد.</t>
  </si>
  <si>
    <t xml:space="preserve">چک 1401/07/22 بانک کشاورزی به شماره 174151 به مبلغ 166 میلیون تومان حذف شد </t>
  </si>
  <si>
    <t>و 200 میلیون تاریخ 1401/08/08 واریزی داشتند + 4/150/000 جمعا 370 میلیون راسی</t>
  </si>
  <si>
    <t>اسدالله عبداللهی</t>
  </si>
  <si>
    <t>1401/08/23</t>
  </si>
  <si>
    <t>مانده از سود شهریور:</t>
  </si>
  <si>
    <t>سود آبان ماه به اصل مبلغ پیرزن ها اضافه شد و مبلغ 13/800/000 تومان واریز شد.</t>
  </si>
  <si>
    <t>ابراهیم رازی</t>
  </si>
  <si>
    <t>واریزی مهر و آبان - هر دوماهی واریز میشود.</t>
  </si>
  <si>
    <t>سود 6 درصد شد</t>
  </si>
  <si>
    <t>مبلغ 50 میلیون در تاریخ 1401/07/12 افزایش سرمایه داشتند.</t>
  </si>
  <si>
    <t xml:space="preserve">از ماه آذر مبلغ 18 میلیون از سود به مدت هفت ماه کم میشود. ( از آذر تا خرداد ) </t>
  </si>
  <si>
    <t>مبلغ 126 میلیون به چک 87 میلیون به شماره 1712/562443/22 به تاریخ 1402/03/23 اضافه شد.</t>
  </si>
  <si>
    <t>مبلغ 60/500 میلیون از سمت محمدرضا عبداللهی کسر شد و 39/500 میلیون به حساب 0616 واریز کردند.</t>
  </si>
  <si>
    <t>مبلغ 60/500 میلیون از سمت محمدرضا عبداللهی کسر شود به حساب ابوالفضل عبداللهی (مصطفی عبداللهی) انتقال یافت.</t>
  </si>
  <si>
    <t>اصل 287 سفته 423956 + 713 واریز میکنند - یکساله راسی شد 2150</t>
  </si>
  <si>
    <t>خدیجه کامگارپور</t>
  </si>
  <si>
    <t>1403/09/13</t>
  </si>
  <si>
    <t>به حساب 3603</t>
  </si>
  <si>
    <t>مبلغ 90 میلیون تومان 1401/07/24 به حساب واریز شد.</t>
  </si>
  <si>
    <t>مبلغ 20 میلیون تومان در تاریخ 1401/06/25 واریز شد - فیش واریزی چک شود. (بیست میلیون شش ماهه)</t>
  </si>
  <si>
    <t>مبلغ 2 میلیون تومان در تاریخ 1401/08/02 به حساب 7748 اضافه شد.</t>
  </si>
  <si>
    <t>مبلغ 10 میلیون تومان در تاریخ 1401/08/06 به حساب 4996 اضافه شد.</t>
  </si>
  <si>
    <t>مبلغ 10 میلیون تومان در تاریخ 1401/08/07 به حساب 4996 اضافه شد.</t>
  </si>
  <si>
    <t>مبلغ 10 میلیون تومان در تاریخ 1401/08/08 به حساب 4996 اضافه شد.</t>
  </si>
  <si>
    <t>مبلغ 500/000 تومان از سود آذر ماه کم شود و به اصل مبلغ اضافه می شود.</t>
  </si>
  <si>
    <t>مبلغ 18 میلیون مانده آن ماه به اصل مبلغ اضافه شد.</t>
  </si>
  <si>
    <t xml:space="preserve">سود آبان ماه به اصل مبلغ اضافه شد </t>
  </si>
  <si>
    <t>مبلغ 14/500/000 تومان اضافه کرده ما دو تا فش 5 میلیون داریم الباقی 4/500 تومان پیگیری شود.</t>
  </si>
  <si>
    <t>مبلغ 10 میلیون در تاریخ 1401/08/01 افزایش سرمایه داشتند.</t>
  </si>
  <si>
    <t>مبلغ 6 میلیون در تاریخ 1401/05/30 و مبلغ 4 میلیون در تاریخ 1401/05/31 افزایش سرمایه داشتند.</t>
  </si>
  <si>
    <t>در تاریخ 1401/07/16 مبلغ 100 میلیون از یاسر گلچین به حساب 3430 واریز شد.</t>
  </si>
  <si>
    <t>مبلغ 40 میلیون در تاریخ 1401/08/15 به حساب 3430 واریز شد.</t>
  </si>
  <si>
    <t>سفته 951396</t>
  </si>
  <si>
    <t>مبلغ 10 میلیون در تاریخ 1401/08/04 و مبلغ 11/350/000 تومان در تاریخ 1401/08/05 و مبلغ 50 میلیون در تاریخ 1401/08/05 واریز شد</t>
  </si>
  <si>
    <t>مبلغ 40 میلیون در تاریخ 1401/05/04 به حساب 01-03706612005 واریز شد.</t>
  </si>
  <si>
    <t>سود اول آبان به اصل مبلغ اضافه شد.</t>
  </si>
  <si>
    <t>واریزی سی مهرماه</t>
  </si>
  <si>
    <t>سود آبان ماه به اصل مبلغ اضافه شد. مجموعا مبلغ صد میلیون به اصل مبلغ اضافه شد.</t>
  </si>
  <si>
    <t>در تاریخ 1401/08/26 مبلغ 9 میلیون اضافه شد.</t>
  </si>
  <si>
    <t>مبلغ 64 میلیون راسی شش ماهه داشتند که  8/8 شده 84 میلیون - 50 میلیون نقد دریافت کردند و 34 میلیون راسی یکساله گذاشتند 55 میلیون</t>
  </si>
  <si>
    <t>تمدید  شد - 50 میلیون نقدی دریافت کردند و 34 میلیون راسی یکساله شد.</t>
  </si>
  <si>
    <t>در تاریخ 1401/07/02 مبلغ 71/500/000 میلیون به حساب 3430 واریز شد.</t>
  </si>
  <si>
    <t>سود مهر ماه به اصل مبلغ اضافه شد.</t>
  </si>
  <si>
    <t>مجتبی نارویی</t>
  </si>
  <si>
    <t>مبلغ 10 میلیون در تاریخ 1401/07/24 به کارت 4996 واریز شد.</t>
  </si>
  <si>
    <t>1401/08/29</t>
  </si>
  <si>
    <t>واریزی آبان ماه</t>
  </si>
  <si>
    <t xml:space="preserve">واریزی مرداد ماه </t>
  </si>
  <si>
    <t>مبلغ جدید از بیست و هشتم شهریور ماه</t>
  </si>
  <si>
    <t>پرداخت سود مهر ماه در هشتم آبان ماه</t>
  </si>
  <si>
    <t>مبلغ 15 میلیون اضافه شده است.</t>
  </si>
  <si>
    <t>واریزی خرداد در تیرماه انجام شد.</t>
  </si>
  <si>
    <t>واریزی مرداد ماه در شهریور انجام شد.</t>
  </si>
  <si>
    <t>میثم ساری</t>
  </si>
  <si>
    <t>محمد خنده می</t>
  </si>
  <si>
    <t>نرگس نجفی</t>
  </si>
  <si>
    <t>سفته 770530 - واریزی از آبان ماه - مبلغ 60 میلیون در تاریخ 1401/08/02 به 1325 و مبلغ 20 میلیون به 0216 واریز شد.</t>
  </si>
  <si>
    <t>واریزی در تاریخ 1401/08/17 به ملت</t>
  </si>
  <si>
    <t>مبلغ 10 تومان در تاریخ 1401/08/21 از کارت 5184 به کارت 1325 واریز شد.</t>
  </si>
  <si>
    <t>مبلغ 2/600/000 تومان در تاریخ 1401/08/21 از کارت 4972 به کارت 1325 واریز شد.</t>
  </si>
  <si>
    <t>مبلغ سود آبان به اصل مبلغ اضافه شد.</t>
  </si>
  <si>
    <t>سود در مهر پرداخت شده است.</t>
  </si>
  <si>
    <t>شهرزاد هژبر</t>
  </si>
  <si>
    <t>در تاریخ 1401/08/15 مبلغ 110 میلیون  به حساب 8318 سپه واریز کردند ماهانه تا عید (سفته ندارند)</t>
  </si>
  <si>
    <t>فریبا وطیفه دان</t>
  </si>
  <si>
    <t>سفته نگرفتند.</t>
  </si>
  <si>
    <t>کارت 4996</t>
  </si>
  <si>
    <t xml:space="preserve"> مبلغ 10 میلیون تاریخ 1401/05/24 به حساب 0216 و10 میلیون تاریخ 1401/05/24 به کارت 0661 و 14 میلیون تاریخ 1401/05/25 به حساب 0216 واریز کردند.</t>
  </si>
  <si>
    <t>سود سه ماهه - اول شهریور مبلغ 150 میلیون واریز کردند. شماره سفته : 480436  - مبلغ 70 میلیون راسی اول شهریور 116 میلیون به اصل اضافه شد.</t>
  </si>
  <si>
    <t>مبلغ 9/250/000 تومان تاریخ 1401/08/18 و مبلغ 5/000/000 تومان تاریخ 1401/08/17 به کارت 1325 واریز شد.</t>
  </si>
  <si>
    <t xml:space="preserve">اکرم قربانیان </t>
  </si>
  <si>
    <t>مبلغ 7/100/000  تومان در تاریخ 1401/08/19 به کارت 1325 واریز شد.</t>
  </si>
  <si>
    <t>مبلغ 3/000/000  تومان در تاریخ 1401/08/19 به کارت 1325 واریز شد.</t>
  </si>
  <si>
    <t>مبلغ 10/000/000  تومان در تاریخ 1401/08/18 به کارت 3430 واریز شد.</t>
  </si>
  <si>
    <t>مبلغ 10/000/000  تومان در تاریخ 1401/08/18 به کارت 5379 واریز شد.</t>
  </si>
  <si>
    <t>مبلغ 8/000/000  تومان در تاریخ 1401/08/24 به کارت 1325 واریز شد.</t>
  </si>
  <si>
    <t>سفته 135 میلیون تحویل شد - شماره سفته : 123845</t>
  </si>
  <si>
    <t>مبلغ 37/300/000 تومان در تاریخ 1401/08/22 به حساب 3430 واریز شد.</t>
  </si>
  <si>
    <t>مرضیه بادرنگین نور آبادی</t>
  </si>
  <si>
    <t>سفته به تاریخ 1402/07/16 داده شد. شماره سفته ها : 069993 - 435151</t>
  </si>
  <si>
    <t>سفته به تاریخ 1402/07/07 داده شد. شماره سفته ها : 798224 - 629194 - 629193 - 181998</t>
  </si>
  <si>
    <t>ایمان جوینی</t>
  </si>
  <si>
    <t>مبلغ 4/700/000 تومان به حساب 4009 و 43 میلیون تاریخ 1401/07/23 به حساب 3430 واریز شد و 2/300 نقدی به علی جوینی دادند.</t>
  </si>
  <si>
    <t>مبلغ 12 میلیون سود آقای رضا نورآبادی رو تسویه کردند + 58 تومان  1401/08/21 به حساب 8318 واریز کردند.</t>
  </si>
  <si>
    <t>در تاریخ 1401/08/30 مبلغ 2 میلیون اضافه شد.</t>
  </si>
  <si>
    <t>حجت احمدی مقدم</t>
  </si>
  <si>
    <t>چک 183/930/000 به تاریخ 1401/09/12 و چک 183/000/000 به تاریخ 1401/09/07 دادند.</t>
  </si>
  <si>
    <t>باید مبلغ 33/070/000 واریز میکردند اما مبلغ 33/700/000 واریز کردند تاریخ 1401/08/22 به پست بانک</t>
  </si>
  <si>
    <t>مبلغ 630/000 تومانی که اضافه زدند ار سود ماه آذرشان کسر شود.</t>
  </si>
  <si>
    <t>سود 20 روز 33/070/000 از 22 آبان تا 12 آذر میشود 1/560/000 که 630 هزار تومن کسر میشود.</t>
  </si>
  <si>
    <t>مبلغ 300/000/000 میلیون در تاریخ 1401/07/10 اضافه شد.</t>
  </si>
  <si>
    <t>مبلغ 27/000/000 میلیون در تاریخ 1401/07/25 اضافه شد.</t>
  </si>
  <si>
    <t>مبلغ 385/000/000 میلیون در تاریخ 1401/07/28 اضافه شد.</t>
  </si>
  <si>
    <t>مبلغ 115/000/000 میلیون در تاریخ 1401/08/02 اضافه شد.</t>
  </si>
  <si>
    <t>مبلغ 47/000/000 میلیون در تاریخ 1401/08/03 اضافه شد.</t>
  </si>
  <si>
    <t>مبلغ قبلی</t>
  </si>
  <si>
    <t>مبلغ 25 آذر ماه</t>
  </si>
  <si>
    <t>چک 340/000/000 میلیون تومان پاس و از اصل پول کم شد.</t>
  </si>
  <si>
    <t>چک 228/000/000 میلیون تومان پاس و از اصل پول کم شد.</t>
  </si>
  <si>
    <t>کارت اعتباری پست بانک در تاریخ 1401/08/21 تحویل آقای عبداللهی شد.</t>
  </si>
  <si>
    <t>مبلغ جدید برای آذر ماه</t>
  </si>
  <si>
    <t>برای 21 روز 4/900/00</t>
  </si>
  <si>
    <t>مبلغ جدید برای دی ماه</t>
  </si>
  <si>
    <t>در تاریخ 1401/08/21 نقدی به آقای عبداللهی پرداخت شد.</t>
  </si>
  <si>
    <t>برای 21 روز 294/000 تومان</t>
  </si>
  <si>
    <t>توضیحات در شیت خصوصی-سود آبان ماه تسویه شده است.</t>
  </si>
  <si>
    <t>از سود آذر ماه مبلغ 22 میلیون + 50 میلیون پرداخت شده است.</t>
  </si>
  <si>
    <t>مبلغ 50 میلیون از حساب رستوران در آبان ماه تسویه شده است.</t>
  </si>
  <si>
    <t>سود مهر ماه تسویه شده است.</t>
  </si>
  <si>
    <t>مبلغ 100 میلیون در تاریخ 1401/07/29 و مبلغ 50 میلیون در تاریخ 1401/07/30 به 3430 واریز شد.</t>
  </si>
  <si>
    <t>مبلغ 40 میلیون و 8 میلیون 1401/07/15 و مبلغ 100 میلیون 1401/07/14 به حساب 0216 واریز شد.</t>
  </si>
  <si>
    <t>مبلغ 199 میلیون  و مبلغ 118 میلیون 1401/07/14 واریز شده است.</t>
  </si>
  <si>
    <t>تمامی تاریخ ها تا 18 ام محاسبه شد.</t>
  </si>
  <si>
    <t>علی اصغر عروضی</t>
  </si>
  <si>
    <t>مبلغ 150 میلیون فروردین گذاشتند که 7 ماهه تا 1401/07/18 شده 200 میلیون - مبلغ 150 میلیون هم در تاریخ 1401/07/27 واریز کردند.</t>
  </si>
  <si>
    <t xml:space="preserve">چک به شماره 939983 به مبلغ 393/000/000 تومان اصل آن پرداخت شد - مبلغ 108 میلیون چک آقای علی عزیز عربی 206120 به تاریخ 1401/08/10 بهشون داده شد </t>
  </si>
  <si>
    <t>و مبلغ الباقی که 285 میلیون بود بهشون چک پشت نویسی شده ملت داده شد و چک 393 میلیون کامل پرداخت شد.</t>
  </si>
  <si>
    <t>دو تا چک راسی دارند یکی 43 میلیون بانک مسکن به تاریخ 1401/09/24 و دیگری 250 میلیون بانک ملت به تاریخ 1401/10/02</t>
  </si>
  <si>
    <t>مبلغ 14/950/000 تومان در تاریخ 1401/07/28 واریز شد.</t>
  </si>
  <si>
    <t>مبلغ 30 میلیون در تاریخ 1401/06/31 واریز شد.</t>
  </si>
  <si>
    <t>سود سی ام شهریور به اصل مبلغ اضافه شد.</t>
  </si>
  <si>
    <t>سود سی ام مهر به اصل مبلغ اضافه شد.</t>
  </si>
  <si>
    <t>سود سی آبان ماه</t>
  </si>
  <si>
    <t>سود سی ام آبان ماه به اصل مبلغ اضافه شد.</t>
  </si>
  <si>
    <t>مبلغ جدید برای سی ام آذر ماه</t>
  </si>
  <si>
    <t>پاس شد به نام علیرضا دلشاد</t>
  </si>
  <si>
    <t xml:space="preserve">سود 260 میلیون </t>
  </si>
  <si>
    <t>برای شش ماه</t>
  </si>
  <si>
    <t>مبلغ 40 میلیون 1401/04/26 -  20 میلیون 1401/06/15 -  20 میلیون 1401/06/16 -  20 میلیون 1401/06/17</t>
  </si>
  <si>
    <t>سود 260 میلیون یکساله میشد 450 میلیون که سود شش ماه اول میشد 100 میلیون چک 672610</t>
  </si>
  <si>
    <t>و سود شش ماه دوم میشد 100 میلیون + اصل مبلغ که 260 بود جمعا 350 میلیون چک 672609</t>
  </si>
  <si>
    <t>پرداخت چک 100 میلیون صادرات 672610</t>
  </si>
  <si>
    <t>مبلغ 25 میلیون در تاریخ 1401/06/27 واریز شد.</t>
  </si>
  <si>
    <t>بست وهفتم</t>
  </si>
  <si>
    <t>مبلغ 40/000/000 تومان در تاریخ 1401/07/11  به حساب 3430 واریز شد.</t>
  </si>
  <si>
    <t>از 27 مهر تا 5 آبان برای 8 روز محاسبه شد : 333/000 تومان</t>
  </si>
  <si>
    <t>از 11 مهر تا 5 آبان برای 24 روز محاسبه شد : 1/600/000 تومان</t>
  </si>
  <si>
    <t>در تاریخ 1401/08/05 مبلغ 43 میلیون به حساب 3430 واریز شد.</t>
  </si>
  <si>
    <t>واریزی پنجم آذر</t>
  </si>
  <si>
    <t>تا 1401/07/10 تسویه کامل با مهدی غلامی پل بند</t>
  </si>
  <si>
    <t>در تاریخ 1401/07/19 به اصل مبلغ اضافه شد که تا تاریخ یکم محاسبه شود.</t>
  </si>
  <si>
    <t>چک بانک صادرات به تاریخ 1401/09/03 به مبلغ 100 میلیون تحویل اقای عبداللهی شد.</t>
  </si>
  <si>
    <t>شهناز قندی</t>
  </si>
  <si>
    <t>سفته به مبلغ 50 میلیون تومان تاریخ 1402/08/25 داده شد - شماره سفته : 240385 - قرار شد اصل پول را خانم منصوره غلامی واریز کنند.</t>
  </si>
  <si>
    <t>مبلغ 25 میلیون از این مبلغ مربوط به خانم زهرا بابایی می باشد.</t>
  </si>
  <si>
    <t>سفته های 122848 - 976090 - 976089</t>
  </si>
  <si>
    <t>احمدرضا علیپور</t>
  </si>
  <si>
    <t>مبلغ 10 میلیون در تاریخ 1401/08/20 به کارت 4996 واریز شد. شماره سفته : 737386</t>
  </si>
  <si>
    <t>1401/08/24</t>
  </si>
  <si>
    <t>6037-9973-7360-7564</t>
  </si>
  <si>
    <t>مبلغ 100 میلیون در تاربخ 1401/08/23 به حساب 3430 واریز کردند.</t>
  </si>
  <si>
    <t>شبا بانک 1360</t>
  </si>
  <si>
    <t>6037-7011-9701-0777</t>
  </si>
  <si>
    <t>شبا بانک 5606</t>
  </si>
  <si>
    <t>هاجر محمدی</t>
  </si>
  <si>
    <t>5076-7710-0259-1737</t>
  </si>
  <si>
    <t>اصل مبلغ 4/200/000 تومان در تاریخ 1401/06/23 به حساب 0216 واریز کردند.</t>
  </si>
  <si>
    <t>1401/08/26</t>
  </si>
  <si>
    <t>6037-6974-7099-8805</t>
  </si>
  <si>
    <t>تسویه آبان ماه - به کارت زهرا صمصامی</t>
  </si>
  <si>
    <t>تسویه مهر ماه - به کارت زهرا صمصامی</t>
  </si>
  <si>
    <t>واریز به کارت 4337</t>
  </si>
  <si>
    <t>واریز به کارت 4525</t>
  </si>
  <si>
    <t>1401/08/27</t>
  </si>
  <si>
    <t>شبا بانک 2002</t>
  </si>
  <si>
    <t>6037-9919-4659-9903</t>
  </si>
  <si>
    <t>1401/08/28</t>
  </si>
  <si>
    <t>تسویه سود مهر ماه</t>
  </si>
  <si>
    <t>تسویه سود آبان ماه</t>
  </si>
  <si>
    <t>شبا بانک 9496</t>
  </si>
  <si>
    <t>شبا بانک 9188</t>
  </si>
  <si>
    <t>به شبا 5030</t>
  </si>
  <si>
    <t>واریز به کارت 1449</t>
  </si>
  <si>
    <t>الباقی سود روی چکشون آورده شده است - تسویه آبان ماه</t>
  </si>
  <si>
    <t>1401/08/30</t>
  </si>
  <si>
    <t>شبا بانک 4411</t>
  </si>
  <si>
    <t>شبا بانک 8004</t>
  </si>
  <si>
    <t>سود آذرماه تسویه شده است.</t>
  </si>
  <si>
    <t>1401/08/</t>
  </si>
  <si>
    <t>علی آقا براشون واریز کردند.</t>
  </si>
  <si>
    <t>محمدجواد سعادتمند</t>
  </si>
  <si>
    <t>در تاریخ 1401/09/01 مبلغ 100 میلیون به حساب 4009 واریز شد.</t>
  </si>
  <si>
    <t>در تاریخ 1401/09/02 مبلغ 8/565/000 تومان به حساب 4009 واریز شد.</t>
  </si>
  <si>
    <t>مبلغ 250 میلیون در طی دو سفته 162076 - 192245 - 50 میلیون سفته بیشتر دارند.</t>
  </si>
  <si>
    <t>مبلغ 96/900/000  تومان در تاریخ 1401/08/18 به کارت 3430 واریز شد.</t>
  </si>
  <si>
    <t>مبلغ 90 میلیون تومان در تاریخ 1401/</t>
  </si>
  <si>
    <t>مبلغ 144/975/000 تومان در تاریخ 1401/08/25 به حساب پست بانک واریز شد.</t>
  </si>
  <si>
    <t>در تاریخ 1401/08/23به حساب پست بانک واریز شد.</t>
  </si>
  <si>
    <t>سود آذر ماه خانم شهربانو قدم دخت توسط ایشون پرداخت شد</t>
  </si>
  <si>
    <t>مبلغ 3/500/000 تومان در تاریخ 1401/08/30 به کارت 1325 واریز شد.</t>
  </si>
  <si>
    <t>سود اول  آذر توسط خانم نرگس رمضانی پرداخت 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</si>
</sst>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0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164" fontId="2" fillId="18" borderId="1" xfId="0" applyNumberFormat="1" applyFont="1" applyFill="1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8" borderId="5" xfId="0" applyNumberFormat="1" applyFont="1" applyFill="1" applyBorder="1" applyAlignment="1">
      <alignment horizontal="right" vertical="center" wrapText="1"/>
    </xf>
    <xf numFmtId="3" fontId="10" fillId="18" borderId="13" xfId="0" applyNumberFormat="1" applyFont="1" applyFill="1" applyBorder="1" applyAlignment="1">
      <alignment horizontal="right" vertical="center" wrapText="1"/>
    </xf>
    <xf numFmtId="3" fontId="10" fillId="18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3" fontId="14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0" fontId="0" fillId="18" borderId="5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8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vertical="center" wrapText="1"/>
    </xf>
    <xf numFmtId="3" fontId="2" fillId="14" borderId="17" xfId="0" applyNumberFormat="1" applyFont="1" applyFill="1" applyBorder="1" applyAlignment="1">
      <alignment vertical="center" wrapText="1"/>
    </xf>
    <xf numFmtId="3" fontId="2" fillId="14" borderId="19" xfId="0" applyNumberFormat="1" applyFont="1" applyFill="1" applyBorder="1" applyAlignment="1">
      <alignment vertical="center" wrapText="1"/>
    </xf>
    <xf numFmtId="3" fontId="2" fillId="14" borderId="9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3" fontId="10" fillId="3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vertical="center" wrapText="1"/>
    </xf>
    <xf numFmtId="3" fontId="5" fillId="4" borderId="47" xfId="0" applyNumberFormat="1" applyFont="1" applyFill="1" applyBorder="1" applyAlignment="1">
      <alignment vertical="center" wrapText="1"/>
    </xf>
    <xf numFmtId="3" fontId="5" fillId="4" borderId="9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right" vertical="center"/>
    </xf>
    <xf numFmtId="164" fontId="2" fillId="5" borderId="13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3" fontId="2" fillId="9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2" fillId="2" borderId="5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2" borderId="35" xfId="0" applyFill="1" applyBorder="1" applyAlignment="1">
      <alignment vertical="center"/>
    </xf>
    <xf numFmtId="0" fontId="0" fillId="0" borderId="0" xfId="0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64" fontId="2" fillId="3" borderId="52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3" fillId="11" borderId="8" xfId="0" applyNumberFormat="1" applyFont="1" applyFill="1" applyBorder="1" applyAlignment="1">
      <alignment horizontal="center" vertical="center" wrapText="1"/>
    </xf>
    <xf numFmtId="3" fontId="3" fillId="11" borderId="47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5" borderId="6" xfId="0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18" borderId="6" xfId="0" applyNumberFormat="1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3" fontId="0" fillId="9" borderId="39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3" fontId="2" fillId="2" borderId="17" xfId="0" applyNumberFormat="1" applyFont="1" applyFill="1" applyBorder="1" applyAlignment="1">
      <alignment vertical="center" wrapText="1"/>
    </xf>
    <xf numFmtId="3" fontId="2" fillId="2" borderId="19" xfId="0" applyNumberFormat="1" applyFont="1" applyFill="1" applyBorder="1" applyAlignment="1">
      <alignment vertical="center" wrapText="1"/>
    </xf>
    <xf numFmtId="3" fontId="2" fillId="2" borderId="9" xfId="0" applyNumberFormat="1" applyFont="1" applyFill="1" applyBorder="1" applyAlignment="1">
      <alignment vertical="center" wrapText="1"/>
    </xf>
    <xf numFmtId="164" fontId="14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/>
    </xf>
    <xf numFmtId="0" fontId="0" fillId="3" borderId="5" xfId="0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0" fillId="14" borderId="1" xfId="0" applyNumberForma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4" borderId="9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8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horizontal="right" vertical="center" wrapText="1"/>
    </xf>
    <xf numFmtId="3" fontId="5" fillId="2" borderId="6" xfId="0" applyNumberFormat="1" applyFont="1" applyFill="1" applyBorder="1" applyAlignment="1">
      <alignment horizontal="right" vertical="center" wrapText="1"/>
    </xf>
    <xf numFmtId="3" fontId="10" fillId="3" borderId="13" xfId="0" applyNumberFormat="1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2" fillId="3" borderId="18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3" fontId="2" fillId="4" borderId="48" xfId="0" applyNumberFormat="1" applyFont="1" applyFill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/>
    </xf>
    <xf numFmtId="3" fontId="2" fillId="2" borderId="52" xfId="0" applyNumberFormat="1" applyFont="1" applyFill="1" applyBorder="1" applyAlignment="1">
      <alignment horizontal="center" vertical="center" wrapText="1"/>
    </xf>
    <xf numFmtId="3" fontId="2" fillId="4" borderId="2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" fontId="5" fillId="14" borderId="8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10" fillId="4" borderId="6" xfId="0" applyNumberFormat="1" applyFont="1" applyFill="1" applyBorder="1" applyAlignment="1">
      <alignment horizontal="center" vertical="center" wrapText="1"/>
    </xf>
    <xf numFmtId="1" fontId="5" fillId="4" borderId="4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10" fillId="3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vertical="center" wrapText="1"/>
    </xf>
    <xf numFmtId="1" fontId="5" fillId="2" borderId="15" xfId="0" applyNumberFormat="1" applyFont="1" applyFill="1" applyBorder="1" applyAlignment="1">
      <alignment vertical="center" wrapText="1"/>
    </xf>
    <xf numFmtId="3" fontId="2" fillId="2" borderId="16" xfId="0" applyNumberFormat="1" applyFont="1" applyFill="1" applyBorder="1" applyAlignment="1">
      <alignment vertical="center" wrapText="1"/>
    </xf>
    <xf numFmtId="3" fontId="2" fillId="2" borderId="18" xfId="0" applyNumberFormat="1" applyFont="1" applyFill="1" applyBorder="1" applyAlignment="1">
      <alignment vertical="center" wrapText="1"/>
    </xf>
    <xf numFmtId="3" fontId="2" fillId="2" borderId="47" xfId="0" applyNumberFormat="1" applyFont="1" applyFill="1" applyBorder="1" applyAlignment="1">
      <alignment vertical="center" wrapText="1"/>
    </xf>
    <xf numFmtId="0" fontId="1" fillId="10" borderId="3" xfId="0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vertical="center" wrapText="1"/>
    </xf>
    <xf numFmtId="3" fontId="2" fillId="10" borderId="14" xfId="0" applyNumberFormat="1" applyFont="1" applyFill="1" applyBorder="1" applyAlignment="1">
      <alignment vertical="center" wrapText="1"/>
    </xf>
    <xf numFmtId="3" fontId="2" fillId="10" borderId="1" xfId="0" applyNumberFormat="1" applyFont="1" applyFill="1" applyBorder="1" applyAlignment="1">
      <alignment horizontal="right"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3" fontId="2" fillId="10" borderId="16" xfId="0" applyNumberFormat="1" applyFont="1" applyFill="1" applyBorder="1" applyAlignment="1">
      <alignment horizontal="center" vertical="center" wrapText="1"/>
    </xf>
    <xf numFmtId="3" fontId="14" fillId="10" borderId="1" xfId="0" applyNumberFormat="1" applyFont="1" applyFill="1" applyBorder="1" applyAlignment="1">
      <alignment horizontal="center" vertical="center" wrapText="1"/>
    </xf>
    <xf numFmtId="3" fontId="2" fillId="10" borderId="6" xfId="0" applyNumberFormat="1" applyFont="1" applyFill="1" applyBorder="1" applyAlignment="1">
      <alignment vertical="center" wrapText="1"/>
    </xf>
    <xf numFmtId="3" fontId="5" fillId="10" borderId="1" xfId="0" applyNumberFormat="1" applyFont="1" applyFill="1" applyBorder="1" applyAlignment="1">
      <alignment vertical="center" wrapText="1"/>
    </xf>
    <xf numFmtId="3" fontId="2" fillId="10" borderId="8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vertical="center" wrapText="1"/>
    </xf>
    <xf numFmtId="3" fontId="2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5" fillId="2" borderId="16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3" fontId="3" fillId="11" borderId="14" xfId="0" applyNumberFormat="1" applyFont="1" applyFill="1" applyBorder="1" applyAlignment="1">
      <alignment vertical="center" wrapText="1"/>
    </xf>
    <xf numFmtId="3" fontId="3" fillId="11" borderId="42" xfId="0" applyNumberFormat="1" applyFont="1" applyFill="1" applyBorder="1" applyAlignment="1">
      <alignment vertical="center" wrapText="1"/>
    </xf>
    <xf numFmtId="3" fontId="3" fillId="11" borderId="15" xfId="0" applyNumberFormat="1" applyFont="1" applyFill="1" applyBorder="1" applyAlignment="1">
      <alignment vertical="center" wrapText="1"/>
    </xf>
    <xf numFmtId="3" fontId="5" fillId="2" borderId="14" xfId="0" applyNumberFormat="1" applyFont="1" applyFill="1" applyBorder="1" applyAlignment="1">
      <alignment vertical="center" wrapText="1"/>
    </xf>
    <xf numFmtId="3" fontId="5" fillId="2" borderId="42" xfId="0" applyNumberFormat="1" applyFont="1" applyFill="1" applyBorder="1" applyAlignment="1">
      <alignment vertical="center" wrapText="1"/>
    </xf>
    <xf numFmtId="3" fontId="5" fillId="2" borderId="15" xfId="0" applyNumberFormat="1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vertical="center" wrapText="1"/>
    </xf>
    <xf numFmtId="3" fontId="2" fillId="5" borderId="42" xfId="0" applyNumberFormat="1" applyFont="1" applyFill="1" applyBorder="1" applyAlignment="1">
      <alignment vertical="center" wrapText="1"/>
    </xf>
    <xf numFmtId="3" fontId="2" fillId="5" borderId="15" xfId="0" applyNumberFormat="1" applyFont="1" applyFill="1" applyBorder="1" applyAlignment="1">
      <alignment vertical="center" wrapText="1"/>
    </xf>
    <xf numFmtId="3" fontId="2" fillId="10" borderId="16" xfId="0" applyNumberFormat="1" applyFont="1" applyFill="1" applyBorder="1" applyAlignment="1">
      <alignment vertical="center" wrapText="1"/>
    </xf>
    <xf numFmtId="3" fontId="2" fillId="10" borderId="43" xfId="0" applyNumberFormat="1" applyFont="1" applyFill="1" applyBorder="1" applyAlignment="1">
      <alignment vertical="center" wrapText="1"/>
    </xf>
    <xf numFmtId="3" fontId="2" fillId="10" borderId="17" xfId="0" applyNumberFormat="1" applyFont="1" applyFill="1" applyBorder="1" applyAlignment="1">
      <alignment vertical="center" wrapText="1"/>
    </xf>
    <xf numFmtId="3" fontId="2" fillId="10" borderId="18" xfId="0" applyNumberFormat="1" applyFont="1" applyFill="1" applyBorder="1" applyAlignment="1">
      <alignment vertical="center" wrapText="1"/>
    </xf>
    <xf numFmtId="3" fontId="2" fillId="10" borderId="0" xfId="0" applyNumberFormat="1" applyFont="1" applyFill="1" applyBorder="1" applyAlignment="1">
      <alignment vertical="center" wrapText="1"/>
    </xf>
    <xf numFmtId="3" fontId="2" fillId="10" borderId="19" xfId="0" applyNumberFormat="1" applyFont="1" applyFill="1" applyBorder="1" applyAlignment="1">
      <alignment vertical="center" wrapText="1"/>
    </xf>
    <xf numFmtId="3" fontId="2" fillId="10" borderId="8" xfId="0" applyNumberFormat="1" applyFont="1" applyFill="1" applyBorder="1" applyAlignment="1">
      <alignment vertical="center" wrapText="1"/>
    </xf>
    <xf numFmtId="3" fontId="2" fillId="10" borderId="47" xfId="0" applyNumberFormat="1" applyFont="1" applyFill="1" applyBorder="1" applyAlignment="1">
      <alignment vertical="center" wrapText="1"/>
    </xf>
    <xf numFmtId="3" fontId="2" fillId="10" borderId="9" xfId="0" applyNumberFormat="1" applyFont="1" applyFill="1" applyBorder="1" applyAlignment="1">
      <alignment vertical="center" wrapText="1"/>
    </xf>
    <xf numFmtId="3" fontId="2" fillId="3" borderId="14" xfId="0" applyNumberFormat="1" applyFont="1" applyFill="1" applyBorder="1" applyAlignment="1">
      <alignment vertical="center" wrapText="1"/>
    </xf>
    <xf numFmtId="3" fontId="2" fillId="3" borderId="42" xfId="0" applyNumberFormat="1" applyFont="1" applyFill="1" applyBorder="1" applyAlignment="1">
      <alignment vertical="center" wrapText="1"/>
    </xf>
    <xf numFmtId="3" fontId="2" fillId="3" borderId="15" xfId="0" applyNumberFormat="1" applyFont="1" applyFill="1" applyBorder="1" applyAlignment="1">
      <alignment vertical="center" wrapText="1"/>
    </xf>
    <xf numFmtId="1" fontId="5" fillId="2" borderId="42" xfId="0" applyNumberFormat="1" applyFont="1" applyFill="1" applyBorder="1" applyAlignment="1">
      <alignment vertical="center" wrapText="1"/>
    </xf>
    <xf numFmtId="164" fontId="2" fillId="2" borderId="14" xfId="0" applyNumberFormat="1" applyFont="1" applyFill="1" applyBorder="1" applyAlignment="1">
      <alignment vertical="center" wrapText="1"/>
    </xf>
    <xf numFmtId="164" fontId="2" fillId="2" borderId="15" xfId="0" applyNumberFormat="1" applyFont="1" applyFill="1" applyBorder="1" applyAlignment="1">
      <alignment vertical="center" wrapText="1"/>
    </xf>
    <xf numFmtId="164" fontId="2" fillId="3" borderId="14" xfId="0" applyNumberFormat="1" applyFont="1" applyFill="1" applyBorder="1" applyAlignment="1">
      <alignment vertical="center" wrapText="1"/>
    </xf>
    <xf numFmtId="164" fontId="2" fillId="3" borderId="15" xfId="0" applyNumberFormat="1" applyFont="1" applyFill="1" applyBorder="1" applyAlignment="1">
      <alignment vertical="center" wrapText="1"/>
    </xf>
    <xf numFmtId="3" fontId="2" fillId="10" borderId="5" xfId="0" applyNumberFormat="1" applyFont="1" applyFill="1" applyBorder="1" applyAlignment="1">
      <alignment vertical="center" wrapText="1"/>
    </xf>
    <xf numFmtId="3" fontId="14" fillId="10" borderId="5" xfId="0" applyNumberFormat="1" applyFont="1" applyFill="1" applyBorder="1" applyAlignment="1">
      <alignment vertical="center" wrapText="1"/>
    </xf>
    <xf numFmtId="3" fontId="14" fillId="10" borderId="6" xfId="0" applyNumberFormat="1" applyFont="1" applyFill="1" applyBorder="1" applyAlignment="1">
      <alignment vertical="center" wrapText="1"/>
    </xf>
    <xf numFmtId="3" fontId="5" fillId="2" borderId="16" xfId="0" applyNumberFormat="1" applyFont="1" applyFill="1" applyBorder="1" applyAlignment="1">
      <alignment vertical="center"/>
    </xf>
    <xf numFmtId="0" fontId="2" fillId="2" borderId="1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6" fillId="5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 vertical="center"/>
    </xf>
    <xf numFmtId="0" fontId="6" fillId="6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3" fontId="6" fillId="2" borderId="13" xfId="0" applyNumberFormat="1" applyFont="1" applyFill="1" applyBorder="1" applyAlignment="1">
      <alignment horizontal="right" vertical="center" wrapText="1"/>
    </xf>
    <xf numFmtId="164" fontId="2" fillId="6" borderId="6" xfId="0" applyNumberFormat="1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 wrapText="1"/>
    </xf>
    <xf numFmtId="1" fontId="5" fillId="4" borderId="43" xfId="0" applyNumberFormat="1" applyFont="1" applyFill="1" applyBorder="1" applyAlignment="1">
      <alignment horizontal="center" vertical="center" wrapText="1"/>
    </xf>
    <xf numFmtId="1" fontId="5" fillId="4" borderId="17" xfId="0" applyNumberFormat="1" applyFont="1" applyFill="1" applyBorder="1" applyAlignment="1">
      <alignment horizontal="center" vertical="center" wrapText="1"/>
    </xf>
    <xf numFmtId="3" fontId="10" fillId="4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3" fontId="5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164" fontId="2" fillId="9" borderId="13" xfId="0" applyNumberFormat="1" applyFont="1" applyFill="1" applyBorder="1" applyAlignment="1">
      <alignment horizontal="center" vertical="center" wrapText="1"/>
    </xf>
    <xf numFmtId="3" fontId="2" fillId="9" borderId="13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right" vertical="center"/>
    </xf>
    <xf numFmtId="0" fontId="6" fillId="18" borderId="6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0" fillId="9" borderId="1" xfId="0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7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3" fontId="10" fillId="5" borderId="5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3" fontId="2" fillId="2" borderId="1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2" fillId="6" borderId="13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6" fillId="6" borderId="6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9" borderId="1" xfId="0" applyNumberFormat="1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26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44" xfId="0" applyNumberFormat="1" applyFont="1" applyFill="1" applyBorder="1" applyAlignment="1">
      <alignment horizontal="center" vertical="center" wrapText="1"/>
    </xf>
    <xf numFmtId="3" fontId="2" fillId="4" borderId="54" xfId="0" applyNumberFormat="1" applyFont="1" applyFill="1" applyBorder="1" applyAlignment="1">
      <alignment horizontal="center" vertical="center" wrapText="1"/>
    </xf>
    <xf numFmtId="3" fontId="2" fillId="4" borderId="45" xfId="0" applyNumberFormat="1" applyFont="1" applyFill="1" applyBorder="1" applyAlignment="1">
      <alignment horizontal="center" vertical="center" wrapText="1"/>
    </xf>
    <xf numFmtId="3" fontId="2" fillId="2" borderId="54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3" fillId="4" borderId="13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3" fontId="2" fillId="14" borderId="1" xfId="0" applyNumberFormat="1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3" fontId="2" fillId="4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right" vertical="center"/>
    </xf>
    <xf numFmtId="0" fontId="0" fillId="19" borderId="13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0" fontId="0" fillId="18" borderId="5" xfId="0" applyFill="1" applyBorder="1" applyAlignment="1">
      <alignment horizontal="right" vertical="center"/>
    </xf>
    <xf numFmtId="0" fontId="0" fillId="18" borderId="6" xfId="0" applyFill="1" applyBorder="1" applyAlignment="1">
      <alignment horizontal="right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18" borderId="13" xfId="0" applyFill="1" applyBorder="1" applyAlignment="1">
      <alignment horizontal="right" vertical="center"/>
    </xf>
    <xf numFmtId="0" fontId="6" fillId="18" borderId="13" xfId="0" applyFont="1" applyFill="1" applyBorder="1" applyAlignment="1">
      <alignment horizontal="center" vertical="center"/>
    </xf>
    <xf numFmtId="3" fontId="2" fillId="18" borderId="14" xfId="0" applyNumberFormat="1" applyFont="1" applyFill="1" applyBorder="1" applyAlignment="1">
      <alignment horizontal="center" vertical="center" wrapText="1"/>
    </xf>
    <xf numFmtId="3" fontId="2" fillId="18" borderId="42" xfId="0" applyNumberFormat="1" applyFont="1" applyFill="1" applyBorder="1" applyAlignment="1">
      <alignment horizontal="center" vertical="center" wrapText="1"/>
    </xf>
    <xf numFmtId="3" fontId="2" fillId="18" borderId="15" xfId="0" applyNumberFormat="1" applyFont="1" applyFill="1" applyBorder="1" applyAlignment="1">
      <alignment horizontal="center" vertical="center" wrapText="1"/>
    </xf>
    <xf numFmtId="3" fontId="3" fillId="18" borderId="14" xfId="0" applyNumberFormat="1" applyFont="1" applyFill="1" applyBorder="1" applyAlignment="1">
      <alignment horizontal="center" vertical="center" wrapText="1"/>
    </xf>
    <xf numFmtId="3" fontId="3" fillId="18" borderId="42" xfId="0" applyNumberFormat="1" applyFont="1" applyFill="1" applyBorder="1" applyAlignment="1">
      <alignment horizontal="center" vertical="center" wrapText="1"/>
    </xf>
    <xf numFmtId="3" fontId="3" fillId="18" borderId="15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6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right" vertical="center" wrapText="1"/>
    </xf>
    <xf numFmtId="3" fontId="2" fillId="2" borderId="17" xfId="0" applyNumberFormat="1" applyFont="1" applyFill="1" applyBorder="1" applyAlignment="1">
      <alignment horizontal="right" vertical="center" wrapText="1"/>
    </xf>
    <xf numFmtId="3" fontId="2" fillId="2" borderId="18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9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5" borderId="1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3" fontId="2" fillId="18" borderId="5" xfId="0" applyNumberFormat="1" applyFont="1" applyFill="1" applyBorder="1" applyAlignment="1">
      <alignment horizontal="center" vertical="center" wrapText="1"/>
    </xf>
    <xf numFmtId="3" fontId="2" fillId="18" borderId="13" xfId="0" applyNumberFormat="1" applyFont="1" applyFill="1" applyBorder="1" applyAlignment="1">
      <alignment horizontal="center" vertical="center" wrapText="1"/>
    </xf>
    <xf numFmtId="3" fontId="2" fillId="18" borderId="6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right" vertical="center" wrapText="1"/>
    </xf>
    <xf numFmtId="3" fontId="2" fillId="5" borderId="42" xfId="0" applyNumberFormat="1" applyFont="1" applyFill="1" applyBorder="1" applyAlignment="1">
      <alignment horizontal="right" vertical="center" wrapText="1"/>
    </xf>
    <xf numFmtId="3" fontId="2" fillId="5" borderId="15" xfId="0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/>
    </xf>
    <xf numFmtId="0" fontId="6" fillId="0" borderId="42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64" fontId="2" fillId="18" borderId="16" xfId="0" applyNumberFormat="1" applyFont="1" applyFill="1" applyBorder="1" applyAlignment="1">
      <alignment horizontal="center" vertical="center" wrapText="1"/>
    </xf>
    <xf numFmtId="164" fontId="2" fillId="18" borderId="18" xfId="0" applyNumberFormat="1" applyFont="1" applyFill="1" applyBorder="1" applyAlignment="1">
      <alignment horizontal="center" vertical="center" wrapText="1"/>
    </xf>
    <xf numFmtId="164" fontId="2" fillId="18" borderId="8" xfId="0" applyNumberFormat="1" applyFont="1" applyFill="1" applyBorder="1" applyAlignment="1">
      <alignment horizontal="center" vertical="center" wrapText="1"/>
    </xf>
    <xf numFmtId="3" fontId="2" fillId="18" borderId="1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3" fontId="2" fillId="9" borderId="5" xfId="0" applyNumberFormat="1" applyFont="1" applyFill="1" applyBorder="1" applyAlignment="1">
      <alignment horizontal="center" vertical="center" wrapText="1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3" fontId="5" fillId="10" borderId="16" xfId="0" applyNumberFormat="1" applyFont="1" applyFill="1" applyBorder="1" applyAlignment="1">
      <alignment horizontal="center" vertical="center" wrapText="1"/>
    </xf>
    <xf numFmtId="3" fontId="5" fillId="10" borderId="43" xfId="0" applyNumberFormat="1" applyFont="1" applyFill="1" applyBorder="1" applyAlignment="1">
      <alignment horizontal="center" vertical="center" wrapText="1"/>
    </xf>
    <xf numFmtId="3" fontId="5" fillId="10" borderId="17" xfId="0" applyNumberFormat="1" applyFont="1" applyFill="1" applyBorder="1" applyAlignment="1">
      <alignment horizontal="center" vertical="center" wrapText="1"/>
    </xf>
    <xf numFmtId="3" fontId="5" fillId="10" borderId="8" xfId="0" applyNumberFormat="1" applyFont="1" applyFill="1" applyBorder="1" applyAlignment="1">
      <alignment horizontal="center" vertical="center" wrapText="1"/>
    </xf>
    <xf numFmtId="3" fontId="5" fillId="10" borderId="47" xfId="0" applyNumberFormat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3" fontId="2" fillId="5" borderId="8" xfId="0" applyNumberFormat="1" applyFont="1" applyFill="1" applyBorder="1" applyAlignment="1">
      <alignment horizontal="right" vertical="center" wrapText="1"/>
    </xf>
    <xf numFmtId="3" fontId="2" fillId="5" borderId="47" xfId="0" applyNumberFormat="1" applyFont="1" applyFill="1" applyBorder="1" applyAlignment="1">
      <alignment horizontal="right" vertical="center" wrapText="1"/>
    </xf>
    <xf numFmtId="3" fontId="2" fillId="5" borderId="9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3" fontId="3" fillId="11" borderId="14" xfId="0" applyNumberFormat="1" applyFont="1" applyFill="1" applyBorder="1" applyAlignment="1">
      <alignment horizontal="center" vertical="center" wrapText="1"/>
    </xf>
    <xf numFmtId="3" fontId="3" fillId="11" borderId="42" xfId="0" applyNumberFormat="1" applyFont="1" applyFill="1" applyBorder="1" applyAlignment="1">
      <alignment horizontal="center" vertical="center" wrapText="1"/>
    </xf>
    <xf numFmtId="3" fontId="3" fillId="11" borderId="15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center" vertical="center" wrapText="1"/>
    </xf>
    <xf numFmtId="3" fontId="2" fillId="9" borderId="42" xfId="0" applyNumberFormat="1" applyFont="1" applyFill="1" applyBorder="1" applyAlignment="1">
      <alignment horizontal="center" vertical="center" wrapText="1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43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14" fillId="4" borderId="14" xfId="0" applyNumberFormat="1" applyFont="1" applyFill="1" applyBorder="1" applyAlignment="1">
      <alignment horizontal="right" vertical="center" wrapText="1"/>
    </xf>
    <xf numFmtId="3" fontId="14" fillId="4" borderId="42" xfId="0" applyNumberFormat="1" applyFont="1" applyFill="1" applyBorder="1" applyAlignment="1">
      <alignment horizontal="right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/>
    </xf>
    <xf numFmtId="164" fontId="2" fillId="17" borderId="5" xfId="0" applyNumberFormat="1" applyFont="1" applyFill="1" applyBorder="1" applyAlignment="1">
      <alignment horizontal="center" vertical="center" wrapText="1"/>
    </xf>
    <xf numFmtId="164" fontId="2" fillId="17" borderId="6" xfId="0" applyNumberFormat="1" applyFont="1" applyFill="1" applyBorder="1" applyAlignment="1">
      <alignment horizontal="center" vertical="center" wrapText="1"/>
    </xf>
    <xf numFmtId="3" fontId="2" fillId="17" borderId="5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right" vertical="center" wrapText="1"/>
    </xf>
    <xf numFmtId="49" fontId="3" fillId="2" borderId="42" xfId="0" applyNumberFormat="1" applyFont="1" applyFill="1" applyBorder="1" applyAlignment="1">
      <alignment horizontal="right" vertical="center" wrapText="1"/>
    </xf>
    <xf numFmtId="49" fontId="3" fillId="2" borderId="15" xfId="0" applyNumberFormat="1" applyFont="1" applyFill="1" applyBorder="1" applyAlignment="1">
      <alignment horizontal="right" vertical="center" wrapText="1"/>
    </xf>
    <xf numFmtId="1" fontId="5" fillId="2" borderId="14" xfId="0" applyNumberFormat="1" applyFont="1" applyFill="1" applyBorder="1" applyAlignment="1">
      <alignment horizontal="right" vertical="center" wrapText="1"/>
    </xf>
    <xf numFmtId="1" fontId="5" fillId="2" borderId="42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right" vertical="center" wrapText="1"/>
    </xf>
    <xf numFmtId="3" fontId="5" fillId="2" borderId="14" xfId="0" applyNumberFormat="1" applyFont="1" applyFill="1" applyBorder="1" applyAlignment="1">
      <alignment horizontal="right" vertical="center" wrapText="1"/>
    </xf>
    <xf numFmtId="3" fontId="5" fillId="2" borderId="42" xfId="0" applyNumberFormat="1" applyFont="1" applyFill="1" applyBorder="1" applyAlignment="1">
      <alignment horizontal="right" vertical="center" wrapText="1"/>
    </xf>
    <xf numFmtId="3" fontId="5" fillId="2" borderId="15" xfId="0" applyNumberFormat="1" applyFont="1" applyFill="1" applyBorder="1" applyAlignment="1">
      <alignment horizontal="right" vertical="center" wrapText="1"/>
    </xf>
    <xf numFmtId="3" fontId="3" fillId="11" borderId="14" xfId="0" applyNumberFormat="1" applyFont="1" applyFill="1" applyBorder="1" applyAlignment="1">
      <alignment horizontal="right" vertical="center" wrapText="1"/>
    </xf>
    <xf numFmtId="3" fontId="3" fillId="11" borderId="42" xfId="0" applyNumberFormat="1" applyFont="1" applyFill="1" applyBorder="1" applyAlignment="1">
      <alignment horizontal="right" vertical="center" wrapText="1"/>
    </xf>
    <xf numFmtId="3" fontId="3" fillId="11" borderId="15" xfId="0" applyNumberFormat="1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right" vertical="center"/>
    </xf>
    <xf numFmtId="0" fontId="5" fillId="2" borderId="43" xfId="0" applyFont="1" applyFill="1" applyBorder="1" applyAlignment="1">
      <alignment horizontal="right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47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14" fillId="2" borderId="16" xfId="0" applyNumberFormat="1" applyFont="1" applyFill="1" applyBorder="1" applyAlignment="1">
      <alignment horizontal="center" vertical="center" wrapText="1"/>
    </xf>
    <xf numFmtId="3" fontId="14" fillId="2" borderId="43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/>
    </xf>
    <xf numFmtId="3" fontId="14" fillId="2" borderId="47" xfId="0" applyNumberFormat="1" applyFont="1" applyFill="1" applyBorder="1" applyAlignment="1">
      <alignment horizontal="center" vertical="center" wrapText="1"/>
    </xf>
    <xf numFmtId="3" fontId="14" fillId="2" borderId="9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right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right" vertical="center" wrapText="1"/>
    </xf>
    <xf numFmtId="49" fontId="5" fillId="2" borderId="42" xfId="0" applyNumberFormat="1" applyFont="1" applyFill="1" applyBorder="1" applyAlignment="1">
      <alignment horizontal="right" vertical="center" wrapText="1"/>
    </xf>
    <xf numFmtId="49" fontId="5" fillId="2" borderId="15" xfId="0" applyNumberFormat="1" applyFont="1" applyFill="1" applyBorder="1" applyAlignment="1">
      <alignment horizontal="right" vertical="center" wrapText="1"/>
    </xf>
    <xf numFmtId="0" fontId="0" fillId="6" borderId="5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3" fontId="2" fillId="6" borderId="14" xfId="0" applyNumberFormat="1" applyFont="1" applyFill="1" applyBorder="1" applyAlignment="1">
      <alignment horizontal="center" vertical="center" wrapText="1"/>
    </xf>
    <xf numFmtId="3" fontId="2" fillId="6" borderId="42" xfId="0" applyNumberFormat="1" applyFont="1" applyFill="1" applyBorder="1" applyAlignment="1">
      <alignment horizontal="center" vertical="center" wrapText="1"/>
    </xf>
    <xf numFmtId="3" fontId="2" fillId="6" borderId="15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right" vertical="center" wrapText="1"/>
    </xf>
    <xf numFmtId="1" fontId="2" fillId="2" borderId="42" xfId="0" applyNumberFormat="1" applyFont="1" applyFill="1" applyBorder="1" applyAlignment="1">
      <alignment horizontal="right" vertical="center" wrapText="1"/>
    </xf>
    <xf numFmtId="1" fontId="2" fillId="2" borderId="15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right" vertical="center"/>
    </xf>
    <xf numFmtId="0" fontId="0" fillId="6" borderId="13" xfId="0" applyFont="1" applyFill="1" applyBorder="1" applyAlignment="1">
      <alignment horizontal="right" vertical="center"/>
    </xf>
    <xf numFmtId="0" fontId="0" fillId="6" borderId="6" xfId="0" applyFont="1" applyFill="1" applyBorder="1" applyAlignment="1">
      <alignment horizontal="right" vertical="center"/>
    </xf>
    <xf numFmtId="0" fontId="6" fillId="6" borderId="13" xfId="0" applyFont="1" applyFill="1" applyBorder="1" applyAlignment="1">
      <alignment horizontal="center" vertical="center"/>
    </xf>
    <xf numFmtId="3" fontId="2" fillId="6" borderId="16" xfId="0" applyNumberFormat="1" applyFont="1" applyFill="1" applyBorder="1" applyAlignment="1">
      <alignment horizontal="center" vertical="center" wrapText="1"/>
    </xf>
    <xf numFmtId="3" fontId="2" fillId="6" borderId="43" xfId="0" applyNumberFormat="1" applyFont="1" applyFill="1" applyBorder="1" applyAlignment="1">
      <alignment horizontal="center" vertical="center" wrapText="1"/>
    </xf>
    <xf numFmtId="3" fontId="2" fillId="6" borderId="17" xfId="0" applyNumberFormat="1" applyFont="1" applyFill="1" applyBorder="1" applyAlignment="1">
      <alignment horizontal="center" vertical="center" wrapText="1"/>
    </xf>
    <xf numFmtId="3" fontId="2" fillId="6" borderId="18" xfId="0" applyNumberFormat="1" applyFont="1" applyFill="1" applyBorder="1" applyAlignment="1">
      <alignment horizontal="center" vertical="center" wrapText="1"/>
    </xf>
    <xf numFmtId="3" fontId="2" fillId="6" borderId="0" xfId="0" applyNumberFormat="1" applyFont="1" applyFill="1" applyBorder="1" applyAlignment="1">
      <alignment horizontal="center" vertical="center" wrapText="1"/>
    </xf>
    <xf numFmtId="3" fontId="2" fillId="6" borderId="19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6" borderId="47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3" fontId="2" fillId="6" borderId="5" xfId="0" applyNumberFormat="1" applyFont="1" applyFill="1" applyBorder="1" applyAlignment="1">
      <alignment horizontal="center" vertical="center" wrapText="1"/>
    </xf>
    <xf numFmtId="3" fontId="2" fillId="6" borderId="13" xfId="0" applyNumberFormat="1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164" fontId="2" fillId="2" borderId="42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right" vertical="center"/>
    </xf>
    <xf numFmtId="0" fontId="6" fillId="6" borderId="13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2" fillId="4" borderId="13" xfId="0" applyNumberFormat="1" applyFont="1" applyFill="1" applyBorder="1" applyAlignment="1">
      <alignment horizontal="center"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" fontId="5" fillId="9" borderId="14" xfId="0" applyNumberFormat="1" applyFont="1" applyFill="1" applyBorder="1" applyAlignment="1">
      <alignment horizontal="right" vertical="center" wrapText="1"/>
    </xf>
    <xf numFmtId="1" fontId="5" fillId="9" borderId="42" xfId="0" applyNumberFormat="1" applyFont="1" applyFill="1" applyBorder="1" applyAlignment="1">
      <alignment horizontal="right" vertical="center" wrapText="1"/>
    </xf>
    <xf numFmtId="1" fontId="5" fillId="9" borderId="15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 wrapText="1"/>
    </xf>
    <xf numFmtId="3" fontId="10" fillId="6" borderId="5" xfId="0" applyNumberFormat="1" applyFont="1" applyFill="1" applyBorder="1" applyAlignment="1">
      <alignment horizontal="center" vertical="center" wrapText="1"/>
    </xf>
    <xf numFmtId="3" fontId="10" fillId="6" borderId="6" xfId="0" applyNumberFormat="1" applyFont="1" applyFill="1" applyBorder="1" applyAlignment="1">
      <alignment horizontal="center" vertical="center" wrapText="1"/>
    </xf>
    <xf numFmtId="3" fontId="2" fillId="7" borderId="14" xfId="0" applyNumberFormat="1" applyFont="1" applyFill="1" applyBorder="1" applyAlignment="1">
      <alignment horizontal="right" vertical="center" wrapText="1"/>
    </xf>
    <xf numFmtId="3" fontId="2" fillId="7" borderId="42" xfId="0" applyNumberFormat="1" applyFont="1" applyFill="1" applyBorder="1" applyAlignment="1">
      <alignment horizontal="right" vertical="center" wrapText="1"/>
    </xf>
    <xf numFmtId="3" fontId="2" fillId="7" borderId="15" xfId="0" applyNumberFormat="1" applyFont="1" applyFill="1" applyBorder="1" applyAlignment="1">
      <alignment horizontal="right" vertical="center" wrapText="1"/>
    </xf>
    <xf numFmtId="1" fontId="5" fillId="5" borderId="14" xfId="0" applyNumberFormat="1" applyFont="1" applyFill="1" applyBorder="1" applyAlignment="1">
      <alignment horizontal="right" vertical="center" wrapText="1"/>
    </xf>
    <xf numFmtId="1" fontId="5" fillId="5" borderId="42" xfId="0" applyNumberFormat="1" applyFont="1" applyFill="1" applyBorder="1" applyAlignment="1">
      <alignment horizontal="right" vertical="center" wrapText="1"/>
    </xf>
    <xf numFmtId="1" fontId="5" fillId="5" borderId="15" xfId="0" applyNumberFormat="1" applyFont="1" applyFill="1" applyBorder="1" applyAlignment="1">
      <alignment horizontal="right" vertical="center" wrapText="1"/>
    </xf>
    <xf numFmtId="3" fontId="14" fillId="2" borderId="14" xfId="0" applyNumberFormat="1" applyFont="1" applyFill="1" applyBorder="1" applyAlignment="1">
      <alignment horizontal="right" vertical="center" wrapText="1"/>
    </xf>
    <xf numFmtId="3" fontId="14" fillId="2" borderId="42" xfId="0" applyNumberFormat="1" applyFont="1" applyFill="1" applyBorder="1" applyAlignment="1">
      <alignment horizontal="right" vertical="center" wrapText="1"/>
    </xf>
    <xf numFmtId="3" fontId="14" fillId="2" borderId="15" xfId="0" applyNumberFormat="1" applyFont="1" applyFill="1" applyBorder="1" applyAlignment="1">
      <alignment horizontal="right" vertical="center" wrapText="1"/>
    </xf>
    <xf numFmtId="1" fontId="6" fillId="2" borderId="16" xfId="0" applyNumberFormat="1" applyFont="1" applyFill="1" applyBorder="1" applyAlignment="1">
      <alignment horizontal="right" vertical="center" wrapText="1"/>
    </xf>
    <xf numFmtId="1" fontId="6" fillId="2" borderId="43" xfId="0" applyNumberFormat="1" applyFont="1" applyFill="1" applyBorder="1" applyAlignment="1">
      <alignment horizontal="right" vertical="center" wrapText="1"/>
    </xf>
    <xf numFmtId="1" fontId="6" fillId="2" borderId="17" xfId="0" applyNumberFormat="1" applyFont="1" applyFill="1" applyBorder="1" applyAlignment="1">
      <alignment horizontal="right" vertical="center" wrapText="1"/>
    </xf>
    <xf numFmtId="1" fontId="6" fillId="2" borderId="8" xfId="0" applyNumberFormat="1" applyFont="1" applyFill="1" applyBorder="1" applyAlignment="1">
      <alignment horizontal="right" vertical="center" wrapText="1"/>
    </xf>
    <xf numFmtId="1" fontId="6" fillId="2" borderId="47" xfId="0" applyNumberFormat="1" applyFont="1" applyFill="1" applyBorder="1" applyAlignment="1">
      <alignment horizontal="right" vertical="center" wrapText="1"/>
    </xf>
    <xf numFmtId="1" fontId="6" fillId="2" borderId="9" xfId="0" applyNumberFormat="1" applyFont="1" applyFill="1" applyBorder="1" applyAlignment="1">
      <alignment horizontal="right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3320" t="s">
        <v>1486</v>
      </c>
      <c r="C1" s="3321"/>
      <c r="D1" s="3322"/>
    </row>
    <row r="2" spans="1:7" ht="50.1" customHeight="1" x14ac:dyDescent="0.2">
      <c r="A2" s="10" t="s">
        <v>0</v>
      </c>
      <c r="B2" s="154" t="s">
        <v>1485</v>
      </c>
      <c r="C2" s="8" t="s">
        <v>889</v>
      </c>
      <c r="D2" s="155" t="s">
        <v>890</v>
      </c>
      <c r="F2" s="445" t="s">
        <v>1513</v>
      </c>
    </row>
    <row r="3" spans="1:7" ht="50.1" customHeight="1" x14ac:dyDescent="0.2">
      <c r="A3" s="231"/>
      <c r="B3" s="156">
        <v>2157000000</v>
      </c>
      <c r="C3" s="3347" t="s">
        <v>1530</v>
      </c>
      <c r="D3" s="3378"/>
    </row>
    <row r="4" spans="1:7" ht="30" customHeight="1" x14ac:dyDescent="0.2">
      <c r="A4" s="153">
        <v>1</v>
      </c>
      <c r="B4" s="443">
        <v>100000000</v>
      </c>
      <c r="C4" s="444" t="s">
        <v>1487</v>
      </c>
      <c r="D4" s="157"/>
      <c r="F4" s="446">
        <f>B4+B5+B6+B7+B8+B9</f>
        <v>400000000</v>
      </c>
      <c r="G4" s="5" t="s">
        <v>1515</v>
      </c>
    </row>
    <row r="5" spans="1:7" ht="30" customHeight="1" x14ac:dyDescent="0.2">
      <c r="A5" s="153">
        <v>2</v>
      </c>
      <c r="B5" s="443">
        <v>100000000</v>
      </c>
      <c r="C5" s="444" t="s">
        <v>1488</v>
      </c>
      <c r="D5" s="158"/>
      <c r="F5" s="446">
        <f>B10+B11+B12+B13</f>
        <v>450000000</v>
      </c>
      <c r="G5" s="5" t="s">
        <v>1516</v>
      </c>
    </row>
    <row r="6" spans="1:7" ht="30" customHeight="1" x14ac:dyDescent="0.2">
      <c r="A6" s="153">
        <v>3</v>
      </c>
      <c r="B6" s="443">
        <v>100000000</v>
      </c>
      <c r="C6" s="444" t="s">
        <v>1489</v>
      </c>
      <c r="D6" s="158"/>
      <c r="F6" s="446">
        <f>B14+B15+B16</f>
        <v>125000000</v>
      </c>
      <c r="G6" s="5" t="s">
        <v>1517</v>
      </c>
    </row>
    <row r="7" spans="1:7" ht="30" customHeight="1" x14ac:dyDescent="0.2">
      <c r="A7" s="153">
        <v>4</v>
      </c>
      <c r="B7" s="443">
        <v>25000000</v>
      </c>
      <c r="C7" s="444" t="s">
        <v>1490</v>
      </c>
      <c r="D7" s="158"/>
      <c r="F7" s="446">
        <f>B17+B18+B19</f>
        <v>85000000</v>
      </c>
      <c r="G7" s="5" t="s">
        <v>1518</v>
      </c>
    </row>
    <row r="8" spans="1:7" ht="30" customHeight="1" x14ac:dyDescent="0.2">
      <c r="A8" s="153">
        <v>5</v>
      </c>
      <c r="B8" s="443">
        <v>70000000</v>
      </c>
      <c r="C8" s="444" t="s">
        <v>1490</v>
      </c>
      <c r="D8" s="158"/>
      <c r="F8" s="446">
        <f>B20</f>
        <v>40000000</v>
      </c>
      <c r="G8" s="5" t="s">
        <v>1519</v>
      </c>
    </row>
    <row r="9" spans="1:7" ht="30" customHeight="1" x14ac:dyDescent="0.2">
      <c r="A9" s="153">
        <v>6</v>
      </c>
      <c r="B9" s="443">
        <v>5000000</v>
      </c>
      <c r="C9" s="444" t="s">
        <v>1491</v>
      </c>
      <c r="D9" s="158"/>
      <c r="F9" s="446">
        <f>B21</f>
        <v>50000000</v>
      </c>
      <c r="G9" s="5" t="s">
        <v>1520</v>
      </c>
    </row>
    <row r="10" spans="1:7" ht="30" customHeight="1" x14ac:dyDescent="0.2">
      <c r="A10" s="153">
        <v>7</v>
      </c>
      <c r="B10" s="443">
        <v>50000000</v>
      </c>
      <c r="C10" s="444" t="s">
        <v>1492</v>
      </c>
      <c r="D10" s="158"/>
      <c r="F10" s="446">
        <f>B22</f>
        <v>50000000</v>
      </c>
      <c r="G10" s="5" t="s">
        <v>1521</v>
      </c>
    </row>
    <row r="11" spans="1:7" ht="30" customHeight="1" x14ac:dyDescent="0.2">
      <c r="A11" s="153">
        <v>8</v>
      </c>
      <c r="B11" s="443">
        <v>100000000</v>
      </c>
      <c r="C11" s="444" t="s">
        <v>1493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1498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1510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1504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1504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1503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1495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1496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1494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1497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3372" t="s">
        <v>1531</v>
      </c>
      <c r="D24" s="3373"/>
    </row>
    <row r="26" spans="1:4" ht="15" thickBot="1" x14ac:dyDescent="0.25"/>
    <row r="27" spans="1:4" ht="50.1" customHeight="1" thickBot="1" x14ac:dyDescent="0.25">
      <c r="A27" s="447"/>
      <c r="B27" s="3321" t="s">
        <v>1486</v>
      </c>
      <c r="C27" s="3321"/>
      <c r="D27" s="3322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3347" t="s">
        <v>1532</v>
      </c>
      <c r="D29" s="3378"/>
    </row>
    <row r="30" spans="1:4" ht="30" customHeight="1" x14ac:dyDescent="0.2">
      <c r="A30" s="442"/>
      <c r="B30" s="3377" t="s">
        <v>1533</v>
      </c>
      <c r="C30" s="3340"/>
      <c r="D30" s="3326"/>
    </row>
    <row r="31" spans="1:4" ht="27" thickBot="1" x14ac:dyDescent="0.25">
      <c r="A31" s="417" t="s">
        <v>903</v>
      </c>
      <c r="B31" s="203"/>
      <c r="C31" s="3372"/>
      <c r="D31" s="3373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A4" zoomScale="60" zoomScaleNormal="60" workbookViewId="0">
      <selection activeCell="B9" sqref="B9:E9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3334" t="s">
        <v>2737</v>
      </c>
      <c r="B2" s="3335"/>
      <c r="C2" s="3335"/>
      <c r="D2" s="3335"/>
      <c r="E2" s="3336"/>
    </row>
    <row r="3" spans="1:5" ht="50.1" customHeight="1" thickBot="1" x14ac:dyDescent="0.25">
      <c r="A3" s="637" t="s">
        <v>0</v>
      </c>
      <c r="B3" s="638" t="s">
        <v>906</v>
      </c>
      <c r="C3" s="638" t="s">
        <v>889</v>
      </c>
      <c r="D3" s="638" t="s">
        <v>2030</v>
      </c>
      <c r="E3" s="639" t="s">
        <v>271</v>
      </c>
    </row>
    <row r="4" spans="1:5" ht="50.1" customHeight="1" x14ac:dyDescent="0.2">
      <c r="A4" s="1137">
        <v>1</v>
      </c>
      <c r="B4" s="1198">
        <v>10000000</v>
      </c>
      <c r="C4" s="1200" t="s">
        <v>2572</v>
      </c>
      <c r="D4" s="1198" t="s">
        <v>2057</v>
      </c>
      <c r="E4" s="628"/>
    </row>
    <row r="5" spans="1:5" ht="50.1" customHeight="1" x14ac:dyDescent="0.2">
      <c r="A5" s="1138">
        <v>2</v>
      </c>
      <c r="B5" s="1196">
        <v>5000000</v>
      </c>
      <c r="C5" s="1197" t="s">
        <v>2711</v>
      </c>
      <c r="D5" s="1195" t="s">
        <v>1821</v>
      </c>
      <c r="E5" s="632" t="s">
        <v>3155</v>
      </c>
    </row>
    <row r="6" spans="1:5" ht="50.1" customHeight="1" x14ac:dyDescent="0.2">
      <c r="A6" s="642">
        <v>3</v>
      </c>
      <c r="B6" s="1196">
        <v>20000000</v>
      </c>
      <c r="C6" s="1197" t="s">
        <v>2823</v>
      </c>
      <c r="D6" s="1195" t="s">
        <v>2057</v>
      </c>
      <c r="E6" s="632" t="s">
        <v>2834</v>
      </c>
    </row>
    <row r="7" spans="1:5" ht="50.1" customHeight="1" x14ac:dyDescent="0.2">
      <c r="A7" s="642">
        <v>4</v>
      </c>
      <c r="B7" s="1196">
        <v>8000000</v>
      </c>
      <c r="C7" s="1197" t="s">
        <v>2847</v>
      </c>
      <c r="D7" s="1195" t="s">
        <v>2057</v>
      </c>
      <c r="E7" s="632"/>
    </row>
    <row r="8" spans="1:5" ht="50.1" customHeight="1" x14ac:dyDescent="0.2">
      <c r="A8" s="642" t="s">
        <v>903</v>
      </c>
      <c r="B8" s="3379" t="s">
        <v>2846</v>
      </c>
      <c r="C8" s="3380"/>
      <c r="D8" s="3380"/>
      <c r="E8" s="3381"/>
    </row>
    <row r="9" spans="1:5" ht="50.1" customHeight="1" x14ac:dyDescent="0.2">
      <c r="A9" s="642">
        <v>5</v>
      </c>
      <c r="B9" s="3325" t="s">
        <v>4883</v>
      </c>
      <c r="C9" s="3340"/>
      <c r="D9" s="3340"/>
      <c r="E9" s="3326"/>
    </row>
    <row r="10" spans="1:5" ht="50.1" customHeight="1" x14ac:dyDescent="0.2">
      <c r="A10" s="642">
        <v>6</v>
      </c>
      <c r="B10" s="1196"/>
      <c r="C10" s="1197"/>
      <c r="D10" s="1195"/>
      <c r="E10" s="627"/>
    </row>
    <row r="11" spans="1:5" ht="50.1" customHeight="1" x14ac:dyDescent="0.2">
      <c r="A11" s="642">
        <v>7</v>
      </c>
      <c r="B11" s="1196"/>
      <c r="C11" s="1197"/>
      <c r="D11" s="1195"/>
      <c r="E11" s="627"/>
    </row>
    <row r="12" spans="1:5" ht="50.1" customHeight="1" x14ac:dyDescent="0.2">
      <c r="A12" s="642">
        <v>8</v>
      </c>
      <c r="B12" s="1196"/>
      <c r="C12" s="1197"/>
      <c r="D12" s="1195"/>
      <c r="E12" s="627"/>
    </row>
    <row r="13" spans="1:5" ht="50.1" customHeight="1" x14ac:dyDescent="0.2">
      <c r="A13" s="642">
        <v>9</v>
      </c>
      <c r="B13" s="1196"/>
      <c r="C13" s="1200"/>
      <c r="D13" s="1199"/>
      <c r="E13" s="627"/>
    </row>
    <row r="14" spans="1:5" ht="50.1" customHeight="1" x14ac:dyDescent="0.2">
      <c r="A14" s="642">
        <v>10</v>
      </c>
      <c r="B14" s="1196"/>
      <c r="C14" s="1197"/>
      <c r="D14" s="1195"/>
      <c r="E14" s="627"/>
    </row>
    <row r="15" spans="1:5" ht="50.1" customHeight="1" x14ac:dyDescent="0.2">
      <c r="A15" s="484">
        <v>11</v>
      </c>
      <c r="B15" s="1198"/>
      <c r="C15" s="1200"/>
      <c r="D15" s="1194"/>
      <c r="E15" s="627"/>
    </row>
    <row r="16" spans="1:5" ht="50.1" customHeight="1" x14ac:dyDescent="0.2">
      <c r="A16" s="1136"/>
      <c r="B16" s="1198"/>
      <c r="C16" s="1200"/>
      <c r="D16" s="1198"/>
      <c r="E16" s="627"/>
    </row>
    <row r="17" spans="1:8" ht="50.1" customHeight="1" x14ac:dyDescent="0.2">
      <c r="A17" s="1136"/>
      <c r="B17" s="1198"/>
      <c r="C17" s="1200"/>
      <c r="D17" s="1198"/>
      <c r="E17" s="627"/>
      <c r="H17" s="445"/>
    </row>
    <row r="18" spans="1:8" ht="50.1" customHeight="1" x14ac:dyDescent="0.2">
      <c r="A18" s="1136"/>
      <c r="B18" s="1198"/>
      <c r="C18" s="1200"/>
      <c r="D18" s="1198"/>
      <c r="E18" s="627"/>
      <c r="H18" s="445"/>
    </row>
    <row r="19" spans="1:8" ht="50.1" customHeight="1" x14ac:dyDescent="0.2">
      <c r="A19" s="1136"/>
      <c r="B19" s="1198"/>
      <c r="C19" s="1200"/>
      <c r="D19" s="1198"/>
      <c r="E19" s="627"/>
    </row>
    <row r="20" spans="1:8" ht="50.1" customHeight="1" x14ac:dyDescent="0.2">
      <c r="A20" s="1136"/>
      <c r="B20" s="1198"/>
      <c r="C20" s="1200"/>
      <c r="D20" s="1198"/>
      <c r="E20" s="627"/>
    </row>
    <row r="21" spans="1:8" ht="50.1" customHeight="1" x14ac:dyDescent="0.2">
      <c r="A21" s="1136"/>
      <c r="B21" s="1198"/>
      <c r="C21" s="1200"/>
      <c r="D21" s="1198"/>
      <c r="E21" s="627"/>
    </row>
    <row r="22" spans="1:8" ht="50.1" customHeight="1" x14ac:dyDescent="0.2">
      <c r="A22" s="1136"/>
      <c r="B22" s="1198"/>
      <c r="C22" s="1200"/>
      <c r="D22" s="1198"/>
      <c r="E22" s="627"/>
    </row>
    <row r="23" spans="1:8" ht="50.1" customHeight="1" x14ac:dyDescent="0.2">
      <c r="A23" s="1136"/>
      <c r="B23" s="1198"/>
      <c r="C23" s="1200"/>
      <c r="D23" s="1198"/>
      <c r="E23" s="627"/>
    </row>
    <row r="24" spans="1:8" ht="50.1" customHeight="1" thickBot="1" x14ac:dyDescent="0.25">
      <c r="A24" s="198" t="s">
        <v>2027</v>
      </c>
      <c r="B24" s="3337">
        <f>SUM(B4:B23)</f>
        <v>43000000</v>
      </c>
      <c r="C24" s="3338"/>
      <c r="D24" s="3339"/>
      <c r="E24" s="636"/>
    </row>
  </sheetData>
  <mergeCells count="4">
    <mergeCell ref="A2:E2"/>
    <mergeCell ref="B24:D24"/>
    <mergeCell ref="B8:E8"/>
    <mergeCell ref="B9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topLeftCell="A16" zoomScale="80" zoomScaleNormal="80" workbookViewId="0">
      <selection activeCell="F26" sqref="F26"/>
    </sheetView>
  </sheetViews>
  <sheetFormatPr defaultRowHeight="14.25" x14ac:dyDescent="0.2"/>
  <cols>
    <col min="1" max="1" width="15.625" style="5" customWidth="1"/>
    <col min="2" max="2" width="33.625" customWidth="1"/>
    <col min="3" max="4" width="15.625" customWidth="1"/>
    <col min="6" max="6" width="17" customWidth="1"/>
    <col min="8" max="8" width="19" customWidth="1"/>
    <col min="9" max="9" width="20.625" customWidth="1"/>
  </cols>
  <sheetData>
    <row r="1" spans="1:9" ht="50.1" customHeight="1" x14ac:dyDescent="0.2">
      <c r="A1" s="3382" t="s">
        <v>3922</v>
      </c>
      <c r="B1" s="3383"/>
      <c r="C1" s="3383"/>
      <c r="D1" s="3383"/>
      <c r="E1" s="3383"/>
      <c r="F1" s="3383"/>
      <c r="G1" s="3383"/>
      <c r="H1" s="3383"/>
      <c r="I1" s="3384"/>
    </row>
    <row r="2" spans="1:9" ht="30" customHeight="1" x14ac:dyDescent="0.2">
      <c r="A2" s="642">
        <v>1</v>
      </c>
      <c r="B2" s="1906" t="s">
        <v>1569</v>
      </c>
      <c r="C2" s="1907" t="s">
        <v>1573</v>
      </c>
      <c r="D2" s="1907"/>
      <c r="E2" s="1907" t="s">
        <v>879</v>
      </c>
      <c r="F2" s="1435">
        <v>100000000</v>
      </c>
      <c r="G2" s="1886">
        <v>5.5E-2</v>
      </c>
      <c r="H2" s="1885">
        <v>167000000</v>
      </c>
      <c r="I2" s="1908"/>
    </row>
    <row r="3" spans="1:9" ht="30" customHeight="1" x14ac:dyDescent="0.2">
      <c r="A3" s="642">
        <v>2</v>
      </c>
      <c r="B3" s="1906" t="s">
        <v>1579</v>
      </c>
      <c r="C3" s="1907" t="s">
        <v>1574</v>
      </c>
      <c r="D3" s="1907"/>
      <c r="E3" s="1907" t="s">
        <v>879</v>
      </c>
      <c r="F3" s="1435">
        <v>20000000</v>
      </c>
      <c r="G3" s="1886">
        <v>0.05</v>
      </c>
      <c r="H3" s="1885"/>
      <c r="I3" s="1908"/>
    </row>
    <row r="4" spans="1:9" ht="30" customHeight="1" x14ac:dyDescent="0.2">
      <c r="A4" s="642">
        <v>3</v>
      </c>
      <c r="B4" s="1906" t="s">
        <v>1570</v>
      </c>
      <c r="C4" s="1907" t="s">
        <v>1575</v>
      </c>
      <c r="D4" s="1907"/>
      <c r="E4" s="1907" t="s">
        <v>879</v>
      </c>
      <c r="F4" s="1435">
        <v>50000000</v>
      </c>
      <c r="G4" s="1886">
        <v>0.05</v>
      </c>
      <c r="H4" s="1885"/>
      <c r="I4" s="1908"/>
    </row>
    <row r="5" spans="1:9" ht="30" customHeight="1" x14ac:dyDescent="0.2">
      <c r="A5" s="642">
        <v>4</v>
      </c>
      <c r="B5" s="1906" t="s">
        <v>1570</v>
      </c>
      <c r="C5" s="1907" t="s">
        <v>1576</v>
      </c>
      <c r="D5" s="1907"/>
      <c r="E5" s="1907" t="s">
        <v>879</v>
      </c>
      <c r="F5" s="1435">
        <v>60000000</v>
      </c>
      <c r="G5" s="1886">
        <v>0.05</v>
      </c>
      <c r="H5" s="1885"/>
      <c r="I5" s="1908"/>
    </row>
    <row r="6" spans="1:9" ht="30" customHeight="1" x14ac:dyDescent="0.2">
      <c r="A6" s="642">
        <v>5</v>
      </c>
      <c r="B6" s="1906" t="s">
        <v>1571</v>
      </c>
      <c r="C6" s="1907" t="s">
        <v>1577</v>
      </c>
      <c r="D6" s="1907"/>
      <c r="E6" s="1907" t="s">
        <v>879</v>
      </c>
      <c r="F6" s="1435">
        <v>100000000</v>
      </c>
      <c r="G6" s="1886">
        <v>7.0000000000000007E-2</v>
      </c>
      <c r="H6" s="1885"/>
      <c r="I6" s="1908"/>
    </row>
    <row r="7" spans="1:9" ht="30" customHeight="1" x14ac:dyDescent="0.2">
      <c r="A7" s="642">
        <v>6</v>
      </c>
      <c r="B7" s="1906" t="s">
        <v>1572</v>
      </c>
      <c r="C7" s="1907" t="s">
        <v>839</v>
      </c>
      <c r="D7" s="1907"/>
      <c r="E7" s="1907" t="s">
        <v>879</v>
      </c>
      <c r="F7" s="1435">
        <v>100000000</v>
      </c>
      <c r="G7" s="1886">
        <v>7.0000000000000007E-2</v>
      </c>
      <c r="H7" s="1885"/>
      <c r="I7" s="1908"/>
    </row>
    <row r="8" spans="1:9" ht="30" customHeight="1" x14ac:dyDescent="0.2">
      <c r="A8" s="642">
        <v>7</v>
      </c>
      <c r="B8" s="1906" t="s">
        <v>1377</v>
      </c>
      <c r="C8" s="1907" t="s">
        <v>3448</v>
      </c>
      <c r="D8" s="1907" t="s">
        <v>3139</v>
      </c>
      <c r="E8" s="1907" t="s">
        <v>879</v>
      </c>
      <c r="F8" s="1435">
        <v>50000000</v>
      </c>
      <c r="G8" s="1886"/>
      <c r="H8" s="1885">
        <v>80000000</v>
      </c>
      <c r="I8" s="1908" t="s">
        <v>3449</v>
      </c>
    </row>
    <row r="9" spans="1:9" ht="50.1" customHeight="1" thickBot="1" x14ac:dyDescent="0.25">
      <c r="A9" s="1909"/>
      <c r="B9" s="1910"/>
      <c r="C9" s="1910"/>
      <c r="D9" s="1910"/>
      <c r="E9" s="1911"/>
      <c r="F9" s="1911"/>
      <c r="G9" s="1911"/>
      <c r="H9" s="1911"/>
      <c r="I9" s="1912"/>
    </row>
    <row r="10" spans="1:9" ht="50.1" customHeight="1" x14ac:dyDescent="0.2">
      <c r="A10" s="612"/>
      <c r="B10" s="612"/>
      <c r="C10" s="612"/>
      <c r="D10" s="612"/>
    </row>
    <row r="11" spans="1:9" ht="50.1" customHeight="1" x14ac:dyDescent="0.2">
      <c r="A11" s="3388" t="s">
        <v>3923</v>
      </c>
      <c r="B11" s="3388"/>
      <c r="C11" s="3388"/>
      <c r="D11" s="3388"/>
      <c r="E11" s="3388"/>
      <c r="F11" s="3388"/>
      <c r="G11" s="3388"/>
      <c r="H11" s="3388"/>
      <c r="I11" s="3388"/>
    </row>
    <row r="12" spans="1:9" ht="50.1" customHeight="1" x14ac:dyDescent="0.2">
      <c r="A12" s="3388" t="s">
        <v>3927</v>
      </c>
      <c r="B12" s="3388"/>
      <c r="C12" s="3388"/>
      <c r="D12" s="3388"/>
      <c r="E12" s="3388"/>
      <c r="F12" s="3388"/>
      <c r="G12" s="3388"/>
      <c r="H12" s="3388"/>
      <c r="I12" s="3388"/>
    </row>
    <row r="13" spans="1:9" ht="50.1" customHeight="1" x14ac:dyDescent="0.2">
      <c r="A13" s="3385" t="s">
        <v>3928</v>
      </c>
      <c r="B13" s="3385"/>
      <c r="C13" s="3385"/>
      <c r="D13" s="3385"/>
      <c r="E13" s="3385"/>
      <c r="F13" s="3385"/>
      <c r="G13" s="3385"/>
      <c r="H13" s="3385"/>
      <c r="I13" s="3385"/>
    </row>
    <row r="14" spans="1:9" ht="50.1" customHeight="1" x14ac:dyDescent="0.2">
      <c r="A14" s="3388" t="s">
        <v>3924</v>
      </c>
      <c r="B14" s="3388"/>
      <c r="C14" s="3388"/>
      <c r="D14" s="3388"/>
      <c r="E14" s="3388"/>
      <c r="F14" s="3388"/>
      <c r="G14" s="3388"/>
      <c r="H14" s="3388"/>
      <c r="I14" s="3388"/>
    </row>
    <row r="15" spans="1:9" ht="50.1" customHeight="1" x14ac:dyDescent="0.2">
      <c r="A15" s="3388" t="s">
        <v>3925</v>
      </c>
      <c r="B15" s="3388"/>
      <c r="C15" s="3388"/>
      <c r="D15" s="3388"/>
      <c r="E15" s="3388"/>
      <c r="F15" s="3388"/>
      <c r="G15" s="3388"/>
      <c r="H15" s="3388"/>
      <c r="I15" s="3388"/>
    </row>
    <row r="16" spans="1:9" ht="50.1" customHeight="1" thickBot="1" x14ac:dyDescent="0.25">
      <c r="A16" s="612"/>
      <c r="B16" s="612"/>
      <c r="C16" s="612"/>
      <c r="D16" s="612"/>
    </row>
    <row r="17" spans="1:9" ht="50.1" customHeight="1" x14ac:dyDescent="0.2">
      <c r="A17" s="3382" t="s">
        <v>4021</v>
      </c>
      <c r="B17" s="3383"/>
      <c r="C17" s="3383"/>
      <c r="D17" s="3383"/>
      <c r="E17" s="3383"/>
      <c r="F17" s="3383"/>
      <c r="G17" s="3383"/>
      <c r="H17" s="3383"/>
      <c r="I17" s="3384"/>
    </row>
    <row r="18" spans="1:9" ht="30" customHeight="1" x14ac:dyDescent="0.2">
      <c r="A18" s="642">
        <v>1</v>
      </c>
      <c r="B18" s="13" t="s">
        <v>1569</v>
      </c>
      <c r="C18" s="972" t="s">
        <v>3498</v>
      </c>
      <c r="D18" s="972" t="s">
        <v>3216</v>
      </c>
      <c r="E18" s="972" t="s">
        <v>879</v>
      </c>
      <c r="F18" s="1875">
        <v>100000000</v>
      </c>
      <c r="G18" s="479">
        <v>7.0000000000000007E-2</v>
      </c>
      <c r="H18" s="2247">
        <v>184000000</v>
      </c>
      <c r="I18" s="1908"/>
    </row>
    <row r="19" spans="1:9" ht="30" customHeight="1" x14ac:dyDescent="0.2">
      <c r="A19" s="642">
        <v>2</v>
      </c>
      <c r="B19" s="13" t="s">
        <v>1579</v>
      </c>
      <c r="C19" s="972" t="s">
        <v>1574</v>
      </c>
      <c r="D19" s="972" t="s">
        <v>4016</v>
      </c>
      <c r="E19" s="972" t="s">
        <v>879</v>
      </c>
      <c r="F19" s="1875">
        <v>20000000</v>
      </c>
      <c r="G19" s="479">
        <v>0.05</v>
      </c>
      <c r="H19" s="2247">
        <v>32000000</v>
      </c>
      <c r="I19" s="1908"/>
    </row>
    <row r="20" spans="1:9" ht="30" customHeight="1" x14ac:dyDescent="0.2">
      <c r="A20" s="642">
        <v>3</v>
      </c>
      <c r="B20" s="13" t="s">
        <v>1579</v>
      </c>
      <c r="C20" s="972" t="s">
        <v>3498</v>
      </c>
      <c r="D20" s="972" t="s">
        <v>3926</v>
      </c>
      <c r="E20" s="972" t="s">
        <v>1618</v>
      </c>
      <c r="F20" s="1875">
        <v>225000000</v>
      </c>
      <c r="G20" s="479">
        <v>7.0000000000000007E-2</v>
      </c>
      <c r="H20" s="2247">
        <v>319500000</v>
      </c>
      <c r="I20" s="1908"/>
    </row>
    <row r="21" spans="1:9" ht="30" customHeight="1" x14ac:dyDescent="0.2">
      <c r="A21" s="642">
        <v>4</v>
      </c>
      <c r="B21" s="117" t="s">
        <v>1570</v>
      </c>
      <c r="C21" s="1762" t="s">
        <v>1575</v>
      </c>
      <c r="D21" s="1762"/>
      <c r="E21" s="1762" t="s">
        <v>879</v>
      </c>
      <c r="F21" s="1884">
        <v>50000000</v>
      </c>
      <c r="G21" s="44">
        <v>0.05</v>
      </c>
      <c r="H21" s="3386" t="s">
        <v>3932</v>
      </c>
      <c r="I21" s="3387"/>
    </row>
    <row r="22" spans="1:9" ht="30" customHeight="1" x14ac:dyDescent="0.2">
      <c r="A22" s="642">
        <v>5</v>
      </c>
      <c r="B22" s="117" t="s">
        <v>1570</v>
      </c>
      <c r="C22" s="1762" t="s">
        <v>1576</v>
      </c>
      <c r="D22" s="1762"/>
      <c r="E22" s="1762" t="s">
        <v>879</v>
      </c>
      <c r="F22" s="1884">
        <v>60000000</v>
      </c>
      <c r="G22" s="44">
        <v>0.05</v>
      </c>
      <c r="H22" s="3386" t="s">
        <v>3932</v>
      </c>
      <c r="I22" s="3387"/>
    </row>
    <row r="23" spans="1:9" ht="30" customHeight="1" x14ac:dyDescent="0.2">
      <c r="A23" s="642">
        <v>6</v>
      </c>
      <c r="B23" s="13" t="s">
        <v>1571</v>
      </c>
      <c r="C23" s="972" t="s">
        <v>1577</v>
      </c>
      <c r="D23" s="972" t="s">
        <v>4017</v>
      </c>
      <c r="E23" s="972" t="s">
        <v>879</v>
      </c>
      <c r="F23" s="1875">
        <v>100000000</v>
      </c>
      <c r="G23" s="479">
        <v>7.0000000000000007E-2</v>
      </c>
      <c r="H23" s="2247">
        <v>184000000</v>
      </c>
      <c r="I23" s="1908"/>
    </row>
    <row r="24" spans="1:9" ht="30" customHeight="1" x14ac:dyDescent="0.2">
      <c r="A24" s="642">
        <v>7</v>
      </c>
      <c r="B24" s="13" t="s">
        <v>1572</v>
      </c>
      <c r="C24" s="972" t="s">
        <v>839</v>
      </c>
      <c r="D24" s="972" t="s">
        <v>4018</v>
      </c>
      <c r="E24" s="972" t="s">
        <v>879</v>
      </c>
      <c r="F24" s="1875">
        <v>100000000</v>
      </c>
      <c r="G24" s="479">
        <v>7.0000000000000007E-2</v>
      </c>
      <c r="H24" s="2247">
        <v>184000000</v>
      </c>
      <c r="I24" s="1908"/>
    </row>
    <row r="25" spans="1:9" ht="30" customHeight="1" x14ac:dyDescent="0.2">
      <c r="A25" s="642">
        <v>8</v>
      </c>
      <c r="B25" s="117" t="s">
        <v>1377</v>
      </c>
      <c r="C25" s="1762" t="s">
        <v>3448</v>
      </c>
      <c r="D25" s="1762" t="s">
        <v>3139</v>
      </c>
      <c r="E25" s="1762" t="s">
        <v>879</v>
      </c>
      <c r="F25" s="1962">
        <v>50000000</v>
      </c>
      <c r="G25" s="44"/>
      <c r="H25" s="1962">
        <v>80000000</v>
      </c>
      <c r="I25" s="2041" t="s">
        <v>4015</v>
      </c>
    </row>
    <row r="26" spans="1:9" ht="50.1" customHeight="1" thickBot="1" x14ac:dyDescent="0.25">
      <c r="A26" s="1909"/>
      <c r="B26" s="1910"/>
      <c r="C26" s="1910"/>
      <c r="D26" s="1910"/>
      <c r="E26" s="1911"/>
      <c r="F26" s="2044">
        <f>1036000000-H26</f>
        <v>132500000</v>
      </c>
      <c r="G26" s="2045"/>
      <c r="H26" s="2259">
        <f>H18+H19+H20+H23+H24</f>
        <v>903500000</v>
      </c>
      <c r="I26" s="2046">
        <f>1027500000-F26</f>
        <v>895000000</v>
      </c>
    </row>
  </sheetData>
  <mergeCells count="9">
    <mergeCell ref="A17:I17"/>
    <mergeCell ref="A13:I13"/>
    <mergeCell ref="H21:I21"/>
    <mergeCell ref="H22:I22"/>
    <mergeCell ref="A1:I1"/>
    <mergeCell ref="A11:I11"/>
    <mergeCell ref="A14:I14"/>
    <mergeCell ref="A12:I12"/>
    <mergeCell ref="A15:I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rightToLeft="1" topLeftCell="A22" zoomScale="70" zoomScaleNormal="70" workbookViewId="0">
      <selection activeCell="I36" sqref="I36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3391" t="s">
        <v>1598</v>
      </c>
      <c r="B1" s="3392"/>
      <c r="C1" s="3392"/>
      <c r="D1" s="3392"/>
      <c r="E1" s="3392"/>
      <c r="F1" s="3393"/>
    </row>
    <row r="2" spans="1:6" ht="50.1" customHeight="1" x14ac:dyDescent="0.2">
      <c r="A2" s="489" t="s">
        <v>1596</v>
      </c>
      <c r="B2" s="490" t="s">
        <v>1592</v>
      </c>
      <c r="C2" s="490" t="s">
        <v>1056</v>
      </c>
      <c r="D2" s="490" t="s">
        <v>1593</v>
      </c>
      <c r="E2" s="490" t="s">
        <v>1594</v>
      </c>
      <c r="F2" s="491" t="s">
        <v>1595</v>
      </c>
    </row>
    <row r="3" spans="1:6" ht="30" customHeight="1" x14ac:dyDescent="0.2">
      <c r="A3" s="487" t="s">
        <v>1600</v>
      </c>
      <c r="B3" s="156">
        <v>179439560</v>
      </c>
      <c r="C3" s="464">
        <v>0.05</v>
      </c>
      <c r="D3" s="488">
        <f>B3*C3</f>
        <v>8971978</v>
      </c>
      <c r="E3" s="485">
        <f>B3+D3</f>
        <v>188411538</v>
      </c>
      <c r="F3" s="158">
        <v>3000000</v>
      </c>
    </row>
    <row r="4" spans="1:6" ht="30" customHeight="1" x14ac:dyDescent="0.2">
      <c r="A4" s="486" t="s">
        <v>1607</v>
      </c>
      <c r="B4" s="224">
        <f>E3-F3</f>
        <v>185411538</v>
      </c>
      <c r="C4" s="464">
        <v>0.05</v>
      </c>
      <c r="D4" s="473">
        <f>B4*C4</f>
        <v>9270576.9000000004</v>
      </c>
      <c r="E4" s="473">
        <f>B4+D4</f>
        <v>194682114.90000001</v>
      </c>
      <c r="F4" s="494">
        <v>6000000</v>
      </c>
    </row>
    <row r="5" spans="1:6" ht="30" customHeight="1" x14ac:dyDescent="0.2">
      <c r="A5" s="486" t="s">
        <v>1608</v>
      </c>
      <c r="B5" s="224">
        <f>E4-F4-1</f>
        <v>188682113.90000001</v>
      </c>
      <c r="C5" s="464">
        <v>0.05</v>
      </c>
      <c r="D5" s="473">
        <f>B5*C5</f>
        <v>9434105.6950000003</v>
      </c>
      <c r="E5" s="473">
        <f t="shared" ref="E5:E14" si="0">B5+D5</f>
        <v>198116219.595</v>
      </c>
      <c r="F5" s="494">
        <v>6000000</v>
      </c>
    </row>
    <row r="6" spans="1:6" ht="30" customHeight="1" x14ac:dyDescent="0.2">
      <c r="A6" s="486" t="s">
        <v>1609</v>
      </c>
      <c r="B6" s="224">
        <f t="shared" ref="B6" si="1">E5-F5-1</f>
        <v>192116218.595</v>
      </c>
      <c r="C6" s="464">
        <v>0.05</v>
      </c>
      <c r="D6" s="473">
        <f>B6*C6-1</f>
        <v>9605809.9297500011</v>
      </c>
      <c r="E6" s="473">
        <f t="shared" si="0"/>
        <v>201722028.52474999</v>
      </c>
      <c r="F6" s="494">
        <v>6000000</v>
      </c>
    </row>
    <row r="7" spans="1:6" ht="30" customHeight="1" x14ac:dyDescent="0.2">
      <c r="A7" s="486" t="s">
        <v>1609</v>
      </c>
      <c r="B7" s="3377" t="s">
        <v>1597</v>
      </c>
      <c r="C7" s="3340"/>
      <c r="D7" s="3340"/>
      <c r="E7" s="3341"/>
      <c r="F7" s="494">
        <v>10000000</v>
      </c>
    </row>
    <row r="8" spans="1:6" ht="30" customHeight="1" x14ac:dyDescent="0.2">
      <c r="A8" s="486" t="s">
        <v>1610</v>
      </c>
      <c r="B8" s="224">
        <v>185722029</v>
      </c>
      <c r="C8" s="464">
        <v>0.05</v>
      </c>
      <c r="D8" s="473">
        <f t="shared" ref="D8:D11" si="2">B8*C8</f>
        <v>9286101.4500000011</v>
      </c>
      <c r="E8" s="473">
        <f t="shared" si="0"/>
        <v>195008130.44999999</v>
      </c>
      <c r="F8" s="494">
        <v>6000000</v>
      </c>
    </row>
    <row r="9" spans="1:6" ht="30" customHeight="1" x14ac:dyDescent="0.2">
      <c r="A9" s="486" t="s">
        <v>1601</v>
      </c>
      <c r="B9" s="224">
        <f t="shared" ref="B9:B14" si="3">E8-F8-1+1</f>
        <v>189008130.44999999</v>
      </c>
      <c r="C9" s="464">
        <v>0.05</v>
      </c>
      <c r="D9" s="473">
        <f>B9*C9-1</f>
        <v>9450405.522499999</v>
      </c>
      <c r="E9" s="473">
        <f t="shared" si="0"/>
        <v>198458535.9725</v>
      </c>
      <c r="F9" s="494">
        <v>10000000</v>
      </c>
    </row>
    <row r="10" spans="1:6" ht="30" customHeight="1" x14ac:dyDescent="0.2">
      <c r="A10" s="486" t="s">
        <v>1602</v>
      </c>
      <c r="B10" s="224">
        <f t="shared" si="3"/>
        <v>188458535.9725</v>
      </c>
      <c r="C10" s="464">
        <v>0.05</v>
      </c>
      <c r="D10" s="473">
        <f>B10*C10-1</f>
        <v>9422925.7986249998</v>
      </c>
      <c r="E10" s="473">
        <f t="shared" si="0"/>
        <v>197881461.77112499</v>
      </c>
      <c r="F10" s="494">
        <v>10000000</v>
      </c>
    </row>
    <row r="11" spans="1:6" ht="30" customHeight="1" x14ac:dyDescent="0.2">
      <c r="A11" s="486" t="s">
        <v>1603</v>
      </c>
      <c r="B11" s="224">
        <f t="shared" si="3"/>
        <v>187881461.77112499</v>
      </c>
      <c r="C11" s="464">
        <v>0.05</v>
      </c>
      <c r="D11" s="473">
        <f t="shared" si="2"/>
        <v>9394073.0885562506</v>
      </c>
      <c r="E11" s="473">
        <f t="shared" si="0"/>
        <v>197275534.85968125</v>
      </c>
      <c r="F11" s="494">
        <v>10000000</v>
      </c>
    </row>
    <row r="12" spans="1:6" ht="30" customHeight="1" x14ac:dyDescent="0.2">
      <c r="A12" s="486" t="s">
        <v>1604</v>
      </c>
      <c r="B12" s="224">
        <f t="shared" si="3"/>
        <v>187275534.85968125</v>
      </c>
      <c r="C12" s="464">
        <v>0.05</v>
      </c>
      <c r="D12" s="473">
        <f>B12*C12-1</f>
        <v>9363775.7429840621</v>
      </c>
      <c r="E12" s="473">
        <f>B12+D12+60000000</f>
        <v>256639310.60266531</v>
      </c>
      <c r="F12" s="494">
        <v>0</v>
      </c>
    </row>
    <row r="13" spans="1:6" ht="30" customHeight="1" x14ac:dyDescent="0.2">
      <c r="A13" s="486" t="s">
        <v>1605</v>
      </c>
      <c r="B13" s="492">
        <f t="shared" si="3"/>
        <v>256639310.60266531</v>
      </c>
      <c r="C13" s="464">
        <v>0.05</v>
      </c>
      <c r="D13" s="473">
        <f>B13*C13-1</f>
        <v>12831964.530133266</v>
      </c>
      <c r="E13" s="473">
        <f>B13+D13+1</f>
        <v>269471276.13279855</v>
      </c>
      <c r="F13" s="494">
        <f>10000000</f>
        <v>10000000</v>
      </c>
    </row>
    <row r="14" spans="1:6" ht="30" customHeight="1" thickBot="1" x14ac:dyDescent="0.25">
      <c r="A14" s="493" t="s">
        <v>1606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9" ht="15" thickBot="1" x14ac:dyDescent="0.25"/>
    <row r="18" spans="1:9" ht="50.1" customHeight="1" thickBot="1" x14ac:dyDescent="0.25">
      <c r="A18" s="3391" t="s">
        <v>1599</v>
      </c>
      <c r="B18" s="3392"/>
      <c r="C18" s="3392"/>
      <c r="D18" s="3392"/>
      <c r="E18" s="3392"/>
      <c r="F18" s="3393"/>
    </row>
    <row r="19" spans="1:9" ht="50.1" customHeight="1" x14ac:dyDescent="0.2">
      <c r="A19" s="489" t="s">
        <v>1596</v>
      </c>
      <c r="B19" s="490" t="s">
        <v>1592</v>
      </c>
      <c r="C19" s="490" t="s">
        <v>1056</v>
      </c>
      <c r="D19" s="490" t="s">
        <v>1593</v>
      </c>
      <c r="E19" s="490" t="s">
        <v>1594</v>
      </c>
      <c r="F19" s="491" t="s">
        <v>1595</v>
      </c>
    </row>
    <row r="20" spans="1:9" ht="30" customHeight="1" x14ac:dyDescent="0.2">
      <c r="A20" s="487" t="s">
        <v>1600</v>
      </c>
      <c r="B20" s="156">
        <v>179439560</v>
      </c>
      <c r="C20" s="2356">
        <v>0.05</v>
      </c>
      <c r="D20" s="2354">
        <f>B20*C20</f>
        <v>8971978</v>
      </c>
      <c r="E20" s="2354">
        <f>B20+D20</f>
        <v>188411538</v>
      </c>
      <c r="F20" s="494">
        <v>3000000</v>
      </c>
    </row>
    <row r="21" spans="1:9" ht="30" customHeight="1" x14ac:dyDescent="0.2">
      <c r="A21" s="486" t="s">
        <v>1607</v>
      </c>
      <c r="B21" s="224">
        <f>E20-F20</f>
        <v>185411538</v>
      </c>
      <c r="C21" s="2356">
        <v>0.05</v>
      </c>
      <c r="D21" s="2354">
        <f t="shared" ref="D21:D23" si="4">B21*C21</f>
        <v>9270576.9000000004</v>
      </c>
      <c r="E21" s="2354">
        <f t="shared" ref="E21:E23" si="5">B21+D21</f>
        <v>194682114.90000001</v>
      </c>
      <c r="F21" s="494">
        <v>6000000</v>
      </c>
    </row>
    <row r="22" spans="1:9" ht="30" customHeight="1" x14ac:dyDescent="0.2">
      <c r="A22" s="486" t="s">
        <v>1608</v>
      </c>
      <c r="B22" s="224">
        <f t="shared" ref="B22:B23" si="6">E21-F21</f>
        <v>188682114.90000001</v>
      </c>
      <c r="C22" s="2356">
        <v>0.05</v>
      </c>
      <c r="D22" s="2354">
        <f t="shared" si="4"/>
        <v>9434105.745000001</v>
      </c>
      <c r="E22" s="2354">
        <f t="shared" si="5"/>
        <v>198116220.64500001</v>
      </c>
      <c r="F22" s="494">
        <v>6000000</v>
      </c>
    </row>
    <row r="23" spans="1:9" ht="30" customHeight="1" x14ac:dyDescent="0.2">
      <c r="A23" s="486" t="s">
        <v>1609</v>
      </c>
      <c r="B23" s="224">
        <f t="shared" si="6"/>
        <v>192116220.64500001</v>
      </c>
      <c r="C23" s="2356">
        <v>0.05</v>
      </c>
      <c r="D23" s="2354">
        <f t="shared" si="4"/>
        <v>9605811.0322500002</v>
      </c>
      <c r="E23" s="2354">
        <f t="shared" si="5"/>
        <v>201722031.67725</v>
      </c>
      <c r="F23" s="494">
        <v>6000000</v>
      </c>
    </row>
    <row r="24" spans="1:9" ht="30" customHeight="1" x14ac:dyDescent="0.2">
      <c r="A24" s="486" t="s">
        <v>1609</v>
      </c>
      <c r="B24" s="3377" t="s">
        <v>1597</v>
      </c>
      <c r="C24" s="3340"/>
      <c r="D24" s="3340"/>
      <c r="E24" s="3341"/>
      <c r="F24" s="494">
        <v>10000000</v>
      </c>
    </row>
    <row r="25" spans="1:9" ht="30" customHeight="1" x14ac:dyDescent="0.2">
      <c r="A25" s="486" t="s">
        <v>1610</v>
      </c>
      <c r="B25" s="224">
        <f>E23-F23-F24</f>
        <v>185722031.67725</v>
      </c>
      <c r="C25" s="2356">
        <v>0.05</v>
      </c>
      <c r="D25" s="2354">
        <f>B25*C25</f>
        <v>9286101.5838625003</v>
      </c>
      <c r="E25" s="2354">
        <f>B25+D25</f>
        <v>195008133.26111251</v>
      </c>
      <c r="F25" s="494">
        <v>6000000</v>
      </c>
    </row>
    <row r="26" spans="1:9" ht="30" customHeight="1" x14ac:dyDescent="0.2">
      <c r="A26" s="486" t="s">
        <v>1601</v>
      </c>
      <c r="B26" s="224">
        <f>E25-F25</f>
        <v>189008133.26111251</v>
      </c>
      <c r="C26" s="2356">
        <v>0.05</v>
      </c>
      <c r="D26" s="2354">
        <f t="shared" ref="D26:D31" si="7">B26*C26</f>
        <v>9450406.6630556267</v>
      </c>
      <c r="E26" s="2354">
        <f t="shared" ref="E26:E31" si="8">B26+D26</f>
        <v>198458539.92416814</v>
      </c>
      <c r="F26" s="494">
        <v>10000000</v>
      </c>
    </row>
    <row r="27" spans="1:9" ht="30" customHeight="1" x14ac:dyDescent="0.2">
      <c r="A27" s="486" t="s">
        <v>1602</v>
      </c>
      <c r="B27" s="224">
        <f t="shared" ref="B27:B31" si="9">E26-F26</f>
        <v>188458539.92416814</v>
      </c>
      <c r="C27" s="2356">
        <v>0.05</v>
      </c>
      <c r="D27" s="2354">
        <f t="shared" si="7"/>
        <v>9422926.996208407</v>
      </c>
      <c r="E27" s="2354">
        <f t="shared" si="8"/>
        <v>197881466.92037654</v>
      </c>
      <c r="F27" s="494">
        <v>10000000</v>
      </c>
    </row>
    <row r="28" spans="1:9" ht="30" customHeight="1" x14ac:dyDescent="0.2">
      <c r="A28" s="486" t="s">
        <v>1603</v>
      </c>
      <c r="B28" s="224">
        <f t="shared" si="9"/>
        <v>187881466.92037654</v>
      </c>
      <c r="C28" s="2356">
        <v>0.05</v>
      </c>
      <c r="D28" s="2354">
        <f t="shared" si="7"/>
        <v>9394073.3460188266</v>
      </c>
      <c r="E28" s="2354">
        <f t="shared" si="8"/>
        <v>197275540.26639536</v>
      </c>
      <c r="F28" s="494">
        <v>10000000</v>
      </c>
    </row>
    <row r="29" spans="1:9" ht="30" customHeight="1" x14ac:dyDescent="0.2">
      <c r="A29" s="486" t="s">
        <v>1604</v>
      </c>
      <c r="B29" s="224">
        <f t="shared" si="9"/>
        <v>187275540.26639536</v>
      </c>
      <c r="C29" s="2356">
        <v>0.05</v>
      </c>
      <c r="D29" s="2354">
        <f t="shared" si="7"/>
        <v>9363777.013319768</v>
      </c>
      <c r="E29" s="2354">
        <f>B29+D29+60000000</f>
        <v>256639317.27971512</v>
      </c>
      <c r="F29" s="494">
        <v>0</v>
      </c>
      <c r="G29" s="3389" t="s">
        <v>3457</v>
      </c>
      <c r="H29" s="3389"/>
      <c r="I29" s="3389"/>
    </row>
    <row r="30" spans="1:9" ht="30" customHeight="1" x14ac:dyDescent="0.2">
      <c r="A30" s="486" t="s">
        <v>1605</v>
      </c>
      <c r="B30" s="492">
        <f t="shared" si="9"/>
        <v>256639317.27971512</v>
      </c>
      <c r="C30" s="2356">
        <v>0.05</v>
      </c>
      <c r="D30" s="2354">
        <f t="shared" si="7"/>
        <v>12831965.863985756</v>
      </c>
      <c r="E30" s="2354">
        <f>B30+D30</f>
        <v>269471283.1437009</v>
      </c>
      <c r="F30" s="494">
        <v>10000000</v>
      </c>
      <c r="G30" s="3389" t="s">
        <v>4382</v>
      </c>
      <c r="H30" s="3389"/>
      <c r="I30" s="3389"/>
    </row>
    <row r="31" spans="1:9" ht="30" customHeight="1" x14ac:dyDescent="0.2">
      <c r="A31" s="2386" t="s">
        <v>1606</v>
      </c>
      <c r="B31" s="2353">
        <f t="shared" si="9"/>
        <v>259471283.1437009</v>
      </c>
      <c r="C31" s="2357">
        <v>0.05</v>
      </c>
      <c r="D31" s="2355">
        <f t="shared" si="7"/>
        <v>12973564.157185046</v>
      </c>
      <c r="E31" s="2355">
        <f t="shared" si="8"/>
        <v>272444847.30088592</v>
      </c>
      <c r="F31" s="2387">
        <v>10000000</v>
      </c>
      <c r="G31" s="3389" t="s">
        <v>4383</v>
      </c>
      <c r="H31" s="3389"/>
      <c r="I31" s="3389"/>
    </row>
    <row r="32" spans="1:9" ht="30" customHeight="1" x14ac:dyDescent="0.2">
      <c r="A32" s="486" t="s">
        <v>4376</v>
      </c>
      <c r="B32" s="2385">
        <f>E31-F31</f>
        <v>262444847.30088592</v>
      </c>
      <c r="C32" s="2358">
        <v>0.05</v>
      </c>
      <c r="D32" s="2355">
        <f>B32*C32</f>
        <v>13122242.365044296</v>
      </c>
      <c r="E32" s="2355">
        <f>B32+D32</f>
        <v>275567089.66593021</v>
      </c>
      <c r="F32" s="816">
        <v>10000000</v>
      </c>
      <c r="G32" s="3390" t="s">
        <v>4460</v>
      </c>
      <c r="H32" s="3389"/>
      <c r="I32" s="3389"/>
    </row>
    <row r="33" spans="1:8" ht="30" customHeight="1" x14ac:dyDescent="0.2">
      <c r="A33" s="2402" t="s">
        <v>4377</v>
      </c>
      <c r="B33" s="2360">
        <f>E32-F32</f>
        <v>265567089.66593021</v>
      </c>
      <c r="C33" s="2358"/>
      <c r="D33" s="2354"/>
      <c r="E33" s="2354"/>
      <c r="F33" s="2387"/>
      <c r="G33" s="2384"/>
      <c r="H33" s="2352"/>
    </row>
    <row r="34" spans="1:8" ht="30" customHeight="1" x14ac:dyDescent="0.2">
      <c r="A34" s="486" t="s">
        <v>4378</v>
      </c>
      <c r="B34" s="2353"/>
      <c r="C34" s="2358"/>
      <c r="D34" s="2354"/>
      <c r="E34" s="2354"/>
      <c r="F34" s="2387"/>
      <c r="G34" s="2384"/>
      <c r="H34" s="2352"/>
    </row>
    <row r="35" spans="1:8" ht="30" customHeight="1" x14ac:dyDescent="0.2">
      <c r="A35" s="486" t="s">
        <v>4379</v>
      </c>
      <c r="B35" s="2353"/>
      <c r="C35" s="2358"/>
      <c r="D35" s="2354"/>
      <c r="E35" s="2354"/>
      <c r="F35" s="2387"/>
      <c r="G35" s="2384"/>
      <c r="H35" s="2352"/>
    </row>
    <row r="36" spans="1:8" ht="30" customHeight="1" x14ac:dyDescent="0.2">
      <c r="A36" s="486" t="s">
        <v>4380</v>
      </c>
      <c r="B36" s="2353"/>
      <c r="C36" s="2358"/>
      <c r="D36" s="2354"/>
      <c r="E36" s="2354"/>
      <c r="F36" s="2387"/>
      <c r="G36" s="2384"/>
      <c r="H36" s="2352"/>
    </row>
    <row r="37" spans="1:8" ht="30" customHeight="1" thickBot="1" x14ac:dyDescent="0.25">
      <c r="A37" s="493" t="s">
        <v>4381</v>
      </c>
      <c r="B37" s="2388"/>
      <c r="C37" s="199"/>
      <c r="D37" s="227"/>
      <c r="E37" s="227"/>
      <c r="F37" s="162"/>
      <c r="G37" s="2384"/>
      <c r="H37" s="2352"/>
    </row>
  </sheetData>
  <mergeCells count="8">
    <mergeCell ref="G31:I31"/>
    <mergeCell ref="B7:E7"/>
    <mergeCell ref="G32:I32"/>
    <mergeCell ref="A1:F1"/>
    <mergeCell ref="A18:F18"/>
    <mergeCell ref="B24:E24"/>
    <mergeCell ref="G30:I30"/>
    <mergeCell ref="G29:I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rightToLeft="1" topLeftCell="A32" zoomScale="80" zoomScaleNormal="80" workbookViewId="0">
      <selection activeCell="C66" sqref="C66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3391" t="s">
        <v>2359</v>
      </c>
      <c r="B1" s="3392"/>
      <c r="C1" s="3392"/>
      <c r="D1" s="3392"/>
      <c r="E1" s="3392"/>
      <c r="F1" s="3392"/>
      <c r="G1" s="3392"/>
      <c r="H1" s="3393"/>
    </row>
    <row r="2" spans="1:8" ht="50.1" customHeight="1" x14ac:dyDescent="0.2">
      <c r="A2" s="489" t="s">
        <v>2360</v>
      </c>
      <c r="B2" s="490" t="s">
        <v>2367</v>
      </c>
      <c r="C2" s="490" t="s">
        <v>2368</v>
      </c>
      <c r="D2" s="490" t="s">
        <v>2376</v>
      </c>
      <c r="E2" s="790" t="s">
        <v>2377</v>
      </c>
      <c r="F2" s="490" t="s">
        <v>2378</v>
      </c>
      <c r="G2" s="490" t="s">
        <v>338</v>
      </c>
      <c r="H2" s="491" t="s">
        <v>271</v>
      </c>
    </row>
    <row r="3" spans="1:8" ht="50.1" customHeight="1" x14ac:dyDescent="0.2">
      <c r="A3" s="3405" t="s">
        <v>498</v>
      </c>
      <c r="B3" s="156">
        <v>130000000</v>
      </c>
      <c r="C3" s="788" t="s">
        <v>2386</v>
      </c>
      <c r="D3" s="156">
        <v>208000000</v>
      </c>
      <c r="E3" s="803"/>
      <c r="F3" s="802"/>
      <c r="G3" s="3407"/>
      <c r="H3" s="3403" t="s">
        <v>2384</v>
      </c>
    </row>
    <row r="4" spans="1:8" ht="50.1" customHeight="1" x14ac:dyDescent="0.2">
      <c r="A4" s="3406"/>
      <c r="B4" s="156">
        <v>130000000</v>
      </c>
      <c r="C4" s="788" t="s">
        <v>2386</v>
      </c>
      <c r="D4" s="156">
        <v>208000000</v>
      </c>
      <c r="E4" s="803"/>
      <c r="F4" s="802"/>
      <c r="G4" s="3408"/>
      <c r="H4" s="3404"/>
    </row>
    <row r="5" spans="1:8" ht="50.1" customHeight="1" x14ac:dyDescent="0.2">
      <c r="A5" s="173" t="s">
        <v>1705</v>
      </c>
      <c r="B5" s="156">
        <v>785000000</v>
      </c>
      <c r="C5" s="780" t="s">
        <v>2369</v>
      </c>
      <c r="D5" s="781">
        <f>B5*0.06</f>
        <v>47100000</v>
      </c>
      <c r="E5" s="781">
        <v>47100000</v>
      </c>
      <c r="F5" s="781">
        <v>0</v>
      </c>
      <c r="G5" s="173"/>
      <c r="H5" s="789"/>
    </row>
    <row r="6" spans="1:8" ht="30" customHeight="1" x14ac:dyDescent="0.2">
      <c r="A6" s="487" t="s">
        <v>2361</v>
      </c>
      <c r="B6" s="156">
        <v>275000000</v>
      </c>
      <c r="C6" s="780" t="s">
        <v>2369</v>
      </c>
      <c r="D6" s="772">
        <v>11550000</v>
      </c>
      <c r="E6" s="780">
        <f>B6*0.06</f>
        <v>16500000</v>
      </c>
      <c r="F6" s="782">
        <f>E6-D6</f>
        <v>4950000</v>
      </c>
      <c r="G6" s="775">
        <v>9157054132</v>
      </c>
      <c r="H6" s="787"/>
    </row>
    <row r="7" spans="1:8" ht="30" customHeight="1" x14ac:dyDescent="0.2">
      <c r="A7" s="792" t="s">
        <v>2129</v>
      </c>
      <c r="B7" s="224">
        <v>250000000</v>
      </c>
      <c r="C7" s="782" t="s">
        <v>2369</v>
      </c>
      <c r="D7" s="641">
        <f>B7*0.05</f>
        <v>12500000</v>
      </c>
      <c r="E7" s="15">
        <f>B7*0.065</f>
        <v>16250000</v>
      </c>
      <c r="F7" s="15">
        <f t="shared" ref="F7:F15" si="0">E7-D7</f>
        <v>3750000</v>
      </c>
      <c r="G7" s="780"/>
      <c r="H7" s="494"/>
    </row>
    <row r="8" spans="1:8" ht="30" customHeight="1" x14ac:dyDescent="0.2">
      <c r="A8" s="486" t="s">
        <v>2362</v>
      </c>
      <c r="B8" s="224">
        <v>400000000</v>
      </c>
      <c r="C8" s="774" t="s">
        <v>2369</v>
      </c>
      <c r="D8" s="772">
        <v>18000000</v>
      </c>
      <c r="E8" s="782">
        <f t="shared" ref="E8:E14" si="1">B8*0.06</f>
        <v>24000000</v>
      </c>
      <c r="F8" s="782">
        <f t="shared" si="0"/>
        <v>6000000</v>
      </c>
      <c r="G8" s="775">
        <v>9151163812</v>
      </c>
      <c r="H8" s="787"/>
    </row>
    <row r="9" spans="1:8" ht="30" customHeight="1" x14ac:dyDescent="0.2">
      <c r="A9" s="486" t="s">
        <v>2363</v>
      </c>
      <c r="B9" s="224">
        <v>490000000</v>
      </c>
      <c r="C9" s="774" t="s">
        <v>2369</v>
      </c>
      <c r="D9" s="772">
        <v>24500000</v>
      </c>
      <c r="E9" s="782">
        <f t="shared" si="1"/>
        <v>29400000</v>
      </c>
      <c r="F9" s="782">
        <f t="shared" si="0"/>
        <v>4900000</v>
      </c>
      <c r="G9" s="775"/>
      <c r="H9" s="787"/>
    </row>
    <row r="10" spans="1:8" ht="30" customHeight="1" x14ac:dyDescent="0.2">
      <c r="A10" s="486" t="s">
        <v>2364</v>
      </c>
      <c r="B10" s="224">
        <v>95000000</v>
      </c>
      <c r="C10" s="774" t="s">
        <v>2369</v>
      </c>
      <c r="D10" s="772">
        <v>1800000</v>
      </c>
      <c r="E10" s="782">
        <f t="shared" si="1"/>
        <v>5700000</v>
      </c>
      <c r="F10" s="782">
        <f t="shared" si="0"/>
        <v>3900000</v>
      </c>
      <c r="G10" s="775" t="s">
        <v>2370</v>
      </c>
      <c r="H10" s="787"/>
    </row>
    <row r="11" spans="1:8" ht="30" customHeight="1" x14ac:dyDescent="0.2">
      <c r="A11" s="486" t="s">
        <v>157</v>
      </c>
      <c r="B11" s="224">
        <v>260000000</v>
      </c>
      <c r="C11" s="774" t="s">
        <v>2369</v>
      </c>
      <c r="D11" s="772">
        <v>13000000</v>
      </c>
      <c r="E11" s="782">
        <f t="shared" si="1"/>
        <v>15600000</v>
      </c>
      <c r="F11" s="782">
        <f t="shared" si="0"/>
        <v>2600000</v>
      </c>
      <c r="G11" s="775" t="s">
        <v>2371</v>
      </c>
      <c r="H11" s="787"/>
    </row>
    <row r="12" spans="1:8" ht="30" customHeight="1" x14ac:dyDescent="0.2">
      <c r="A12" s="486" t="s">
        <v>230</v>
      </c>
      <c r="B12" s="224">
        <v>100000000</v>
      </c>
      <c r="C12" s="774" t="s">
        <v>2369</v>
      </c>
      <c r="D12" s="772">
        <v>4000000</v>
      </c>
      <c r="E12" s="782">
        <f t="shared" si="1"/>
        <v>6000000</v>
      </c>
      <c r="F12" s="782">
        <f t="shared" si="0"/>
        <v>2000000</v>
      </c>
      <c r="G12" s="775"/>
      <c r="H12" s="787"/>
    </row>
    <row r="13" spans="1:8" ht="30" customHeight="1" x14ac:dyDescent="0.2">
      <c r="A13" s="486" t="s">
        <v>2365</v>
      </c>
      <c r="B13" s="224">
        <v>160000000</v>
      </c>
      <c r="C13" s="774" t="s">
        <v>2369</v>
      </c>
      <c r="D13" s="772">
        <v>6400000</v>
      </c>
      <c r="E13" s="782">
        <f t="shared" si="1"/>
        <v>9600000</v>
      </c>
      <c r="F13" s="782">
        <f t="shared" si="0"/>
        <v>3200000</v>
      </c>
      <c r="G13" s="775" t="s">
        <v>2372</v>
      </c>
      <c r="H13" s="787"/>
    </row>
    <row r="14" spans="1:8" ht="30" customHeight="1" x14ac:dyDescent="0.2">
      <c r="A14" s="486" t="s">
        <v>2366</v>
      </c>
      <c r="B14" s="224">
        <v>150000000</v>
      </c>
      <c r="C14" s="774" t="s">
        <v>2369</v>
      </c>
      <c r="D14" s="772">
        <v>6000000</v>
      </c>
      <c r="E14" s="782">
        <f t="shared" si="1"/>
        <v>9000000</v>
      </c>
      <c r="F14" s="782">
        <f t="shared" si="0"/>
        <v>3000000</v>
      </c>
      <c r="G14" s="775" t="s">
        <v>2373</v>
      </c>
      <c r="H14" s="787"/>
    </row>
    <row r="15" spans="1:8" ht="30" customHeight="1" x14ac:dyDescent="0.2">
      <c r="A15" s="793" t="s">
        <v>498</v>
      </c>
      <c r="B15" s="485">
        <v>80000000</v>
      </c>
      <c r="C15" s="779" t="s">
        <v>2369</v>
      </c>
      <c r="D15" s="784">
        <v>3200000</v>
      </c>
      <c r="E15" s="779">
        <f>B15*0.06</f>
        <v>4800000</v>
      </c>
      <c r="F15" s="779">
        <f t="shared" si="0"/>
        <v>1600000</v>
      </c>
      <c r="G15" s="783">
        <v>9154435809</v>
      </c>
      <c r="H15" s="791" t="s">
        <v>2375</v>
      </c>
    </row>
    <row r="16" spans="1:8" ht="30" customHeight="1" x14ac:dyDescent="0.2">
      <c r="A16" s="263" t="s">
        <v>2379</v>
      </c>
      <c r="B16" s="782">
        <v>0</v>
      </c>
      <c r="C16" s="782"/>
      <c r="D16" s="782">
        <v>3000000</v>
      </c>
      <c r="E16" s="782">
        <v>0</v>
      </c>
      <c r="F16" s="782">
        <v>0</v>
      </c>
      <c r="G16" s="424"/>
      <c r="H16" s="424"/>
    </row>
    <row r="17" spans="1:8" ht="30" customHeight="1" x14ac:dyDescent="0.2">
      <c r="A17" s="263" t="s">
        <v>2380</v>
      </c>
      <c r="B17" s="782">
        <v>0</v>
      </c>
      <c r="C17" s="782"/>
      <c r="D17" s="782">
        <v>0</v>
      </c>
      <c r="E17" s="782">
        <v>0</v>
      </c>
      <c r="F17" s="782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82"/>
      <c r="D18" s="15">
        <f>SUM(D5:D17)</f>
        <v>151050000</v>
      </c>
      <c r="E18" s="782">
        <f>SUM(E5:E17)</f>
        <v>183950000</v>
      </c>
      <c r="F18" s="794">
        <f>SUM(F5:F17)</f>
        <v>40900000</v>
      </c>
      <c r="G18" s="424"/>
      <c r="H18" s="424"/>
    </row>
    <row r="19" spans="1:8" ht="30" customHeight="1" x14ac:dyDescent="0.2">
      <c r="A19" s="263" t="s">
        <v>2381</v>
      </c>
      <c r="B19" s="3325">
        <f>F18+D5</f>
        <v>88000000</v>
      </c>
      <c r="C19" s="3340"/>
      <c r="D19" s="3340"/>
      <c r="E19" s="3340"/>
      <c r="F19" s="3340"/>
      <c r="G19" s="3341"/>
      <c r="H19" s="424"/>
    </row>
    <row r="20" spans="1:8" ht="30" customHeight="1" x14ac:dyDescent="0.2">
      <c r="A20" s="795" t="s">
        <v>2382</v>
      </c>
      <c r="B20" s="3325">
        <v>15600000</v>
      </c>
      <c r="C20" s="3340"/>
      <c r="D20" s="3340"/>
      <c r="E20" s="3340"/>
      <c r="F20" s="3340"/>
      <c r="G20" s="3341"/>
      <c r="H20" s="782"/>
    </row>
    <row r="21" spans="1:8" ht="30" customHeight="1" x14ac:dyDescent="0.2">
      <c r="A21" s="795" t="s">
        <v>2383</v>
      </c>
      <c r="B21" s="3396">
        <f>B19+B20</f>
        <v>103600000</v>
      </c>
      <c r="C21" s="3396"/>
      <c r="D21" s="3396"/>
      <c r="E21" s="3396"/>
      <c r="F21" s="3396"/>
      <c r="G21" s="3396"/>
      <c r="H21" s="21" t="s">
        <v>2384</v>
      </c>
    </row>
    <row r="22" spans="1:8" ht="30" customHeight="1" x14ac:dyDescent="0.2">
      <c r="A22" s="3397" t="s">
        <v>2385</v>
      </c>
      <c r="B22" s="3398"/>
      <c r="C22" s="3398"/>
      <c r="D22" s="3398"/>
      <c r="E22" s="3398"/>
      <c r="F22" s="3398"/>
      <c r="G22" s="3398"/>
      <c r="H22" s="3399"/>
    </row>
    <row r="23" spans="1:8" ht="30" customHeight="1" x14ac:dyDescent="0.2">
      <c r="A23" s="3400"/>
      <c r="B23" s="3401"/>
      <c r="C23" s="3401"/>
      <c r="D23" s="3401"/>
      <c r="E23" s="3401"/>
      <c r="F23" s="3401"/>
      <c r="G23" s="3401"/>
      <c r="H23" s="3402"/>
    </row>
    <row r="26" spans="1:8" ht="15" thickBot="1" x14ac:dyDescent="0.25"/>
    <row r="27" spans="1:8" ht="50.1" customHeight="1" thickBot="1" x14ac:dyDescent="0.25">
      <c r="A27" s="3391"/>
      <c r="B27" s="3392"/>
      <c r="C27" s="3392"/>
      <c r="D27" s="3392"/>
      <c r="E27" s="3392"/>
      <c r="F27" s="3392"/>
      <c r="G27" s="3392"/>
      <c r="H27" s="3393"/>
    </row>
    <row r="28" spans="1:8" ht="50.1" customHeight="1" x14ac:dyDescent="0.2">
      <c r="A28" s="489"/>
      <c r="B28" s="490"/>
      <c r="C28" s="490"/>
      <c r="D28" s="490"/>
      <c r="E28" s="490"/>
      <c r="F28" s="490"/>
      <c r="G28" s="490"/>
      <c r="H28" s="491"/>
    </row>
    <row r="29" spans="1:8" ht="30" customHeight="1" x14ac:dyDescent="0.2">
      <c r="A29" s="487"/>
      <c r="B29" s="3377" t="s">
        <v>4319</v>
      </c>
      <c r="C29" s="3340"/>
      <c r="D29" s="3340"/>
      <c r="E29" s="3340"/>
      <c r="F29" s="3340"/>
      <c r="G29" s="3341"/>
      <c r="H29" s="494"/>
    </row>
    <row r="30" spans="1:8" ht="30" customHeight="1" x14ac:dyDescent="0.2">
      <c r="A30" s="3394" t="s">
        <v>498</v>
      </c>
      <c r="B30" s="224">
        <v>130000000</v>
      </c>
      <c r="C30" s="2138" t="s">
        <v>2374</v>
      </c>
      <c r="D30" s="2139">
        <v>208000000</v>
      </c>
      <c r="E30" s="2138">
        <f t="shared" ref="E30:E31" si="2">B30*0.06</f>
        <v>7800000</v>
      </c>
      <c r="F30" s="2138" t="s">
        <v>3684</v>
      </c>
      <c r="G30" s="774" t="s">
        <v>4116</v>
      </c>
      <c r="H30" s="3403" t="s">
        <v>2384</v>
      </c>
    </row>
    <row r="31" spans="1:8" ht="30" customHeight="1" x14ac:dyDescent="0.2">
      <c r="A31" s="3395"/>
      <c r="B31" s="224">
        <v>130000000</v>
      </c>
      <c r="C31" s="2138" t="s">
        <v>2374</v>
      </c>
      <c r="D31" s="2139">
        <v>208000000</v>
      </c>
      <c r="E31" s="2138">
        <f t="shared" si="2"/>
        <v>7800000</v>
      </c>
      <c r="F31" s="2138" t="s">
        <v>4117</v>
      </c>
      <c r="G31" s="774"/>
      <c r="H31" s="3404"/>
    </row>
    <row r="32" spans="1:8" ht="30" customHeight="1" thickBot="1" x14ac:dyDescent="0.25">
      <c r="A32" s="493"/>
      <c r="B32" s="764"/>
      <c r="C32" s="765"/>
      <c r="D32" s="209"/>
      <c r="E32" s="227"/>
      <c r="F32" s="227"/>
      <c r="G32" s="227"/>
      <c r="H32" s="766"/>
    </row>
    <row r="35" spans="1:8" ht="15" thickBot="1" x14ac:dyDescent="0.25"/>
    <row r="36" spans="1:8" ht="50.1" customHeight="1" thickBot="1" x14ac:dyDescent="0.25">
      <c r="A36" s="3391" t="s">
        <v>4318</v>
      </c>
      <c r="B36" s="3392"/>
      <c r="C36" s="3392"/>
      <c r="D36" s="3392"/>
      <c r="E36" s="3392"/>
      <c r="F36" s="3392"/>
      <c r="G36" s="3392"/>
      <c r="H36" s="3393"/>
    </row>
    <row r="37" spans="1:8" ht="50.1" customHeight="1" x14ac:dyDescent="0.2">
      <c r="A37" s="489" t="s">
        <v>2360</v>
      </c>
      <c r="B37" s="490" t="s">
        <v>2367</v>
      </c>
      <c r="C37" s="490" t="s">
        <v>2368</v>
      </c>
      <c r="D37" s="490" t="s">
        <v>2376</v>
      </c>
      <c r="E37" s="790" t="s">
        <v>2377</v>
      </c>
      <c r="F37" s="490" t="s">
        <v>2378</v>
      </c>
      <c r="G37" s="490" t="s">
        <v>338</v>
      </c>
      <c r="H37" s="491" t="s">
        <v>271</v>
      </c>
    </row>
    <row r="38" spans="1:8" ht="50.1" customHeight="1" x14ac:dyDescent="0.2">
      <c r="A38" s="3405" t="s">
        <v>498</v>
      </c>
      <c r="B38" s="156">
        <v>130000000</v>
      </c>
      <c r="C38" s="2298" t="s">
        <v>2386</v>
      </c>
      <c r="D38" s="156">
        <v>208000000</v>
      </c>
      <c r="E38" s="803"/>
      <c r="F38" s="802"/>
      <c r="G38" s="3407"/>
      <c r="H38" s="3403" t="s">
        <v>2384</v>
      </c>
    </row>
    <row r="39" spans="1:8" ht="50.1" customHeight="1" x14ac:dyDescent="0.2">
      <c r="A39" s="3406"/>
      <c r="B39" s="156">
        <v>130000000</v>
      </c>
      <c r="C39" s="2298" t="s">
        <v>2386</v>
      </c>
      <c r="D39" s="156">
        <v>208000000</v>
      </c>
      <c r="E39" s="803"/>
      <c r="F39" s="802"/>
      <c r="G39" s="3408"/>
      <c r="H39" s="3404"/>
    </row>
    <row r="40" spans="1:8" ht="50.1" customHeight="1" x14ac:dyDescent="0.2">
      <c r="A40" s="173" t="s">
        <v>1705</v>
      </c>
      <c r="B40" s="156">
        <v>785000000</v>
      </c>
      <c r="C40" s="2309" t="s">
        <v>2369</v>
      </c>
      <c r="D40" s="2312">
        <f>B40*0.06</f>
        <v>47100000</v>
      </c>
      <c r="E40" s="2312">
        <v>47100000</v>
      </c>
      <c r="F40" s="2312">
        <v>0</v>
      </c>
      <c r="G40" s="173"/>
      <c r="H40" s="789"/>
    </row>
    <row r="41" spans="1:8" ht="30" customHeight="1" x14ac:dyDescent="0.2">
      <c r="A41" s="487" t="s">
        <v>2361</v>
      </c>
      <c r="B41" s="156">
        <v>275000000</v>
      </c>
      <c r="C41" s="2309" t="s">
        <v>2369</v>
      </c>
      <c r="D41" s="2312">
        <v>11550000</v>
      </c>
      <c r="E41" s="2309">
        <f>B41*0.06</f>
        <v>16500000</v>
      </c>
      <c r="F41" s="2299">
        <f>E41-D41</f>
        <v>4950000</v>
      </c>
      <c r="G41" s="2315">
        <v>9157054132</v>
      </c>
      <c r="H41" s="787"/>
    </row>
    <row r="42" spans="1:8" ht="30" customHeight="1" x14ac:dyDescent="0.2">
      <c r="A42" s="792" t="s">
        <v>2129</v>
      </c>
      <c r="B42" s="224">
        <v>250000000</v>
      </c>
      <c r="C42" s="2299" t="s">
        <v>2369</v>
      </c>
      <c r="D42" s="2332">
        <f>B42*0.05</f>
        <v>12500000</v>
      </c>
      <c r="E42" s="2297">
        <f>B42*0.065</f>
        <v>16250000</v>
      </c>
      <c r="F42" s="2297">
        <f t="shared" ref="F42:F50" si="3">E42-D42</f>
        <v>3750000</v>
      </c>
      <c r="G42" s="2309"/>
      <c r="H42" s="494"/>
    </row>
    <row r="43" spans="1:8" ht="30" customHeight="1" x14ac:dyDescent="0.2">
      <c r="A43" s="486" t="s">
        <v>2362</v>
      </c>
      <c r="B43" s="224">
        <v>400000000</v>
      </c>
      <c r="C43" s="2299" t="s">
        <v>2369</v>
      </c>
      <c r="D43" s="2312">
        <v>18000000</v>
      </c>
      <c r="E43" s="2299">
        <f t="shared" ref="E43:E49" si="4">B43*0.06</f>
        <v>24000000</v>
      </c>
      <c r="F43" s="2299">
        <f t="shared" si="3"/>
        <v>6000000</v>
      </c>
      <c r="G43" s="2315">
        <v>9151163812</v>
      </c>
      <c r="H43" s="787"/>
    </row>
    <row r="44" spans="1:8" ht="30" customHeight="1" x14ac:dyDescent="0.2">
      <c r="A44" s="486" t="s">
        <v>2363</v>
      </c>
      <c r="B44" s="224">
        <v>490000000</v>
      </c>
      <c r="C44" s="2299" t="s">
        <v>2369</v>
      </c>
      <c r="D44" s="2312">
        <v>24500000</v>
      </c>
      <c r="E44" s="2299">
        <f t="shared" si="4"/>
        <v>29400000</v>
      </c>
      <c r="F44" s="2299">
        <f t="shared" si="3"/>
        <v>4900000</v>
      </c>
      <c r="G44" s="2315"/>
      <c r="H44" s="787"/>
    </row>
    <row r="45" spans="1:8" ht="30" customHeight="1" x14ac:dyDescent="0.2">
      <c r="A45" s="486" t="s">
        <v>2364</v>
      </c>
      <c r="B45" s="224">
        <v>95000000</v>
      </c>
      <c r="C45" s="2299" t="s">
        <v>2369</v>
      </c>
      <c r="D45" s="2312">
        <v>1800000</v>
      </c>
      <c r="E45" s="2299">
        <f t="shared" si="4"/>
        <v>5700000</v>
      </c>
      <c r="F45" s="2299">
        <f t="shared" si="3"/>
        <v>3900000</v>
      </c>
      <c r="G45" s="2315" t="s">
        <v>2370</v>
      </c>
      <c r="H45" s="787"/>
    </row>
    <row r="46" spans="1:8" ht="30" customHeight="1" x14ac:dyDescent="0.2">
      <c r="A46" s="486" t="s">
        <v>157</v>
      </c>
      <c r="B46" s="224">
        <v>260000000</v>
      </c>
      <c r="C46" s="2299" t="s">
        <v>2369</v>
      </c>
      <c r="D46" s="2312">
        <v>13000000</v>
      </c>
      <c r="E46" s="2299">
        <f t="shared" si="4"/>
        <v>15600000</v>
      </c>
      <c r="F46" s="2299">
        <f t="shared" si="3"/>
        <v>2600000</v>
      </c>
      <c r="G46" s="2315" t="s">
        <v>2371</v>
      </c>
      <c r="H46" s="787"/>
    </row>
    <row r="47" spans="1:8" ht="30" customHeight="1" x14ac:dyDescent="0.2">
      <c r="A47" s="486" t="s">
        <v>230</v>
      </c>
      <c r="B47" s="224">
        <v>100000000</v>
      </c>
      <c r="C47" s="2299" t="s">
        <v>2369</v>
      </c>
      <c r="D47" s="2312">
        <v>4000000</v>
      </c>
      <c r="E47" s="2299">
        <f t="shared" si="4"/>
        <v>6000000</v>
      </c>
      <c r="F47" s="2299">
        <f t="shared" si="3"/>
        <v>2000000</v>
      </c>
      <c r="G47" s="2315"/>
      <c r="H47" s="787"/>
    </row>
    <row r="48" spans="1:8" ht="30" customHeight="1" x14ac:dyDescent="0.2">
      <c r="A48" s="486" t="s">
        <v>2365</v>
      </c>
      <c r="B48" s="224">
        <v>160000000</v>
      </c>
      <c r="C48" s="2299" t="s">
        <v>2369</v>
      </c>
      <c r="D48" s="2312">
        <v>6400000</v>
      </c>
      <c r="E48" s="2299">
        <f t="shared" si="4"/>
        <v>9600000</v>
      </c>
      <c r="F48" s="2299">
        <f t="shared" si="3"/>
        <v>3200000</v>
      </c>
      <c r="G48" s="2315" t="s">
        <v>2372</v>
      </c>
      <c r="H48" s="787"/>
    </row>
    <row r="49" spans="1:8" ht="30" customHeight="1" x14ac:dyDescent="0.2">
      <c r="A49" s="486" t="s">
        <v>2366</v>
      </c>
      <c r="B49" s="224">
        <v>150000000</v>
      </c>
      <c r="C49" s="2299" t="s">
        <v>2369</v>
      </c>
      <c r="D49" s="2312">
        <v>6000000</v>
      </c>
      <c r="E49" s="2299">
        <f t="shared" si="4"/>
        <v>9000000</v>
      </c>
      <c r="F49" s="2299">
        <f t="shared" si="3"/>
        <v>3000000</v>
      </c>
      <c r="G49" s="2315" t="s">
        <v>2373</v>
      </c>
      <c r="H49" s="787"/>
    </row>
    <row r="50" spans="1:8" ht="30" customHeight="1" x14ac:dyDescent="0.2">
      <c r="A50" s="793" t="s">
        <v>498</v>
      </c>
      <c r="B50" s="485">
        <v>80000000</v>
      </c>
      <c r="C50" s="2307" t="s">
        <v>2369</v>
      </c>
      <c r="D50" s="2318">
        <v>3200000</v>
      </c>
      <c r="E50" s="2307">
        <f>B50*0.06</f>
        <v>4800000</v>
      </c>
      <c r="F50" s="2307">
        <f t="shared" si="3"/>
        <v>1600000</v>
      </c>
      <c r="G50" s="2314">
        <v>9154435809</v>
      </c>
      <c r="H50" s="791" t="s">
        <v>2375</v>
      </c>
    </row>
    <row r="51" spans="1:8" ht="30" customHeight="1" x14ac:dyDescent="0.2">
      <c r="A51" s="263" t="s">
        <v>2379</v>
      </c>
      <c r="B51" s="2299">
        <v>0</v>
      </c>
      <c r="C51" s="2299"/>
      <c r="D51" s="2299">
        <v>3000000</v>
      </c>
      <c r="E51" s="2299">
        <v>0</v>
      </c>
      <c r="F51" s="2299">
        <v>0</v>
      </c>
      <c r="G51" s="2327"/>
      <c r="H51" s="2327"/>
    </row>
    <row r="52" spans="1:8" ht="30" customHeight="1" x14ac:dyDescent="0.2">
      <c r="A52" s="263" t="s">
        <v>2380</v>
      </c>
      <c r="B52" s="2299">
        <v>0</v>
      </c>
      <c r="C52" s="2299"/>
      <c r="D52" s="2299">
        <v>0</v>
      </c>
      <c r="E52" s="2299">
        <v>0</v>
      </c>
      <c r="F52" s="2299">
        <v>5000000</v>
      </c>
      <c r="G52" s="2327"/>
      <c r="H52" s="2327"/>
    </row>
    <row r="53" spans="1:8" ht="30" customHeight="1" x14ac:dyDescent="0.2">
      <c r="A53" s="263" t="s">
        <v>903</v>
      </c>
      <c r="B53" s="2297">
        <f>SUM(B40:B52)</f>
        <v>3045000000</v>
      </c>
      <c r="C53" s="2299"/>
      <c r="D53" s="2297">
        <f>SUM(D40:D52)</f>
        <v>151050000</v>
      </c>
      <c r="E53" s="2299">
        <f>SUM(E40:E52)</f>
        <v>183950000</v>
      </c>
      <c r="F53" s="794">
        <f>SUM(F40:F52)</f>
        <v>40900000</v>
      </c>
      <c r="G53" s="2327"/>
      <c r="H53" s="2327"/>
    </row>
    <row r="54" spans="1:8" ht="30" customHeight="1" x14ac:dyDescent="0.2">
      <c r="A54" s="263" t="s">
        <v>2381</v>
      </c>
      <c r="B54" s="3325">
        <f>F53+D40</f>
        <v>88000000</v>
      </c>
      <c r="C54" s="3340"/>
      <c r="D54" s="3340"/>
      <c r="E54" s="3340"/>
      <c r="F54" s="3340"/>
      <c r="G54" s="3341"/>
      <c r="H54" s="2327"/>
    </row>
    <row r="55" spans="1:8" ht="30" customHeight="1" x14ac:dyDescent="0.2">
      <c r="A55" s="795" t="s">
        <v>2382</v>
      </c>
      <c r="B55" s="3325">
        <f>15600000-7800000</f>
        <v>7800000</v>
      </c>
      <c r="C55" s="3340"/>
      <c r="D55" s="3340"/>
      <c r="E55" s="3340"/>
      <c r="F55" s="3340"/>
      <c r="G55" s="3341"/>
      <c r="H55" s="2299"/>
    </row>
    <row r="56" spans="1:8" ht="30" customHeight="1" x14ac:dyDescent="0.2">
      <c r="A56" s="795" t="s">
        <v>2383</v>
      </c>
      <c r="B56" s="3396">
        <f>B54+B55</f>
        <v>95800000</v>
      </c>
      <c r="C56" s="3396"/>
      <c r="D56" s="3396"/>
      <c r="E56" s="3396"/>
      <c r="F56" s="3396"/>
      <c r="G56" s="3396"/>
      <c r="H56" s="21" t="s">
        <v>2384</v>
      </c>
    </row>
    <row r="57" spans="1:8" ht="30" customHeight="1" x14ac:dyDescent="0.2">
      <c r="A57" s="3397" t="s">
        <v>2385</v>
      </c>
      <c r="B57" s="3398"/>
      <c r="C57" s="3398"/>
      <c r="D57" s="3398"/>
      <c r="E57" s="3398"/>
      <c r="F57" s="3398"/>
      <c r="G57" s="3398"/>
      <c r="H57" s="3399"/>
    </row>
    <row r="58" spans="1:8" ht="30" customHeight="1" x14ac:dyDescent="0.2">
      <c r="A58" s="3400"/>
      <c r="B58" s="3401"/>
      <c r="C58" s="3401"/>
      <c r="D58" s="3401"/>
      <c r="E58" s="3401"/>
      <c r="F58" s="3401"/>
      <c r="G58" s="3401"/>
      <c r="H58" s="3402"/>
    </row>
  </sheetData>
  <mergeCells count="20">
    <mergeCell ref="B55:G55"/>
    <mergeCell ref="B56:G56"/>
    <mergeCell ref="A57:H58"/>
    <mergeCell ref="B29:G29"/>
    <mergeCell ref="A36:H36"/>
    <mergeCell ref="A38:A39"/>
    <mergeCell ref="G38:G39"/>
    <mergeCell ref="H38:H39"/>
    <mergeCell ref="B54:G54"/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7" workbookViewId="0">
      <selection activeCell="D13" sqref="D13"/>
    </sheetView>
  </sheetViews>
  <sheetFormatPr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workbookViewId="0">
      <selection activeCell="C17" sqref="C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3320" t="s">
        <v>54</v>
      </c>
      <c r="C1" s="3321"/>
      <c r="D1" s="3322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3352" t="s">
        <v>1058</v>
      </c>
      <c r="B6" s="3353"/>
      <c r="C6" s="3353"/>
      <c r="D6" s="3354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3355"/>
      <c r="B8" s="3355"/>
      <c r="C8" s="3355"/>
      <c r="D8" s="3355"/>
    </row>
    <row r="9" spans="1:4" s="196" customFormat="1" ht="30" customHeight="1" thickBot="1" x14ac:dyDescent="0.25">
      <c r="A9" s="3352" t="s">
        <v>1059</v>
      </c>
      <c r="B9" s="3353"/>
      <c r="C9" s="3353"/>
      <c r="D9" s="3354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3409" t="s">
        <v>2415</v>
      </c>
      <c r="B12" s="3410"/>
      <c r="C12" s="3410"/>
      <c r="D12" s="3411"/>
    </row>
    <row r="13" spans="1:4" s="196" customFormat="1" ht="30" customHeight="1" thickBot="1" x14ac:dyDescent="0.25">
      <c r="A13" s="3412"/>
      <c r="B13" s="3413"/>
      <c r="C13" s="3413"/>
      <c r="D13" s="3414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3409" t="s">
        <v>1060</v>
      </c>
      <c r="B20" s="3410"/>
      <c r="C20" s="3410"/>
      <c r="D20" s="3411"/>
    </row>
    <row r="21" spans="1:4" ht="30" customHeight="1" thickBot="1" x14ac:dyDescent="0.25">
      <c r="A21" s="3412"/>
      <c r="B21" s="3413"/>
      <c r="C21" s="3413"/>
      <c r="D21" s="3414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3409" t="s">
        <v>1061</v>
      </c>
      <c r="B24" s="3410"/>
      <c r="C24" s="3410"/>
      <c r="D24" s="3411"/>
    </row>
    <row r="25" spans="1:4" ht="30" customHeight="1" thickBot="1" x14ac:dyDescent="0.25">
      <c r="A25" s="3412"/>
      <c r="B25" s="3413"/>
      <c r="C25" s="3413"/>
      <c r="D25" s="3414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3409" t="s">
        <v>2413</v>
      </c>
      <c r="B27" s="3410"/>
      <c r="C27" s="3410"/>
      <c r="D27" s="3411"/>
    </row>
    <row r="28" spans="1:4" ht="30" customHeight="1" thickBot="1" x14ac:dyDescent="0.25">
      <c r="A28" s="3412"/>
      <c r="B28" s="3413"/>
      <c r="C28" s="3413"/>
      <c r="D28" s="3414"/>
    </row>
    <row r="29" spans="1:4" ht="30" customHeight="1" thickBot="1" x14ac:dyDescent="0.25">
      <c r="A29" s="485"/>
      <c r="B29" s="812"/>
      <c r="C29" s="812"/>
      <c r="D29" s="816"/>
    </row>
    <row r="30" spans="1:4" ht="30" customHeight="1" x14ac:dyDescent="0.2">
      <c r="A30" s="3409" t="s">
        <v>2414</v>
      </c>
      <c r="B30" s="3410"/>
      <c r="C30" s="3410"/>
      <c r="D30" s="3411"/>
    </row>
    <row r="31" spans="1:4" ht="30" customHeight="1" thickBot="1" x14ac:dyDescent="0.25">
      <c r="A31" s="3412"/>
      <c r="B31" s="3413"/>
      <c r="C31" s="3413"/>
      <c r="D31" s="3414"/>
    </row>
    <row r="32" spans="1:4" ht="30" customHeight="1" x14ac:dyDescent="0.2">
      <c r="A32" s="812"/>
      <c r="B32" s="812"/>
      <c r="C32" s="812"/>
      <c r="D32" s="812"/>
    </row>
    <row r="33" spans="1:4" ht="30" customHeight="1" x14ac:dyDescent="0.2">
      <c r="A33" s="3355" t="s">
        <v>2416</v>
      </c>
      <c r="B33" s="3355"/>
      <c r="C33" s="3355"/>
      <c r="D33" s="3355"/>
    </row>
    <row r="34" spans="1:4" ht="30" customHeight="1" x14ac:dyDescent="0.2">
      <c r="A34" s="814"/>
      <c r="B34" s="814"/>
      <c r="C34" s="814"/>
      <c r="D34" s="814"/>
    </row>
    <row r="35" spans="1:4" ht="30" customHeight="1" x14ac:dyDescent="0.2">
      <c r="A35" s="3415" t="s">
        <v>2412</v>
      </c>
      <c r="B35" s="3416"/>
      <c r="C35" s="3416"/>
      <c r="D35" s="3416"/>
    </row>
    <row r="36" spans="1:4" ht="30" customHeight="1" x14ac:dyDescent="0.2">
      <c r="A36" s="812"/>
      <c r="B36" s="812"/>
      <c r="C36" s="812"/>
      <c r="D36" s="812"/>
    </row>
    <row r="37" spans="1:4" ht="30" customHeight="1" x14ac:dyDescent="0.2">
      <c r="A37" s="812"/>
      <c r="B37" s="812"/>
      <c r="C37" s="812"/>
      <c r="D37" s="812"/>
    </row>
  </sheetData>
  <mergeCells count="11">
    <mergeCell ref="B1:D1"/>
    <mergeCell ref="A6:D6"/>
    <mergeCell ref="A9:D9"/>
    <mergeCell ref="A12:D13"/>
    <mergeCell ref="A8:D8"/>
    <mergeCell ref="A27:D28"/>
    <mergeCell ref="A30:D31"/>
    <mergeCell ref="A35:D35"/>
    <mergeCell ref="A20:D21"/>
    <mergeCell ref="A24:D25"/>
    <mergeCell ref="A33:D3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topLeftCell="A3" workbookViewId="0">
      <selection activeCell="F10" sqref="F10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3320" t="s">
        <v>1067</v>
      </c>
      <c r="C1" s="3321"/>
      <c r="D1" s="3321"/>
      <c r="E1" s="3321"/>
      <c r="F1" s="3322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thickBot="1" x14ac:dyDescent="0.25">
      <c r="A3" s="204">
        <v>1</v>
      </c>
      <c r="B3" s="224" t="s">
        <v>1062</v>
      </c>
      <c r="C3" s="6">
        <v>150000000</v>
      </c>
      <c r="D3" s="209">
        <v>0.05</v>
      </c>
      <c r="E3" s="104">
        <f>C3*D3</f>
        <v>7500000</v>
      </c>
      <c r="F3" s="3419">
        <f>E3+E6+E9</f>
        <v>17000000</v>
      </c>
    </row>
    <row r="4" spans="1:6" ht="30" customHeight="1" x14ac:dyDescent="0.2">
      <c r="A4" s="205">
        <v>2</v>
      </c>
      <c r="B4" s="495" t="s">
        <v>1063</v>
      </c>
      <c r="C4" s="468">
        <v>115000000</v>
      </c>
      <c r="D4" s="496"/>
      <c r="E4" s="496">
        <v>5750000</v>
      </c>
      <c r="F4" s="3420"/>
    </row>
    <row r="5" spans="1:6" ht="30" customHeight="1" x14ac:dyDescent="0.2">
      <c r="A5" s="484"/>
      <c r="B5" s="3425" t="s">
        <v>1583</v>
      </c>
      <c r="C5" s="3426"/>
      <c r="D5" s="3426"/>
      <c r="E5" s="3427"/>
      <c r="F5" s="3420"/>
    </row>
    <row r="6" spans="1:6" ht="30" customHeight="1" thickBot="1" x14ac:dyDescent="0.25">
      <c r="A6" s="484"/>
      <c r="B6" s="224" t="s">
        <v>1063</v>
      </c>
      <c r="C6" s="473">
        <v>120000000</v>
      </c>
      <c r="D6" s="209">
        <v>0.05</v>
      </c>
      <c r="E6" s="469">
        <f>C6*D6</f>
        <v>6000000</v>
      </c>
      <c r="F6" s="3420"/>
    </row>
    <row r="7" spans="1:6" ht="30" customHeight="1" thickBot="1" x14ac:dyDescent="0.25">
      <c r="A7" s="3417">
        <v>3</v>
      </c>
      <c r="B7" s="3428" t="s">
        <v>1064</v>
      </c>
      <c r="C7" s="3289">
        <v>45000000</v>
      </c>
      <c r="D7" s="3313">
        <v>0.06</v>
      </c>
      <c r="E7" s="496">
        <f>C7*D7</f>
        <v>2700000</v>
      </c>
      <c r="F7" s="3420"/>
    </row>
    <row r="8" spans="1:6" ht="30" customHeight="1" thickBot="1" x14ac:dyDescent="0.25">
      <c r="A8" s="3418"/>
      <c r="B8" s="3428"/>
      <c r="C8" s="3288">
        <v>85000000</v>
      </c>
      <c r="D8" s="3313">
        <v>0.05</v>
      </c>
      <c r="E8" s="3289">
        <f>C8*D8</f>
        <v>4250000</v>
      </c>
      <c r="F8" s="3420"/>
    </row>
    <row r="9" spans="1:6" ht="30" customHeight="1" thickBot="1" x14ac:dyDescent="0.25">
      <c r="A9" s="226">
        <v>4</v>
      </c>
      <c r="B9" s="206" t="s">
        <v>1065</v>
      </c>
      <c r="C9" s="227">
        <v>50000000</v>
      </c>
      <c r="D9" s="209">
        <v>7.0000000000000007E-2</v>
      </c>
      <c r="E9" s="228">
        <v>3500000</v>
      </c>
      <c r="F9" s="3421"/>
    </row>
    <row r="10" spans="1:6" ht="30" customHeight="1" x14ac:dyDescent="0.2">
      <c r="A10" s="202"/>
      <c r="C10" s="1981">
        <f>C3+C6+C7+C9+C8</f>
        <v>450000000</v>
      </c>
      <c r="D10" s="202"/>
      <c r="E10" s="202"/>
    </row>
    <row r="11" spans="1:6" ht="30" customHeight="1" x14ac:dyDescent="0.2">
      <c r="A11" s="202"/>
      <c r="B11" s="202"/>
      <c r="C11" s="202"/>
      <c r="D11" s="202"/>
      <c r="E11" s="202"/>
      <c r="F11" s="202"/>
    </row>
    <row r="12" spans="1:6" ht="30" customHeight="1" thickBot="1" x14ac:dyDescent="0.25">
      <c r="A12" s="202"/>
      <c r="C12" s="202"/>
      <c r="D12" s="202"/>
      <c r="E12" s="202"/>
    </row>
    <row r="13" spans="1:6" ht="50.1" customHeight="1" thickBot="1" x14ac:dyDescent="0.25">
      <c r="A13" s="200"/>
      <c r="B13" s="3320" t="s">
        <v>1068</v>
      </c>
      <c r="C13" s="3321"/>
      <c r="D13" s="3321"/>
      <c r="E13" s="3321"/>
      <c r="F13" s="3322"/>
    </row>
    <row r="14" spans="1:6" ht="50.1" customHeight="1" x14ac:dyDescent="0.2">
      <c r="A14" s="201" t="s">
        <v>0</v>
      </c>
      <c r="B14" s="154" t="s">
        <v>906</v>
      </c>
      <c r="C14" s="8" t="s">
        <v>274</v>
      </c>
      <c r="D14" s="225" t="s">
        <v>5</v>
      </c>
      <c r="E14" s="225" t="s">
        <v>282</v>
      </c>
      <c r="F14" s="155" t="s">
        <v>1066</v>
      </c>
    </row>
    <row r="15" spans="1:6" ht="30" customHeight="1" thickBot="1" x14ac:dyDescent="0.25">
      <c r="A15" s="204">
        <v>1</v>
      </c>
      <c r="B15" s="224" t="s">
        <v>1069</v>
      </c>
      <c r="C15" s="6">
        <v>70000000</v>
      </c>
      <c r="D15" s="209">
        <v>5.5E-2</v>
      </c>
      <c r="E15" s="104">
        <v>3500000</v>
      </c>
      <c r="F15" s="3422">
        <f>E15+E16+E17+E18</f>
        <v>20410000</v>
      </c>
    </row>
    <row r="16" spans="1:6" ht="30" customHeight="1" thickBot="1" x14ac:dyDescent="0.25">
      <c r="A16" s="205">
        <v>2</v>
      </c>
      <c r="B16" s="224" t="s">
        <v>1070</v>
      </c>
      <c r="C16" s="6">
        <v>140000000</v>
      </c>
      <c r="D16" s="209">
        <v>5.5E-2</v>
      </c>
      <c r="E16" s="104">
        <v>7000000</v>
      </c>
      <c r="F16" s="3423"/>
    </row>
    <row r="17" spans="1:6" ht="30" customHeight="1" thickBot="1" x14ac:dyDescent="0.25">
      <c r="A17" s="484"/>
      <c r="B17" s="224" t="s">
        <v>1065</v>
      </c>
      <c r="C17" s="1735">
        <v>63000000</v>
      </c>
      <c r="D17" s="209">
        <v>5.5E-2</v>
      </c>
      <c r="E17" s="1734">
        <v>4410000</v>
      </c>
      <c r="F17" s="3423"/>
    </row>
    <row r="18" spans="1:6" ht="30" customHeight="1" thickBot="1" x14ac:dyDescent="0.25">
      <c r="A18" s="204">
        <v>3</v>
      </c>
      <c r="B18" s="224" t="s">
        <v>3744</v>
      </c>
      <c r="C18" s="6">
        <v>100000000</v>
      </c>
      <c r="D18" s="209">
        <v>5.5E-2</v>
      </c>
      <c r="E18" s="104">
        <v>5500000</v>
      </c>
      <c r="F18" s="3424"/>
    </row>
    <row r="19" spans="1:6" x14ac:dyDescent="0.2">
      <c r="C19" s="445"/>
    </row>
  </sheetData>
  <mergeCells count="7">
    <mergeCell ref="A7:A8"/>
    <mergeCell ref="B1:F1"/>
    <mergeCell ref="F3:F9"/>
    <mergeCell ref="B13:F13"/>
    <mergeCell ref="F15:F18"/>
    <mergeCell ref="B5:E5"/>
    <mergeCell ref="B7:B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rightToLeft="1" topLeftCell="A44" zoomScale="90" zoomScaleNormal="90" workbookViewId="0">
      <selection activeCell="C14" sqref="C14"/>
    </sheetView>
  </sheetViews>
  <sheetFormatPr defaultRowHeight="14.25" x14ac:dyDescent="0.2"/>
  <cols>
    <col min="1" max="1" width="5.75" style="5" customWidth="1"/>
    <col min="2" max="4" width="20.625" customWidth="1"/>
    <col min="5" max="5" width="23.625" style="5" customWidth="1"/>
    <col min="6" max="6" width="11.75" customWidth="1"/>
    <col min="7" max="7" width="39.875" customWidth="1"/>
  </cols>
  <sheetData>
    <row r="1" spans="1:13" ht="50.1" customHeight="1" thickBot="1" x14ac:dyDescent="0.25">
      <c r="A1" s="3320" t="s">
        <v>3968</v>
      </c>
      <c r="B1" s="3321"/>
      <c r="C1" s="3321"/>
      <c r="D1" s="3321"/>
      <c r="E1" s="3321"/>
      <c r="F1" s="3321"/>
      <c r="G1" s="3322"/>
    </row>
    <row r="2" spans="1:13" ht="50.1" customHeight="1" x14ac:dyDescent="0.2">
      <c r="A2" s="1915" t="s">
        <v>0</v>
      </c>
      <c r="B2" s="8" t="s">
        <v>3933</v>
      </c>
      <c r="C2" s="8" t="s">
        <v>3934</v>
      </c>
      <c r="D2" s="8" t="s">
        <v>3935</v>
      </c>
      <c r="E2" s="1" t="s">
        <v>3936</v>
      </c>
      <c r="F2" s="2" t="s">
        <v>3937</v>
      </c>
      <c r="G2" s="2" t="s">
        <v>271</v>
      </c>
    </row>
    <row r="3" spans="1:13" ht="30" customHeight="1" x14ac:dyDescent="0.2">
      <c r="A3" s="1922">
        <v>1</v>
      </c>
      <c r="B3" s="1876" t="s">
        <v>3940</v>
      </c>
      <c r="C3" s="1881">
        <v>500000000</v>
      </c>
      <c r="D3" s="1876" t="s">
        <v>3948</v>
      </c>
      <c r="E3" s="1881" t="s">
        <v>3956</v>
      </c>
      <c r="F3" s="1916" t="s">
        <v>3957</v>
      </c>
      <c r="G3" s="1917"/>
    </row>
    <row r="4" spans="1:13" ht="30" customHeight="1" x14ac:dyDescent="0.2">
      <c r="A4" s="1922">
        <v>2</v>
      </c>
      <c r="B4" s="1876" t="s">
        <v>3941</v>
      </c>
      <c r="C4" s="1881">
        <v>2000000000</v>
      </c>
      <c r="D4" s="1876" t="s">
        <v>3949</v>
      </c>
      <c r="E4" s="1881" t="s">
        <v>3956</v>
      </c>
      <c r="F4" s="1916" t="s">
        <v>3958</v>
      </c>
      <c r="G4" s="1917"/>
    </row>
    <row r="5" spans="1:13" ht="30" customHeight="1" x14ac:dyDescent="0.2">
      <c r="A5" s="1922">
        <v>3</v>
      </c>
      <c r="B5" s="1876" t="s">
        <v>3942</v>
      </c>
      <c r="C5" s="1881">
        <v>1520000000</v>
      </c>
      <c r="D5" s="1876" t="s">
        <v>3950</v>
      </c>
      <c r="E5" s="1881" t="s">
        <v>3956</v>
      </c>
      <c r="F5" s="1916" t="s">
        <v>3957</v>
      </c>
      <c r="G5" s="1917"/>
    </row>
    <row r="6" spans="1:13" ht="30" customHeight="1" x14ac:dyDescent="0.2">
      <c r="A6" s="1922">
        <v>4</v>
      </c>
      <c r="B6" s="1876" t="s">
        <v>3943</v>
      </c>
      <c r="C6" s="1881">
        <v>655000000</v>
      </c>
      <c r="D6" s="1876" t="s">
        <v>3951</v>
      </c>
      <c r="E6" s="1881" t="s">
        <v>3956</v>
      </c>
      <c r="F6" s="1916" t="s">
        <v>3957</v>
      </c>
      <c r="G6" s="1917"/>
    </row>
    <row r="7" spans="1:13" ht="30" customHeight="1" x14ac:dyDescent="0.2">
      <c r="A7" s="1922">
        <v>5</v>
      </c>
      <c r="B7" s="1876" t="s">
        <v>3944</v>
      </c>
      <c r="C7" s="1881">
        <v>490000000</v>
      </c>
      <c r="D7" s="1876" t="s">
        <v>3952</v>
      </c>
      <c r="E7" s="1881" t="s">
        <v>3956</v>
      </c>
      <c r="F7" s="1916" t="s">
        <v>3958</v>
      </c>
      <c r="G7" s="1917"/>
    </row>
    <row r="8" spans="1:13" ht="30" customHeight="1" x14ac:dyDescent="0.2">
      <c r="A8" s="1922">
        <v>6</v>
      </c>
      <c r="B8" s="1876" t="s">
        <v>3599</v>
      </c>
      <c r="C8" s="1881">
        <v>1050000000</v>
      </c>
      <c r="D8" s="1876" t="s">
        <v>3953</v>
      </c>
      <c r="E8" s="1881" t="s">
        <v>3956</v>
      </c>
      <c r="F8" s="1916" t="s">
        <v>3958</v>
      </c>
      <c r="G8" s="1917"/>
    </row>
    <row r="9" spans="1:13" ht="30" customHeight="1" x14ac:dyDescent="0.2">
      <c r="A9" s="1922">
        <v>7</v>
      </c>
      <c r="B9" s="1876" t="s">
        <v>3945</v>
      </c>
      <c r="C9" s="1881">
        <v>1370000000</v>
      </c>
      <c r="D9" s="1876" t="s">
        <v>3954</v>
      </c>
      <c r="E9" s="1881" t="s">
        <v>3956</v>
      </c>
      <c r="F9" s="1916" t="s">
        <v>3938</v>
      </c>
      <c r="G9" s="1917"/>
    </row>
    <row r="10" spans="1:13" ht="30" customHeight="1" x14ac:dyDescent="0.2">
      <c r="A10" s="1922">
        <v>8</v>
      </c>
      <c r="B10" s="1876" t="s">
        <v>3946</v>
      </c>
      <c r="C10" s="1881">
        <v>2600000000</v>
      </c>
      <c r="D10" s="1876" t="s">
        <v>3955</v>
      </c>
      <c r="E10" s="1881" t="s">
        <v>3956</v>
      </c>
      <c r="F10" s="1916" t="s">
        <v>1223</v>
      </c>
      <c r="G10" s="1917"/>
    </row>
    <row r="11" spans="1:13" ht="30" customHeight="1" x14ac:dyDescent="0.2">
      <c r="A11" s="1922">
        <v>9</v>
      </c>
      <c r="B11" s="1761" t="s">
        <v>3557</v>
      </c>
      <c r="C11" s="1883">
        <v>1000000000</v>
      </c>
      <c r="D11" s="1761">
        <v>595471</v>
      </c>
      <c r="E11" s="1883" t="s">
        <v>3956</v>
      </c>
      <c r="F11" s="1928" t="s">
        <v>3939</v>
      </c>
      <c r="G11" s="1918"/>
    </row>
    <row r="12" spans="1:13" ht="30" customHeight="1" x14ac:dyDescent="0.2">
      <c r="A12" s="1922">
        <v>10</v>
      </c>
      <c r="B12" s="1761" t="s">
        <v>3947</v>
      </c>
      <c r="C12" s="1883">
        <v>500000000</v>
      </c>
      <c r="D12" s="1761">
        <v>174155</v>
      </c>
      <c r="E12" s="1883" t="s">
        <v>3956</v>
      </c>
      <c r="F12" s="1928" t="s">
        <v>3939</v>
      </c>
      <c r="G12" s="1918"/>
    </row>
    <row r="13" spans="1:13" ht="30" customHeight="1" thickBot="1" x14ac:dyDescent="0.25">
      <c r="A13" s="1923"/>
      <c r="B13" s="1919" t="s">
        <v>3959</v>
      </c>
      <c r="C13" s="3372">
        <f>SUM(C3:C12)</f>
        <v>11685000000</v>
      </c>
      <c r="D13" s="3432"/>
      <c r="E13" s="3432"/>
      <c r="F13" s="3373"/>
      <c r="G13" s="1924"/>
    </row>
    <row r="14" spans="1:13" ht="18" x14ac:dyDescent="0.2">
      <c r="A14" s="193"/>
      <c r="B14" s="195"/>
      <c r="C14" s="195"/>
      <c r="D14" s="195"/>
      <c r="E14" s="1874"/>
      <c r="F14" s="1920"/>
      <c r="G14" s="1921"/>
    </row>
    <row r="15" spans="1:13" ht="18.75" thickBot="1" x14ac:dyDescent="0.25">
      <c r="A15" s="193"/>
      <c r="B15" s="195"/>
      <c r="C15" s="195"/>
      <c r="D15" s="195"/>
      <c r="E15" s="1874"/>
      <c r="F15" s="1920"/>
      <c r="G15" s="1921"/>
    </row>
    <row r="16" spans="1:13" ht="39.950000000000003" customHeight="1" thickBot="1" x14ac:dyDescent="0.25">
      <c r="A16" s="3433" t="s">
        <v>3961</v>
      </c>
      <c r="B16" s="3434"/>
      <c r="C16" s="3434"/>
      <c r="D16" s="3434"/>
      <c r="E16" s="3434"/>
      <c r="F16" s="3434"/>
      <c r="G16" s="3435"/>
      <c r="H16" s="1925"/>
      <c r="I16" s="1925"/>
      <c r="J16" s="1925"/>
      <c r="K16" s="1925"/>
      <c r="L16" s="1925"/>
      <c r="M16" s="1925"/>
    </row>
    <row r="17" spans="1:7" ht="18" customHeight="1" x14ac:dyDescent="0.2">
      <c r="A17" s="3436" t="s">
        <v>3960</v>
      </c>
      <c r="B17" s="3437"/>
      <c r="C17" s="3437"/>
      <c r="D17" s="3437"/>
      <c r="E17" s="3437"/>
      <c r="F17" s="3437"/>
      <c r="G17" s="3438"/>
    </row>
    <row r="18" spans="1:7" ht="18" customHeight="1" thickBot="1" x14ac:dyDescent="0.25">
      <c r="A18" s="3439"/>
      <c r="B18" s="3440"/>
      <c r="C18" s="3440"/>
      <c r="D18" s="3440"/>
      <c r="E18" s="3440"/>
      <c r="F18" s="3440"/>
      <c r="G18" s="3441"/>
    </row>
    <row r="19" spans="1:7" x14ac:dyDescent="0.2">
      <c r="A19" s="3436" t="s">
        <v>3962</v>
      </c>
      <c r="B19" s="3437"/>
      <c r="C19" s="3437"/>
      <c r="D19" s="3437"/>
      <c r="E19" s="3437"/>
      <c r="F19" s="3437"/>
      <c r="G19" s="3438"/>
    </row>
    <row r="20" spans="1:7" ht="15" thickBot="1" x14ac:dyDescent="0.25">
      <c r="A20" s="3439"/>
      <c r="B20" s="3440"/>
      <c r="C20" s="3440"/>
      <c r="D20" s="3440"/>
      <c r="E20" s="3440"/>
      <c r="F20" s="3440"/>
      <c r="G20" s="3441"/>
    </row>
    <row r="21" spans="1:7" x14ac:dyDescent="0.2">
      <c r="A21" s="193"/>
      <c r="B21" s="193"/>
      <c r="C21" s="193"/>
      <c r="D21" s="193"/>
      <c r="E21" s="193"/>
      <c r="F21" s="193"/>
      <c r="G21" s="193"/>
    </row>
    <row r="22" spans="1:7" x14ac:dyDescent="0.2">
      <c r="A22" s="193"/>
      <c r="B22" s="193"/>
      <c r="C22" s="193"/>
      <c r="D22" s="193"/>
      <c r="E22" s="193"/>
      <c r="F22" s="193"/>
      <c r="G22" s="193"/>
    </row>
    <row r="23" spans="1:7" ht="18.75" thickBot="1" x14ac:dyDescent="0.25">
      <c r="A23" s="193"/>
      <c r="B23" s="195"/>
      <c r="C23" s="195"/>
      <c r="D23" s="195"/>
      <c r="E23" s="1874"/>
      <c r="F23" s="1920"/>
      <c r="G23" s="1921"/>
    </row>
    <row r="24" spans="1:7" ht="50.1" customHeight="1" thickBot="1" x14ac:dyDescent="0.25">
      <c r="A24" s="3320" t="s">
        <v>3969</v>
      </c>
      <c r="B24" s="3321"/>
      <c r="C24" s="3321"/>
      <c r="D24" s="3321"/>
      <c r="E24" s="3321"/>
      <c r="F24" s="3321"/>
      <c r="G24" s="3322"/>
    </row>
    <row r="25" spans="1:7" ht="50.1" customHeight="1" x14ac:dyDescent="0.2">
      <c r="A25" s="1915" t="s">
        <v>0</v>
      </c>
      <c r="B25" s="8" t="s">
        <v>3933</v>
      </c>
      <c r="C25" s="8" t="s">
        <v>3934</v>
      </c>
      <c r="D25" s="8" t="s">
        <v>3935</v>
      </c>
      <c r="E25" s="1" t="s">
        <v>3936</v>
      </c>
      <c r="F25" s="2" t="s">
        <v>3937</v>
      </c>
      <c r="G25" s="2" t="s">
        <v>271</v>
      </c>
    </row>
    <row r="26" spans="1:7" ht="30" customHeight="1" x14ac:dyDescent="0.2">
      <c r="A26" s="1922">
        <v>1</v>
      </c>
      <c r="B26" s="1876" t="s">
        <v>3940</v>
      </c>
      <c r="C26" s="1881">
        <v>500000000</v>
      </c>
      <c r="D26" s="1876" t="s">
        <v>3948</v>
      </c>
      <c r="E26" s="1881" t="s">
        <v>3956</v>
      </c>
      <c r="F26" s="1916" t="s">
        <v>3957</v>
      </c>
      <c r="G26" s="1917"/>
    </row>
    <row r="27" spans="1:7" ht="30" customHeight="1" x14ac:dyDescent="0.2">
      <c r="A27" s="1922">
        <v>2</v>
      </c>
      <c r="B27" s="1876" t="s">
        <v>3941</v>
      </c>
      <c r="C27" s="1881">
        <v>2000000000</v>
      </c>
      <c r="D27" s="1876" t="s">
        <v>3949</v>
      </c>
      <c r="E27" s="1881" t="s">
        <v>3956</v>
      </c>
      <c r="F27" s="1916" t="s">
        <v>3958</v>
      </c>
      <c r="G27" s="1917"/>
    </row>
    <row r="28" spans="1:7" ht="30" customHeight="1" x14ac:dyDescent="0.2">
      <c r="A28" s="1922">
        <v>3</v>
      </c>
      <c r="B28" s="1876" t="s">
        <v>3942</v>
      </c>
      <c r="C28" s="1881">
        <v>1520000000</v>
      </c>
      <c r="D28" s="1876" t="s">
        <v>3950</v>
      </c>
      <c r="E28" s="1881" t="s">
        <v>3956</v>
      </c>
      <c r="F28" s="1916" t="s">
        <v>3957</v>
      </c>
      <c r="G28" s="1917"/>
    </row>
    <row r="29" spans="1:7" ht="30" customHeight="1" x14ac:dyDescent="0.2">
      <c r="A29" s="1922">
        <v>4</v>
      </c>
      <c r="B29" s="1876" t="s">
        <v>3943</v>
      </c>
      <c r="C29" s="1881">
        <v>655000000</v>
      </c>
      <c r="D29" s="1876" t="s">
        <v>3951</v>
      </c>
      <c r="E29" s="1881" t="s">
        <v>3956</v>
      </c>
      <c r="F29" s="1916" t="s">
        <v>3957</v>
      </c>
      <c r="G29" s="1917"/>
    </row>
    <row r="30" spans="1:7" ht="30" customHeight="1" x14ac:dyDescent="0.2">
      <c r="A30" s="1922">
        <v>5</v>
      </c>
      <c r="B30" s="1876" t="s">
        <v>3944</v>
      </c>
      <c r="C30" s="1881">
        <v>490000000</v>
      </c>
      <c r="D30" s="1876" t="s">
        <v>3952</v>
      </c>
      <c r="E30" s="1881" t="s">
        <v>3956</v>
      </c>
      <c r="F30" s="1916" t="s">
        <v>3958</v>
      </c>
      <c r="G30" s="1917"/>
    </row>
    <row r="31" spans="1:7" ht="30" customHeight="1" x14ac:dyDescent="0.2">
      <c r="A31" s="1922">
        <v>6</v>
      </c>
      <c r="B31" s="1876" t="s">
        <v>3599</v>
      </c>
      <c r="C31" s="1881">
        <v>1050000000</v>
      </c>
      <c r="D31" s="1876" t="s">
        <v>3953</v>
      </c>
      <c r="E31" s="1881" t="s">
        <v>3956</v>
      </c>
      <c r="F31" s="1916" t="s">
        <v>3958</v>
      </c>
      <c r="G31" s="1917"/>
    </row>
    <row r="32" spans="1:7" ht="30" customHeight="1" x14ac:dyDescent="0.2">
      <c r="A32" s="1922">
        <v>7</v>
      </c>
      <c r="B32" s="1876" t="s">
        <v>3945</v>
      </c>
      <c r="C32" s="1881">
        <v>1370000000</v>
      </c>
      <c r="D32" s="1876" t="s">
        <v>3954</v>
      </c>
      <c r="E32" s="1881" t="s">
        <v>3956</v>
      </c>
      <c r="F32" s="1916" t="s">
        <v>3938</v>
      </c>
      <c r="G32" s="1917"/>
    </row>
    <row r="33" spans="1:13" ht="30" customHeight="1" x14ac:dyDescent="0.2">
      <c r="A33" s="1922">
        <v>8</v>
      </c>
      <c r="B33" s="1876" t="s">
        <v>3946</v>
      </c>
      <c r="C33" s="1881">
        <v>2600000000</v>
      </c>
      <c r="D33" s="1876" t="s">
        <v>3955</v>
      </c>
      <c r="E33" s="1881" t="s">
        <v>3956</v>
      </c>
      <c r="F33" s="1916" t="s">
        <v>1223</v>
      </c>
      <c r="G33" s="1917"/>
    </row>
    <row r="34" spans="1:13" ht="30" customHeight="1" x14ac:dyDescent="0.2">
      <c r="A34" s="1922">
        <v>9</v>
      </c>
      <c r="B34" s="1761"/>
      <c r="C34" s="1883">
        <v>1050000000</v>
      </c>
      <c r="D34" s="1761">
        <v>174155</v>
      </c>
      <c r="E34" s="1883" t="s">
        <v>3956</v>
      </c>
      <c r="F34" s="1928" t="s">
        <v>3939</v>
      </c>
      <c r="G34" s="1918"/>
    </row>
    <row r="35" spans="1:13" ht="30" customHeight="1" thickBot="1" x14ac:dyDescent="0.25">
      <c r="A35" s="1923"/>
      <c r="B35" s="1919" t="s">
        <v>3967</v>
      </c>
      <c r="C35" s="3372">
        <f>SUM(C26:C34)</f>
        <v>11235000000</v>
      </c>
      <c r="D35" s="3432"/>
      <c r="E35" s="3432"/>
      <c r="F35" s="3373"/>
      <c r="G35" s="1924"/>
    </row>
    <row r="36" spans="1:13" ht="18" x14ac:dyDescent="0.2">
      <c r="A36" s="193"/>
      <c r="B36" s="195"/>
      <c r="C36" s="195"/>
      <c r="D36" s="195"/>
      <c r="E36" s="1874"/>
      <c r="F36" s="1920"/>
      <c r="G36" s="1921"/>
    </row>
    <row r="37" spans="1:13" ht="18.75" thickBot="1" x14ac:dyDescent="0.25">
      <c r="A37" s="193"/>
      <c r="B37" s="195"/>
      <c r="C37" s="195"/>
      <c r="D37" s="195"/>
      <c r="E37" s="1874"/>
      <c r="F37" s="1920"/>
      <c r="G37" s="1921"/>
    </row>
    <row r="38" spans="1:13" ht="39.950000000000003" customHeight="1" thickBot="1" x14ac:dyDescent="0.25">
      <c r="A38" s="3433" t="s">
        <v>3963</v>
      </c>
      <c r="B38" s="3434"/>
      <c r="C38" s="3434"/>
      <c r="D38" s="3434"/>
      <c r="E38" s="3434"/>
      <c r="F38" s="3434"/>
      <c r="G38" s="3435"/>
      <c r="H38" s="1925"/>
      <c r="I38" s="1925"/>
      <c r="J38" s="1925"/>
      <c r="K38" s="1925"/>
      <c r="L38" s="1925"/>
      <c r="M38" s="1925"/>
    </row>
    <row r="39" spans="1:13" ht="39.950000000000003" customHeight="1" thickBot="1" x14ac:dyDescent="0.25">
      <c r="A39" s="3433" t="s">
        <v>3964</v>
      </c>
      <c r="B39" s="3434"/>
      <c r="C39" s="3434"/>
      <c r="D39" s="3434"/>
      <c r="E39" s="3434"/>
      <c r="F39" s="3434"/>
      <c r="G39" s="3435"/>
      <c r="H39" s="1925"/>
      <c r="I39" s="1925"/>
      <c r="J39" s="1925"/>
      <c r="K39" s="1925"/>
      <c r="L39" s="1925"/>
      <c r="M39" s="1925"/>
    </row>
    <row r="40" spans="1:13" ht="39.950000000000003" customHeight="1" thickBot="1" x14ac:dyDescent="0.25">
      <c r="A40" s="3433" t="s">
        <v>3965</v>
      </c>
      <c r="B40" s="3434"/>
      <c r="C40" s="3434"/>
      <c r="D40" s="3434"/>
      <c r="E40" s="3434"/>
      <c r="F40" s="3434"/>
      <c r="G40" s="3435"/>
      <c r="H40" s="1925"/>
      <c r="I40" s="1925"/>
      <c r="J40" s="1925"/>
      <c r="K40" s="1925"/>
      <c r="L40" s="1925"/>
      <c r="M40" s="1925"/>
    </row>
    <row r="41" spans="1:13" ht="18" x14ac:dyDescent="0.2">
      <c r="A41" s="193"/>
      <c r="B41" s="195"/>
      <c r="C41" s="195"/>
      <c r="D41" s="195"/>
      <c r="E41" s="1874"/>
      <c r="F41" s="1920"/>
      <c r="G41" s="1921"/>
    </row>
    <row r="42" spans="1:13" ht="18" x14ac:dyDescent="0.2">
      <c r="A42" s="193"/>
      <c r="B42" s="195"/>
      <c r="C42" s="195"/>
      <c r="D42" s="195"/>
      <c r="E42" s="1874"/>
      <c r="F42" s="1920"/>
      <c r="G42" s="1921"/>
    </row>
    <row r="43" spans="1:13" ht="18.75" thickBot="1" x14ac:dyDescent="0.25">
      <c r="A43" s="193"/>
      <c r="B43" s="195"/>
      <c r="C43" s="195"/>
      <c r="D43" s="195"/>
      <c r="E43" s="1874"/>
      <c r="F43" s="1920"/>
      <c r="G43" s="1921"/>
    </row>
    <row r="44" spans="1:13" ht="50.1" customHeight="1" thickBot="1" x14ac:dyDescent="0.25">
      <c r="A44" s="3320" t="s">
        <v>3970</v>
      </c>
      <c r="B44" s="3321"/>
      <c r="C44" s="3321"/>
      <c r="D44" s="3321"/>
      <c r="E44" s="3321"/>
      <c r="F44" s="3321"/>
      <c r="G44" s="3322"/>
    </row>
    <row r="45" spans="1:13" ht="50.1" customHeight="1" x14ac:dyDescent="0.2">
      <c r="A45" s="1915" t="s">
        <v>0</v>
      </c>
      <c r="B45" s="8" t="s">
        <v>3933</v>
      </c>
      <c r="C45" s="8" t="s">
        <v>3934</v>
      </c>
      <c r="D45" s="8" t="s">
        <v>3935</v>
      </c>
      <c r="E45" s="1" t="s">
        <v>3936</v>
      </c>
      <c r="F45" s="2" t="s">
        <v>3937</v>
      </c>
      <c r="G45" s="2" t="s">
        <v>271</v>
      </c>
    </row>
    <row r="46" spans="1:13" ht="30" customHeight="1" x14ac:dyDescent="0.2">
      <c r="A46" s="1922">
        <v>1</v>
      </c>
      <c r="B46" s="1876" t="s">
        <v>3940</v>
      </c>
      <c r="C46" s="1881">
        <v>500000000</v>
      </c>
      <c r="D46" s="1876" t="s">
        <v>3948</v>
      </c>
      <c r="E46" s="1881" t="s">
        <v>3956</v>
      </c>
      <c r="F46" s="1916" t="s">
        <v>3957</v>
      </c>
      <c r="G46" s="1917"/>
    </row>
    <row r="47" spans="1:13" ht="30" customHeight="1" x14ac:dyDescent="0.2">
      <c r="A47" s="1922">
        <v>2</v>
      </c>
      <c r="B47" s="1876" t="s">
        <v>3941</v>
      </c>
      <c r="C47" s="1881">
        <v>2000000000</v>
      </c>
      <c r="D47" s="1876" t="s">
        <v>3949</v>
      </c>
      <c r="E47" s="1881" t="s">
        <v>3956</v>
      </c>
      <c r="F47" s="1916" t="s">
        <v>3958</v>
      </c>
      <c r="G47" s="1917"/>
    </row>
    <row r="48" spans="1:13" ht="30" customHeight="1" x14ac:dyDescent="0.2">
      <c r="A48" s="1922">
        <v>3</v>
      </c>
      <c r="B48" s="1876" t="s">
        <v>3942</v>
      </c>
      <c r="C48" s="1881">
        <v>1520000000</v>
      </c>
      <c r="D48" s="1876" t="s">
        <v>3950</v>
      </c>
      <c r="E48" s="1881" t="s">
        <v>3956</v>
      </c>
      <c r="F48" s="1916" t="s">
        <v>3957</v>
      </c>
      <c r="G48" s="1917"/>
    </row>
    <row r="49" spans="1:7" ht="30" customHeight="1" x14ac:dyDescent="0.2">
      <c r="A49" s="1922">
        <v>4</v>
      </c>
      <c r="B49" s="1876" t="s">
        <v>3943</v>
      </c>
      <c r="C49" s="1881">
        <v>655000000</v>
      </c>
      <c r="D49" s="1876" t="s">
        <v>3951</v>
      </c>
      <c r="E49" s="1881" t="s">
        <v>3956</v>
      </c>
      <c r="F49" s="1916" t="s">
        <v>3957</v>
      </c>
      <c r="G49" s="1917"/>
    </row>
    <row r="50" spans="1:7" ht="30" customHeight="1" x14ac:dyDescent="0.2">
      <c r="A50" s="1922">
        <v>5</v>
      </c>
      <c r="B50" s="1876" t="s">
        <v>3944</v>
      </c>
      <c r="C50" s="1881">
        <v>490000000</v>
      </c>
      <c r="D50" s="1876" t="s">
        <v>3952</v>
      </c>
      <c r="E50" s="1881" t="s">
        <v>3956</v>
      </c>
      <c r="F50" s="1916" t="s">
        <v>3958</v>
      </c>
      <c r="G50" s="1917"/>
    </row>
    <row r="51" spans="1:7" ht="30" customHeight="1" x14ac:dyDescent="0.2">
      <c r="A51" s="1922">
        <v>6</v>
      </c>
      <c r="B51" s="1876" t="s">
        <v>3599</v>
      </c>
      <c r="C51" s="1881">
        <v>1050000000</v>
      </c>
      <c r="D51" s="1876" t="s">
        <v>3953</v>
      </c>
      <c r="E51" s="1881" t="s">
        <v>3956</v>
      </c>
      <c r="F51" s="1916" t="s">
        <v>3958</v>
      </c>
      <c r="G51" s="1917"/>
    </row>
    <row r="52" spans="1:7" ht="30" customHeight="1" x14ac:dyDescent="0.2">
      <c r="A52" s="1922">
        <v>7</v>
      </c>
      <c r="B52" s="1876" t="s">
        <v>3945</v>
      </c>
      <c r="C52" s="1881">
        <v>1370000000</v>
      </c>
      <c r="D52" s="1876" t="s">
        <v>3954</v>
      </c>
      <c r="E52" s="1881" t="s">
        <v>3956</v>
      </c>
      <c r="F52" s="1916" t="s">
        <v>3938</v>
      </c>
      <c r="G52" s="1917"/>
    </row>
    <row r="53" spans="1:7" ht="30" customHeight="1" x14ac:dyDescent="0.2">
      <c r="A53" s="1922">
        <v>8</v>
      </c>
      <c r="B53" s="1876" t="s">
        <v>3946</v>
      </c>
      <c r="C53" s="1881">
        <v>2600000000</v>
      </c>
      <c r="D53" s="1876" t="s">
        <v>3955</v>
      </c>
      <c r="E53" s="1881" t="s">
        <v>3956</v>
      </c>
      <c r="F53" s="1916" t="s">
        <v>1223</v>
      </c>
      <c r="G53" s="1917"/>
    </row>
    <row r="54" spans="1:7" ht="30" customHeight="1" x14ac:dyDescent="0.2">
      <c r="A54" s="1922">
        <v>9</v>
      </c>
      <c r="B54" s="1876" t="s">
        <v>3971</v>
      </c>
      <c r="C54" s="1881">
        <v>2730000000</v>
      </c>
      <c r="D54" s="1876" t="s">
        <v>3972</v>
      </c>
      <c r="E54" s="1881" t="s">
        <v>3956</v>
      </c>
      <c r="F54" s="1916"/>
      <c r="G54" s="1918"/>
    </row>
    <row r="55" spans="1:7" ht="30" customHeight="1" thickBot="1" x14ac:dyDescent="0.25">
      <c r="A55" s="1923"/>
      <c r="B55" s="1919" t="s">
        <v>3966</v>
      </c>
      <c r="C55" s="3429">
        <f>SUM(C46:C54)</f>
        <v>12915000000</v>
      </c>
      <c r="D55" s="3430"/>
      <c r="E55" s="3430"/>
      <c r="F55" s="3431"/>
      <c r="G55" s="1924"/>
    </row>
    <row r="56" spans="1:7" ht="18" x14ac:dyDescent="0.2">
      <c r="A56" s="193"/>
      <c r="B56" s="195"/>
      <c r="C56" s="195"/>
      <c r="D56" s="195"/>
      <c r="E56" s="1874"/>
      <c r="F56" s="1920"/>
      <c r="G56" s="1921"/>
    </row>
    <row r="57" spans="1:7" ht="18" x14ac:dyDescent="0.2">
      <c r="A57" s="193"/>
      <c r="B57" s="195"/>
      <c r="C57" s="195"/>
      <c r="D57" s="195"/>
      <c r="E57" s="1874"/>
      <c r="F57" s="1920"/>
      <c r="G57" s="1921"/>
    </row>
    <row r="58" spans="1:7" ht="18" x14ac:dyDescent="0.2">
      <c r="A58" s="193"/>
      <c r="B58" s="195"/>
      <c r="C58" s="195"/>
      <c r="D58" s="195"/>
      <c r="E58" s="1874"/>
      <c r="F58" s="1920"/>
      <c r="G58" s="1921"/>
    </row>
    <row r="59" spans="1:7" ht="18" x14ac:dyDescent="0.2">
      <c r="A59" s="193"/>
      <c r="B59" s="195"/>
      <c r="C59" s="195"/>
      <c r="D59" s="195"/>
      <c r="E59" s="1874"/>
      <c r="F59" s="1920"/>
      <c r="G59" s="1921"/>
    </row>
    <row r="60" spans="1:7" ht="18" x14ac:dyDescent="0.2">
      <c r="A60" s="193"/>
      <c r="B60" s="195"/>
      <c r="C60" s="195"/>
      <c r="D60" s="195"/>
      <c r="E60" s="1874"/>
      <c r="F60" s="1920"/>
      <c r="G60" s="1921"/>
    </row>
    <row r="61" spans="1:7" ht="18" x14ac:dyDescent="0.2">
      <c r="A61" s="193"/>
      <c r="B61" s="195"/>
      <c r="C61" s="195"/>
      <c r="D61" s="195"/>
      <c r="E61" s="1874"/>
      <c r="F61" s="1920"/>
      <c r="G61" s="1921"/>
    </row>
    <row r="62" spans="1:7" ht="18" x14ac:dyDescent="0.2">
      <c r="A62" s="193"/>
      <c r="B62" s="195"/>
      <c r="C62" s="195"/>
      <c r="D62" s="195"/>
      <c r="E62" s="1874"/>
      <c r="F62" s="1920"/>
      <c r="G62" s="1921"/>
    </row>
    <row r="63" spans="1:7" ht="18" x14ac:dyDescent="0.2">
      <c r="A63" s="193"/>
      <c r="B63" s="195"/>
      <c r="C63" s="195"/>
      <c r="D63" s="195"/>
      <c r="E63" s="1874"/>
      <c r="F63" s="1920"/>
      <c r="G63" s="1921"/>
    </row>
    <row r="64" spans="1:7" ht="18" x14ac:dyDescent="0.2">
      <c r="A64" s="193"/>
      <c r="B64" s="195"/>
      <c r="C64" s="195"/>
      <c r="D64" s="195"/>
      <c r="E64" s="1874"/>
      <c r="F64" s="1920"/>
      <c r="G64" s="1921"/>
    </row>
    <row r="65" spans="1:7" ht="18" x14ac:dyDescent="0.2">
      <c r="A65" s="193"/>
      <c r="B65" s="195"/>
      <c r="C65" s="195"/>
      <c r="D65" s="195"/>
      <c r="E65" s="1874"/>
      <c r="F65" s="1920"/>
      <c r="G65" s="1921"/>
    </row>
    <row r="66" spans="1:7" ht="18" x14ac:dyDescent="0.2">
      <c r="A66" s="193"/>
      <c r="B66" s="195"/>
      <c r="C66" s="195"/>
      <c r="D66" s="195"/>
      <c r="E66" s="1874"/>
      <c r="F66" s="1920"/>
      <c r="G66" s="1921"/>
    </row>
    <row r="67" spans="1:7" ht="18" x14ac:dyDescent="0.2">
      <c r="A67" s="193"/>
      <c r="B67" s="195"/>
      <c r="C67" s="195"/>
      <c r="D67" s="195"/>
      <c r="E67" s="1874"/>
      <c r="F67" s="1920"/>
      <c r="G67" s="1921"/>
    </row>
    <row r="68" spans="1:7" ht="18" x14ac:dyDescent="0.2">
      <c r="A68" s="193"/>
      <c r="B68" s="195"/>
      <c r="C68" s="195"/>
      <c r="D68" s="195"/>
      <c r="E68" s="1874"/>
      <c r="F68" s="1920"/>
      <c r="G68" s="1921"/>
    </row>
    <row r="69" spans="1:7" ht="18" x14ac:dyDescent="0.2">
      <c r="A69" s="193"/>
      <c r="B69" s="195"/>
      <c r="C69" s="195"/>
      <c r="D69" s="195"/>
      <c r="E69" s="1874"/>
      <c r="F69" s="1920"/>
      <c r="G69" s="1921"/>
    </row>
    <row r="70" spans="1:7" ht="18" x14ac:dyDescent="0.2">
      <c r="A70" s="193"/>
      <c r="B70" s="195"/>
      <c r="C70" s="195"/>
      <c r="D70" s="195"/>
      <c r="E70" s="1874"/>
      <c r="F70" s="1920"/>
      <c r="G70" s="1921"/>
    </row>
    <row r="71" spans="1:7" ht="18" x14ac:dyDescent="0.2">
      <c r="A71" s="193"/>
      <c r="B71" s="195"/>
      <c r="C71" s="195"/>
      <c r="D71" s="195"/>
      <c r="E71" s="1874"/>
      <c r="F71" s="1920"/>
      <c r="G71" s="1921"/>
    </row>
    <row r="72" spans="1:7" ht="18" x14ac:dyDescent="0.2">
      <c r="A72" s="193"/>
      <c r="B72" s="195"/>
      <c r="C72" s="195"/>
      <c r="D72" s="195"/>
      <c r="E72" s="1874"/>
      <c r="F72" s="1920"/>
      <c r="G72" s="1921"/>
    </row>
    <row r="73" spans="1:7" ht="18" x14ac:dyDescent="0.2">
      <c r="A73" s="193"/>
      <c r="B73" s="195"/>
      <c r="C73" s="195"/>
      <c r="D73" s="195"/>
      <c r="E73" s="1874"/>
      <c r="F73" s="1920"/>
      <c r="G73" s="1921"/>
    </row>
    <row r="74" spans="1:7" ht="18" x14ac:dyDescent="0.2">
      <c r="A74" s="193"/>
      <c r="B74" s="195"/>
      <c r="C74" s="195"/>
      <c r="D74" s="195"/>
      <c r="E74" s="1874"/>
      <c r="F74" s="1920"/>
      <c r="G74" s="1921"/>
    </row>
    <row r="75" spans="1:7" ht="18" x14ac:dyDescent="0.2">
      <c r="A75" s="193"/>
      <c r="B75" s="195"/>
      <c r="C75" s="195"/>
      <c r="D75" s="195"/>
      <c r="E75" s="1874"/>
      <c r="F75" s="1920"/>
      <c r="G75" s="1921"/>
    </row>
    <row r="76" spans="1:7" ht="18" x14ac:dyDescent="0.2">
      <c r="A76" s="193"/>
      <c r="B76" s="195"/>
      <c r="C76" s="195"/>
      <c r="D76" s="195"/>
      <c r="E76" s="1874"/>
      <c r="F76" s="1920"/>
      <c r="G76" s="1921"/>
    </row>
    <row r="77" spans="1:7" ht="18" x14ac:dyDescent="0.2">
      <c r="A77" s="193"/>
      <c r="B77" s="195"/>
      <c r="C77" s="195"/>
      <c r="D77" s="195"/>
      <c r="E77" s="1874"/>
      <c r="F77" s="1920"/>
      <c r="G77" s="1921"/>
    </row>
    <row r="78" spans="1:7" ht="18" x14ac:dyDescent="0.2">
      <c r="A78" s="193"/>
      <c r="B78" s="195"/>
      <c r="C78" s="195"/>
      <c r="D78" s="195"/>
      <c r="E78" s="1874"/>
      <c r="F78" s="1920"/>
      <c r="G78" s="1921"/>
    </row>
    <row r="79" spans="1:7" ht="18" x14ac:dyDescent="0.2">
      <c r="A79" s="193"/>
      <c r="B79" s="195"/>
      <c r="C79" s="195"/>
      <c r="D79" s="195"/>
      <c r="E79" s="1874"/>
      <c r="F79" s="1920"/>
      <c r="G79" s="1921"/>
    </row>
    <row r="80" spans="1:7" ht="18" x14ac:dyDescent="0.2">
      <c r="A80" s="193"/>
      <c r="B80" s="195"/>
      <c r="C80" s="195"/>
      <c r="D80" s="195"/>
      <c r="E80" s="1874"/>
      <c r="F80" s="1920"/>
      <c r="G80" s="1921"/>
    </row>
    <row r="81" spans="1:7" ht="18" x14ac:dyDescent="0.2">
      <c r="A81" s="193"/>
      <c r="B81" s="195"/>
      <c r="C81" s="195"/>
      <c r="D81" s="195"/>
      <c r="E81" s="1874"/>
      <c r="F81" s="1920"/>
      <c r="G81" s="1921"/>
    </row>
    <row r="82" spans="1:7" ht="18" x14ac:dyDescent="0.2">
      <c r="A82" s="193"/>
      <c r="B82" s="195"/>
      <c r="C82" s="195"/>
      <c r="D82" s="195"/>
      <c r="E82" s="1874"/>
      <c r="F82" s="1920"/>
      <c r="G82" s="1921"/>
    </row>
    <row r="83" spans="1:7" ht="18" x14ac:dyDescent="0.2">
      <c r="A83" s="193"/>
      <c r="B83" s="195"/>
      <c r="C83" s="195"/>
      <c r="D83" s="195"/>
      <c r="E83" s="1874"/>
      <c r="F83" s="1920"/>
      <c r="G83" s="1921"/>
    </row>
    <row r="84" spans="1:7" ht="18" x14ac:dyDescent="0.2">
      <c r="A84" s="193"/>
      <c r="B84" s="195"/>
      <c r="C84" s="195"/>
      <c r="D84" s="195"/>
      <c r="E84" s="1874"/>
      <c r="F84" s="1920"/>
      <c r="G84" s="1921"/>
    </row>
    <row r="85" spans="1:7" ht="18" x14ac:dyDescent="0.2">
      <c r="A85" s="193"/>
      <c r="B85" s="195"/>
      <c r="C85" s="195"/>
      <c r="D85" s="195"/>
      <c r="E85" s="1874"/>
      <c r="F85" s="1920"/>
      <c r="G85" s="1921"/>
    </row>
    <row r="86" spans="1:7" ht="18" x14ac:dyDescent="0.2">
      <c r="A86" s="193"/>
      <c r="B86" s="195"/>
      <c r="C86" s="195"/>
      <c r="D86" s="195"/>
      <c r="E86" s="1874"/>
      <c r="F86" s="1920"/>
      <c r="G86" s="1921"/>
    </row>
    <row r="87" spans="1:7" ht="18" x14ac:dyDescent="0.2">
      <c r="A87" s="193"/>
      <c r="B87" s="195"/>
      <c r="C87" s="195"/>
      <c r="D87" s="195"/>
      <c r="E87" s="1874"/>
      <c r="F87" s="1920"/>
      <c r="G87" s="1921"/>
    </row>
    <row r="88" spans="1:7" ht="18" x14ac:dyDescent="0.2">
      <c r="A88" s="193"/>
      <c r="B88" s="195"/>
      <c r="C88" s="195"/>
      <c r="D88" s="195"/>
      <c r="E88" s="1874"/>
      <c r="F88" s="1920"/>
      <c r="G88" s="1921"/>
    </row>
    <row r="89" spans="1:7" ht="18" x14ac:dyDescent="0.2">
      <c r="A89" s="193"/>
      <c r="B89" s="195"/>
      <c r="C89" s="195"/>
      <c r="D89" s="195"/>
      <c r="E89" s="1874"/>
      <c r="F89" s="1920"/>
      <c r="G89" s="1921"/>
    </row>
    <row r="90" spans="1:7" ht="18" x14ac:dyDescent="0.2">
      <c r="A90" s="193"/>
      <c r="B90" s="195"/>
      <c r="C90" s="195"/>
      <c r="D90" s="195"/>
      <c r="E90" s="1874"/>
      <c r="F90" s="1920"/>
      <c r="G90" s="1921"/>
    </row>
    <row r="91" spans="1:7" ht="18" x14ac:dyDescent="0.2">
      <c r="A91" s="193"/>
      <c r="B91" s="195"/>
      <c r="C91" s="195"/>
      <c r="D91" s="195"/>
      <c r="E91" s="1874"/>
      <c r="F91" s="1920"/>
      <c r="G91" s="1921"/>
    </row>
    <row r="92" spans="1:7" ht="18" x14ac:dyDescent="0.2">
      <c r="A92" s="193"/>
      <c r="B92" s="195"/>
      <c r="C92" s="195"/>
      <c r="D92" s="195"/>
      <c r="E92" s="1874"/>
      <c r="F92" s="1920"/>
      <c r="G92" s="1921"/>
    </row>
    <row r="93" spans="1:7" ht="18" x14ac:dyDescent="0.2">
      <c r="A93" s="193"/>
      <c r="B93" s="195"/>
      <c r="C93" s="195"/>
      <c r="D93" s="195"/>
      <c r="E93" s="1874"/>
      <c r="F93" s="1920"/>
      <c r="G93" s="1921"/>
    </row>
    <row r="94" spans="1:7" ht="18" x14ac:dyDescent="0.2">
      <c r="A94" s="193"/>
      <c r="B94" s="195"/>
      <c r="C94" s="195"/>
      <c r="D94" s="195"/>
      <c r="E94" s="1874"/>
      <c r="F94" s="1920"/>
      <c r="G94" s="1921"/>
    </row>
    <row r="95" spans="1:7" ht="18" x14ac:dyDescent="0.2">
      <c r="A95" s="193"/>
      <c r="B95" s="195"/>
      <c r="C95" s="195"/>
      <c r="D95" s="195"/>
      <c r="E95" s="1874"/>
      <c r="F95" s="1920"/>
      <c r="G95" s="1921"/>
    </row>
    <row r="96" spans="1:7" ht="18" x14ac:dyDescent="0.2">
      <c r="A96" s="193"/>
      <c r="B96" s="195"/>
      <c r="C96" s="195"/>
      <c r="D96" s="195"/>
      <c r="E96" s="1874"/>
      <c r="F96" s="1920"/>
      <c r="G96" s="1921"/>
    </row>
    <row r="97" spans="1:7" ht="18" x14ac:dyDescent="0.2">
      <c r="A97" s="193"/>
      <c r="B97" s="195"/>
      <c r="C97" s="195"/>
      <c r="D97" s="195"/>
      <c r="E97" s="1874"/>
      <c r="F97" s="1920"/>
      <c r="G97" s="1921"/>
    </row>
    <row r="98" spans="1:7" ht="18" x14ac:dyDescent="0.2">
      <c r="A98" s="193"/>
      <c r="B98" s="195"/>
      <c r="C98" s="195"/>
      <c r="D98" s="195"/>
      <c r="E98" s="1874"/>
      <c r="F98" s="1920"/>
      <c r="G98" s="1921"/>
    </row>
    <row r="99" spans="1:7" ht="18" x14ac:dyDescent="0.2">
      <c r="A99" s="193"/>
      <c r="B99" s="195"/>
      <c r="C99" s="195"/>
      <c r="D99" s="195"/>
      <c r="E99" s="1874"/>
      <c r="F99" s="1920"/>
      <c r="G99" s="1921"/>
    </row>
    <row r="100" spans="1:7" ht="18" x14ac:dyDescent="0.2">
      <c r="A100" s="193"/>
      <c r="B100" s="195"/>
      <c r="C100" s="195"/>
      <c r="D100" s="195"/>
      <c r="E100" s="1874"/>
      <c r="F100" s="1920"/>
      <c r="G100" s="1921"/>
    </row>
    <row r="101" spans="1:7" ht="18" x14ac:dyDescent="0.2">
      <c r="A101" s="193"/>
      <c r="B101" s="195"/>
      <c r="C101" s="195"/>
      <c r="D101" s="195"/>
      <c r="E101" s="1874"/>
      <c r="F101" s="1920"/>
      <c r="G101" s="1921"/>
    </row>
    <row r="102" spans="1:7" ht="18" x14ac:dyDescent="0.2">
      <c r="A102" s="193"/>
      <c r="B102" s="195"/>
      <c r="C102" s="195"/>
      <c r="D102" s="195"/>
      <c r="E102" s="1874"/>
      <c r="F102" s="1920"/>
      <c r="G102" s="1921"/>
    </row>
    <row r="103" spans="1:7" ht="18" x14ac:dyDescent="0.2">
      <c r="A103" s="193"/>
      <c r="B103" s="195"/>
      <c r="C103" s="195"/>
      <c r="D103" s="195"/>
      <c r="E103" s="1874"/>
      <c r="F103" s="1920"/>
      <c r="G103" s="1921"/>
    </row>
    <row r="104" spans="1:7" ht="18" x14ac:dyDescent="0.2">
      <c r="A104" s="193"/>
      <c r="B104" s="195"/>
      <c r="C104" s="195"/>
      <c r="D104" s="195"/>
      <c r="E104" s="1874"/>
      <c r="F104" s="1920"/>
      <c r="G104" s="1921"/>
    </row>
    <row r="105" spans="1:7" ht="18" x14ac:dyDescent="0.2">
      <c r="A105" s="193"/>
      <c r="B105" s="195"/>
      <c r="C105" s="195"/>
      <c r="D105" s="195"/>
      <c r="E105" s="1874"/>
      <c r="F105" s="1920"/>
      <c r="G105" s="1921"/>
    </row>
    <row r="106" spans="1:7" ht="18" x14ac:dyDescent="0.2">
      <c r="A106" s="193"/>
      <c r="B106" s="195"/>
      <c r="C106" s="195"/>
      <c r="D106" s="195"/>
      <c r="E106" s="1874"/>
      <c r="F106" s="1920"/>
      <c r="G106" s="1921"/>
    </row>
    <row r="107" spans="1:7" ht="18" x14ac:dyDescent="0.2">
      <c r="A107" s="193"/>
      <c r="B107" s="195"/>
      <c r="C107" s="195"/>
      <c r="D107" s="195"/>
      <c r="E107" s="1874"/>
      <c r="F107" s="1920"/>
      <c r="G107" s="1921"/>
    </row>
    <row r="108" spans="1:7" ht="18" x14ac:dyDescent="0.2">
      <c r="A108" s="193"/>
      <c r="B108" s="195"/>
      <c r="C108" s="195"/>
      <c r="D108" s="195"/>
      <c r="E108" s="1874"/>
      <c r="F108" s="1920"/>
      <c r="G108" s="1921"/>
    </row>
    <row r="109" spans="1:7" ht="18" x14ac:dyDescent="0.2">
      <c r="A109" s="193"/>
      <c r="B109" s="195"/>
      <c r="C109" s="195"/>
      <c r="D109" s="195"/>
      <c r="E109" s="1874"/>
      <c r="F109" s="1920"/>
      <c r="G109" s="1921"/>
    </row>
    <row r="110" spans="1:7" ht="18" x14ac:dyDescent="0.2">
      <c r="A110" s="193"/>
      <c r="B110" s="195"/>
      <c r="C110" s="195"/>
      <c r="D110" s="195"/>
      <c r="E110" s="1874"/>
      <c r="F110" s="1920"/>
      <c r="G110" s="1921"/>
    </row>
    <row r="111" spans="1:7" ht="18" x14ac:dyDescent="0.2">
      <c r="A111" s="193"/>
      <c r="B111" s="195"/>
      <c r="C111" s="195"/>
      <c r="D111" s="195"/>
      <c r="E111" s="1874"/>
      <c r="F111" s="1920"/>
      <c r="G111" s="1921"/>
    </row>
    <row r="112" spans="1:7" ht="18" x14ac:dyDescent="0.2">
      <c r="A112" s="193"/>
      <c r="B112" s="195"/>
      <c r="C112" s="195"/>
      <c r="D112" s="195"/>
      <c r="E112" s="1874"/>
      <c r="F112" s="1920"/>
      <c r="G112" s="1921"/>
    </row>
    <row r="113" spans="1:7" ht="18" x14ac:dyDescent="0.2">
      <c r="A113" s="193"/>
      <c r="B113" s="195"/>
      <c r="C113" s="195"/>
      <c r="D113" s="195"/>
      <c r="E113" s="1874"/>
      <c r="F113" s="1920"/>
      <c r="G113" s="1921"/>
    </row>
    <row r="114" spans="1:7" ht="18" x14ac:dyDescent="0.2">
      <c r="A114" s="193"/>
      <c r="B114" s="195"/>
      <c r="C114" s="195"/>
      <c r="D114" s="195"/>
      <c r="E114" s="1874"/>
      <c r="F114" s="1920"/>
      <c r="G114" s="1921"/>
    </row>
    <row r="115" spans="1:7" ht="18" x14ac:dyDescent="0.2">
      <c r="A115" s="193"/>
      <c r="B115" s="195"/>
      <c r="C115" s="195"/>
      <c r="D115" s="195"/>
      <c r="E115" s="1874"/>
      <c r="F115" s="1920"/>
      <c r="G115" s="1921"/>
    </row>
    <row r="116" spans="1:7" ht="18" x14ac:dyDescent="0.2">
      <c r="A116" s="193"/>
      <c r="B116" s="195"/>
      <c r="C116" s="195"/>
      <c r="D116" s="195"/>
      <c r="E116" s="1874"/>
      <c r="F116" s="1920"/>
      <c r="G116" s="1921"/>
    </row>
    <row r="117" spans="1:7" ht="18" x14ac:dyDescent="0.2">
      <c r="A117" s="193"/>
      <c r="B117" s="195"/>
      <c r="C117" s="195"/>
      <c r="D117" s="195"/>
      <c r="E117" s="1874"/>
      <c r="F117" s="1920"/>
      <c r="G117" s="1921"/>
    </row>
    <row r="118" spans="1:7" ht="18" x14ac:dyDescent="0.2">
      <c r="A118" s="193"/>
      <c r="B118" s="195"/>
      <c r="C118" s="195"/>
      <c r="D118" s="195"/>
      <c r="E118" s="1874"/>
      <c r="F118" s="1920"/>
      <c r="G118" s="1921"/>
    </row>
    <row r="119" spans="1:7" ht="18" x14ac:dyDescent="0.2">
      <c r="A119" s="193"/>
      <c r="B119" s="195"/>
      <c r="C119" s="195"/>
      <c r="D119" s="195"/>
      <c r="E119" s="1874"/>
      <c r="F119" s="1920"/>
      <c r="G119" s="1921"/>
    </row>
    <row r="120" spans="1:7" ht="18" x14ac:dyDescent="0.2">
      <c r="A120" s="193"/>
      <c r="B120" s="195"/>
      <c r="C120" s="195"/>
      <c r="D120" s="195"/>
      <c r="E120" s="1874"/>
      <c r="F120" s="1920"/>
      <c r="G120" s="1921"/>
    </row>
    <row r="121" spans="1:7" ht="18" x14ac:dyDescent="0.2">
      <c r="A121" s="193"/>
      <c r="B121" s="195"/>
      <c r="C121" s="195"/>
      <c r="D121" s="195"/>
      <c r="E121" s="1874"/>
      <c r="F121" s="1920"/>
      <c r="G121" s="1921"/>
    </row>
    <row r="122" spans="1:7" ht="18" x14ac:dyDescent="0.2">
      <c r="A122" s="193"/>
      <c r="B122" s="195"/>
      <c r="C122" s="195"/>
      <c r="D122" s="195"/>
      <c r="E122" s="1874"/>
      <c r="F122" s="1920"/>
      <c r="G122" s="1921"/>
    </row>
    <row r="123" spans="1:7" ht="18" x14ac:dyDescent="0.2">
      <c r="A123" s="193"/>
      <c r="B123" s="195"/>
      <c r="C123" s="195"/>
      <c r="D123" s="195"/>
      <c r="E123" s="1874"/>
      <c r="F123" s="1920"/>
      <c r="G123" s="1921"/>
    </row>
    <row r="124" spans="1:7" ht="18" x14ac:dyDescent="0.2">
      <c r="A124" s="193"/>
      <c r="B124" s="195"/>
      <c r="C124" s="195"/>
      <c r="D124" s="195"/>
      <c r="E124" s="1874"/>
      <c r="F124" s="1920"/>
      <c r="G124" s="1921"/>
    </row>
    <row r="125" spans="1:7" ht="18" x14ac:dyDescent="0.2">
      <c r="A125" s="193"/>
      <c r="B125" s="195"/>
      <c r="C125" s="195"/>
      <c r="D125" s="195"/>
      <c r="E125" s="1874"/>
      <c r="F125" s="1920"/>
      <c r="G125" s="1921"/>
    </row>
    <row r="126" spans="1:7" ht="18" x14ac:dyDescent="0.2">
      <c r="A126" s="193"/>
      <c r="B126" s="195"/>
      <c r="C126" s="195"/>
      <c r="D126" s="195"/>
      <c r="E126" s="1874"/>
      <c r="F126" s="1920"/>
      <c r="G126" s="1921"/>
    </row>
    <row r="127" spans="1:7" ht="18" x14ac:dyDescent="0.2">
      <c r="A127" s="193"/>
      <c r="B127" s="195"/>
      <c r="C127" s="195"/>
      <c r="D127" s="195"/>
      <c r="E127" s="1874"/>
      <c r="F127" s="1920"/>
      <c r="G127" s="1921"/>
    </row>
    <row r="128" spans="1:7" ht="18" x14ac:dyDescent="0.2">
      <c r="A128" s="193"/>
      <c r="B128" s="195"/>
      <c r="C128" s="195"/>
      <c r="D128" s="195"/>
      <c r="E128" s="1874"/>
      <c r="F128" s="1920"/>
      <c r="G128" s="1921"/>
    </row>
    <row r="129" spans="1:7" ht="18" x14ac:dyDescent="0.2">
      <c r="A129" s="193"/>
      <c r="B129" s="195"/>
      <c r="C129" s="195"/>
      <c r="D129" s="195"/>
      <c r="E129" s="1874"/>
      <c r="F129" s="1920"/>
      <c r="G129" s="1921"/>
    </row>
    <row r="130" spans="1:7" ht="18" x14ac:dyDescent="0.2">
      <c r="A130" s="193"/>
      <c r="B130" s="195"/>
      <c r="C130" s="195"/>
      <c r="D130" s="195"/>
      <c r="E130" s="1874"/>
      <c r="F130" s="1920"/>
      <c r="G130" s="1921"/>
    </row>
    <row r="131" spans="1:7" ht="18" x14ac:dyDescent="0.2">
      <c r="A131" s="193"/>
      <c r="B131" s="195"/>
      <c r="C131" s="195"/>
      <c r="D131" s="195"/>
      <c r="E131" s="1874"/>
      <c r="F131" s="1920"/>
      <c r="G131" s="1921"/>
    </row>
    <row r="132" spans="1:7" ht="18" x14ac:dyDescent="0.2">
      <c r="A132" s="193"/>
      <c r="B132" s="195"/>
      <c r="C132" s="195"/>
      <c r="D132" s="195"/>
      <c r="E132" s="1874"/>
      <c r="F132" s="1920"/>
      <c r="G132" s="1921"/>
    </row>
    <row r="133" spans="1:7" ht="18" x14ac:dyDescent="0.2">
      <c r="A133" s="193"/>
      <c r="B133" s="195"/>
      <c r="C133" s="195"/>
      <c r="D133" s="195"/>
      <c r="E133" s="1874"/>
      <c r="F133" s="1920"/>
      <c r="G133" s="1921"/>
    </row>
    <row r="134" spans="1:7" ht="18" x14ac:dyDescent="0.2">
      <c r="A134" s="193"/>
      <c r="B134" s="195"/>
      <c r="C134" s="195"/>
      <c r="D134" s="195"/>
      <c r="E134" s="1874"/>
      <c r="F134" s="1920"/>
      <c r="G134" s="1921"/>
    </row>
    <row r="135" spans="1:7" ht="18" x14ac:dyDescent="0.2">
      <c r="A135" s="193"/>
      <c r="B135" s="195"/>
      <c r="C135" s="195"/>
      <c r="D135" s="195"/>
      <c r="E135" s="1874"/>
      <c r="F135" s="1920"/>
      <c r="G135" s="1921"/>
    </row>
    <row r="136" spans="1:7" ht="18" x14ac:dyDescent="0.2">
      <c r="A136" s="193"/>
      <c r="B136" s="195"/>
      <c r="C136" s="195"/>
      <c r="D136" s="195"/>
      <c r="E136" s="1874"/>
      <c r="F136" s="1920"/>
      <c r="G136" s="1921"/>
    </row>
    <row r="137" spans="1:7" ht="18" x14ac:dyDescent="0.2">
      <c r="A137" s="193"/>
      <c r="B137" s="195"/>
      <c r="C137" s="195"/>
      <c r="D137" s="195"/>
      <c r="E137" s="1874"/>
      <c r="F137" s="1920"/>
      <c r="G137" s="1921"/>
    </row>
    <row r="138" spans="1:7" ht="18" x14ac:dyDescent="0.2">
      <c r="A138" s="193"/>
      <c r="B138" s="195"/>
      <c r="C138" s="195"/>
      <c r="D138" s="195"/>
      <c r="E138" s="1874"/>
      <c r="F138" s="1920"/>
      <c r="G138" s="1921"/>
    </row>
    <row r="139" spans="1:7" ht="18" x14ac:dyDescent="0.2">
      <c r="A139" s="193"/>
      <c r="B139" s="195"/>
      <c r="C139" s="195"/>
      <c r="D139" s="195"/>
      <c r="E139" s="1874"/>
      <c r="F139" s="1920"/>
      <c r="G139" s="1921"/>
    </row>
    <row r="140" spans="1:7" ht="18" x14ac:dyDescent="0.2">
      <c r="A140" s="193"/>
      <c r="B140" s="195"/>
      <c r="C140" s="195"/>
      <c r="D140" s="195"/>
      <c r="E140" s="1874"/>
      <c r="F140" s="1920"/>
      <c r="G140" s="1921"/>
    </row>
    <row r="141" spans="1:7" ht="18" x14ac:dyDescent="0.2">
      <c r="A141" s="193"/>
      <c r="B141" s="195"/>
      <c r="C141" s="195"/>
      <c r="D141" s="195"/>
      <c r="E141" s="1874"/>
      <c r="F141" s="1920"/>
      <c r="G141" s="1921"/>
    </row>
    <row r="142" spans="1:7" ht="18" x14ac:dyDescent="0.2">
      <c r="A142" s="193"/>
      <c r="B142" s="195"/>
      <c r="C142" s="195"/>
      <c r="D142" s="195"/>
      <c r="E142" s="1874"/>
      <c r="F142" s="1920"/>
      <c r="G142" s="1921"/>
    </row>
    <row r="143" spans="1:7" ht="18" x14ac:dyDescent="0.2">
      <c r="A143" s="193"/>
      <c r="B143" s="195"/>
      <c r="C143" s="195"/>
      <c r="D143" s="195"/>
      <c r="E143" s="1874"/>
      <c r="F143" s="1920"/>
      <c r="G143" s="1921"/>
    </row>
    <row r="144" spans="1:7" ht="18" x14ac:dyDescent="0.2">
      <c r="A144" s="193"/>
      <c r="B144" s="195"/>
      <c r="C144" s="195"/>
      <c r="D144" s="195"/>
      <c r="E144" s="1874"/>
      <c r="F144" s="1920"/>
      <c r="G144" s="1921"/>
    </row>
    <row r="145" spans="1:7" ht="18" x14ac:dyDescent="0.2">
      <c r="A145" s="193"/>
      <c r="B145" s="195"/>
      <c r="C145" s="195"/>
      <c r="D145" s="195"/>
      <c r="E145" s="1874"/>
      <c r="F145" s="1920"/>
      <c r="G145" s="1921"/>
    </row>
    <row r="146" spans="1:7" ht="18" x14ac:dyDescent="0.2">
      <c r="A146" s="193"/>
      <c r="B146" s="195"/>
      <c r="C146" s="195"/>
      <c r="D146" s="195"/>
      <c r="E146" s="1874"/>
      <c r="F146" s="1920"/>
      <c r="G146" s="1921"/>
    </row>
  </sheetData>
  <mergeCells count="12">
    <mergeCell ref="C55:F55"/>
    <mergeCell ref="A1:G1"/>
    <mergeCell ref="A24:G24"/>
    <mergeCell ref="A44:G44"/>
    <mergeCell ref="C13:F13"/>
    <mergeCell ref="A16:G16"/>
    <mergeCell ref="A17:G18"/>
    <mergeCell ref="A19:G20"/>
    <mergeCell ref="C35:F35"/>
    <mergeCell ref="A38:G38"/>
    <mergeCell ref="A39:G39"/>
    <mergeCell ref="A40:G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zoomScale="80" zoomScaleNormal="80" workbookViewId="0">
      <selection activeCell="E15" sqref="E15"/>
    </sheetView>
  </sheetViews>
  <sheetFormatPr defaultRowHeight="14.25" x14ac:dyDescent="0.2"/>
  <cols>
    <col min="1" max="1" width="23.25" customWidth="1"/>
    <col min="2" max="2" width="22.5" customWidth="1"/>
    <col min="3" max="6" width="15.625" customWidth="1"/>
  </cols>
  <sheetData>
    <row r="1" spans="1:6" ht="50.1" customHeight="1" thickBot="1" x14ac:dyDescent="0.25">
      <c r="A1" s="3391" t="s">
        <v>1598</v>
      </c>
      <c r="B1" s="3392"/>
      <c r="C1" s="3392"/>
      <c r="D1" s="3392"/>
      <c r="E1" s="3392"/>
      <c r="F1" s="3393"/>
    </row>
    <row r="2" spans="1:6" ht="50.1" customHeight="1" x14ac:dyDescent="0.2">
      <c r="A2" s="489" t="s">
        <v>1596</v>
      </c>
      <c r="B2" s="490" t="s">
        <v>4255</v>
      </c>
      <c r="C2" s="490" t="s">
        <v>1056</v>
      </c>
      <c r="D2" s="490" t="s">
        <v>1593</v>
      </c>
      <c r="E2" s="490" t="s">
        <v>1594</v>
      </c>
      <c r="F2" s="491" t="s">
        <v>1595</v>
      </c>
    </row>
    <row r="3" spans="1:6" ht="30" customHeight="1" x14ac:dyDescent="0.2">
      <c r="A3" s="487" t="s">
        <v>4719</v>
      </c>
      <c r="B3" s="156">
        <v>20000000</v>
      </c>
      <c r="C3" s="2254"/>
      <c r="D3" s="156"/>
      <c r="E3" s="2250"/>
      <c r="F3" s="158"/>
    </row>
    <row r="4" spans="1:6" ht="30" customHeight="1" x14ac:dyDescent="0.2">
      <c r="A4" s="487" t="s">
        <v>4720</v>
      </c>
      <c r="B4" s="156">
        <v>20000000</v>
      </c>
      <c r="C4" s="2254">
        <v>7.0000000000000007E-2</v>
      </c>
      <c r="D4" s="156">
        <f>B4*C4</f>
        <v>1400000.0000000002</v>
      </c>
      <c r="E4" s="2250">
        <f>B4+D4</f>
        <v>21400000</v>
      </c>
      <c r="F4" s="494"/>
    </row>
    <row r="5" spans="1:6" ht="30" customHeight="1" x14ac:dyDescent="0.2">
      <c r="A5" s="487" t="s">
        <v>4721</v>
      </c>
      <c r="B5" s="156">
        <f>E4</f>
        <v>21400000</v>
      </c>
      <c r="C5" s="2254">
        <v>7.0000000000000007E-2</v>
      </c>
      <c r="D5" s="156">
        <f t="shared" ref="D5:D15" si="0">B5*C5</f>
        <v>1498000.0000000002</v>
      </c>
      <c r="E5" s="2250">
        <f t="shared" ref="E5:E15" si="1">B5+D5</f>
        <v>22898000</v>
      </c>
      <c r="F5" s="494"/>
    </row>
    <row r="6" spans="1:6" ht="30" customHeight="1" x14ac:dyDescent="0.2">
      <c r="A6" s="487" t="s">
        <v>4722</v>
      </c>
      <c r="B6" s="156">
        <f>E5</f>
        <v>22898000</v>
      </c>
      <c r="C6" s="2254">
        <v>7.0000000000000007E-2</v>
      </c>
      <c r="D6" s="156">
        <f t="shared" si="0"/>
        <v>1602860.0000000002</v>
      </c>
      <c r="E6" s="2250">
        <f t="shared" si="1"/>
        <v>24500860</v>
      </c>
      <c r="F6" s="494"/>
    </row>
    <row r="7" spans="1:6" ht="30" customHeight="1" x14ac:dyDescent="0.2">
      <c r="A7" s="487" t="s">
        <v>4723</v>
      </c>
      <c r="B7" s="156">
        <f>E6</f>
        <v>24500860</v>
      </c>
      <c r="C7" s="2254">
        <v>7.0000000000000007E-2</v>
      </c>
      <c r="D7" s="156">
        <f t="shared" si="0"/>
        <v>1715060.2000000002</v>
      </c>
      <c r="E7" s="2250">
        <f t="shared" si="1"/>
        <v>26215920.199999999</v>
      </c>
      <c r="F7" s="494"/>
    </row>
    <row r="8" spans="1:6" ht="30" customHeight="1" x14ac:dyDescent="0.2">
      <c r="A8" s="487" t="s">
        <v>4724</v>
      </c>
      <c r="B8" s="156">
        <f>E7</f>
        <v>26215920.199999999</v>
      </c>
      <c r="C8" s="2254">
        <v>7.0000000000000007E-2</v>
      </c>
      <c r="D8" s="156">
        <f t="shared" si="0"/>
        <v>1835114.4140000001</v>
      </c>
      <c r="E8" s="2250">
        <f t="shared" si="1"/>
        <v>28051034.614</v>
      </c>
      <c r="F8" s="494"/>
    </row>
    <row r="9" spans="1:6" ht="30" customHeight="1" x14ac:dyDescent="0.2">
      <c r="A9" s="487" t="s">
        <v>4725</v>
      </c>
      <c r="B9" s="156">
        <f t="shared" ref="B9:B15" si="2">E8</f>
        <v>28051034.614</v>
      </c>
      <c r="C9" s="2254">
        <v>7.0000000000000007E-2</v>
      </c>
      <c r="D9" s="156">
        <f t="shared" si="0"/>
        <v>1963572.4229800003</v>
      </c>
      <c r="E9" s="2250">
        <f t="shared" si="1"/>
        <v>30014607.036979999</v>
      </c>
      <c r="F9" s="494"/>
    </row>
    <row r="10" spans="1:6" ht="30" customHeight="1" x14ac:dyDescent="0.2">
      <c r="A10" s="487" t="s">
        <v>4726</v>
      </c>
      <c r="B10" s="156">
        <f t="shared" si="2"/>
        <v>30014607.036979999</v>
      </c>
      <c r="C10" s="2254">
        <v>7.0000000000000007E-2</v>
      </c>
      <c r="D10" s="156">
        <f t="shared" si="0"/>
        <v>2101022.4925886001</v>
      </c>
      <c r="E10" s="2250">
        <f t="shared" si="1"/>
        <v>32115629.529568598</v>
      </c>
      <c r="F10" s="494"/>
    </row>
    <row r="11" spans="1:6" ht="30" customHeight="1" x14ac:dyDescent="0.2">
      <c r="A11" s="487" t="s">
        <v>4727</v>
      </c>
      <c r="B11" s="156">
        <f t="shared" si="2"/>
        <v>32115629.529568598</v>
      </c>
      <c r="C11" s="2254">
        <v>7.0000000000000007E-2</v>
      </c>
      <c r="D11" s="156">
        <f t="shared" si="0"/>
        <v>2248094.067069802</v>
      </c>
      <c r="E11" s="2250">
        <f t="shared" si="1"/>
        <v>34363723.596638396</v>
      </c>
      <c r="F11" s="494"/>
    </row>
    <row r="12" spans="1:6" ht="30" customHeight="1" x14ac:dyDescent="0.2">
      <c r="A12" s="487" t="s">
        <v>4728</v>
      </c>
      <c r="B12" s="156">
        <f t="shared" si="2"/>
        <v>34363723.596638396</v>
      </c>
      <c r="C12" s="2254">
        <v>7.0000000000000007E-2</v>
      </c>
      <c r="D12" s="156">
        <f t="shared" si="0"/>
        <v>2405460.6517646881</v>
      </c>
      <c r="E12" s="2250">
        <f t="shared" si="1"/>
        <v>36769184.248403087</v>
      </c>
      <c r="F12" s="494"/>
    </row>
    <row r="13" spans="1:6" ht="30" customHeight="1" x14ac:dyDescent="0.2">
      <c r="A13" s="487" t="s">
        <v>4729</v>
      </c>
      <c r="B13" s="156">
        <f t="shared" si="2"/>
        <v>36769184.248403087</v>
      </c>
      <c r="C13" s="2254">
        <v>7.0000000000000007E-2</v>
      </c>
      <c r="D13" s="156">
        <f t="shared" si="0"/>
        <v>2573842.8973882166</v>
      </c>
      <c r="E13" s="2250">
        <f t="shared" si="1"/>
        <v>39343027.145791307</v>
      </c>
      <c r="F13" s="494"/>
    </row>
    <row r="14" spans="1:6" ht="30" customHeight="1" x14ac:dyDescent="0.2">
      <c r="A14" s="487" t="s">
        <v>4730</v>
      </c>
      <c r="B14" s="156">
        <f t="shared" si="2"/>
        <v>39343027.145791307</v>
      </c>
      <c r="C14" s="2254">
        <v>7.0000000000000007E-2</v>
      </c>
      <c r="D14" s="156">
        <f t="shared" si="0"/>
        <v>2754011.9002053919</v>
      </c>
      <c r="E14" s="2250">
        <f t="shared" si="1"/>
        <v>42097039.045996696</v>
      </c>
      <c r="F14" s="494"/>
    </row>
    <row r="15" spans="1:6" ht="30" customHeight="1" x14ac:dyDescent="0.2">
      <c r="A15" s="487" t="s">
        <v>4731</v>
      </c>
      <c r="B15" s="156">
        <f t="shared" si="2"/>
        <v>42097039.045996696</v>
      </c>
      <c r="C15" s="2254">
        <v>7.0000000000000007E-2</v>
      </c>
      <c r="D15" s="156">
        <f t="shared" si="0"/>
        <v>2946792.7332197689</v>
      </c>
      <c r="E15" s="2250">
        <f t="shared" si="1"/>
        <v>45043831.779216468</v>
      </c>
      <c r="F15" s="494"/>
    </row>
    <row r="16" spans="1:6" ht="30" customHeight="1" x14ac:dyDescent="0.2">
      <c r="A16" s="2260"/>
      <c r="B16" s="224"/>
      <c r="C16" s="2254"/>
      <c r="D16" s="2250"/>
      <c r="E16" s="2250"/>
      <c r="F16" s="494"/>
    </row>
    <row r="17" spans="1:6" ht="30" customHeight="1" x14ac:dyDescent="0.2">
      <c r="A17" s="2260"/>
      <c r="B17" s="224"/>
      <c r="C17" s="2254"/>
      <c r="D17" s="2250"/>
      <c r="E17" s="2250"/>
      <c r="F17" s="494"/>
    </row>
    <row r="18" spans="1:6" ht="30" customHeight="1" x14ac:dyDescent="0.2">
      <c r="A18" s="2260"/>
      <c r="B18" s="224"/>
      <c r="C18" s="2254"/>
      <c r="D18" s="2250"/>
      <c r="E18" s="2250"/>
      <c r="F18" s="494"/>
    </row>
    <row r="19" spans="1:6" ht="30" customHeight="1" thickBot="1" x14ac:dyDescent="0.25">
      <c r="A19" s="493"/>
      <c r="B19" s="2248"/>
      <c r="C19" s="209"/>
      <c r="D19" s="227"/>
      <c r="E19" s="227"/>
      <c r="F19" s="2249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rightToLeft="1" topLeftCell="A43" zoomScale="70" zoomScaleNormal="70" workbookViewId="0">
      <selection activeCell="B50" sqref="B50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320" t="s">
        <v>2560</v>
      </c>
      <c r="C1" s="3321"/>
      <c r="D1" s="332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>
        <v>1</v>
      </c>
      <c r="B3" s="163">
        <v>282750000</v>
      </c>
      <c r="C3" s="3323" t="s">
        <v>904</v>
      </c>
      <c r="D3" s="3324"/>
    </row>
    <row r="4" spans="1:4" ht="30" customHeight="1" x14ac:dyDescent="0.2">
      <c r="A4" s="153">
        <v>2</v>
      </c>
      <c r="B4" s="156">
        <v>20000000</v>
      </c>
      <c r="C4" s="2953"/>
      <c r="D4" s="157" t="s">
        <v>891</v>
      </c>
    </row>
    <row r="5" spans="1:4" ht="30" customHeight="1" x14ac:dyDescent="0.2">
      <c r="A5" s="153">
        <v>3</v>
      </c>
      <c r="B5" s="156">
        <v>5000000</v>
      </c>
      <c r="C5" s="2954" t="s">
        <v>892</v>
      </c>
      <c r="D5" s="158" t="s">
        <v>893</v>
      </c>
    </row>
    <row r="6" spans="1:4" ht="30" customHeight="1" x14ac:dyDescent="0.2">
      <c r="A6" s="153">
        <v>4</v>
      </c>
      <c r="B6" s="156">
        <v>10000000</v>
      </c>
      <c r="C6" s="2954" t="s">
        <v>894</v>
      </c>
      <c r="D6" s="158" t="s">
        <v>897</v>
      </c>
    </row>
    <row r="7" spans="1:4" ht="30" customHeight="1" x14ac:dyDescent="0.2">
      <c r="A7" s="153">
        <v>5</v>
      </c>
      <c r="B7" s="156">
        <v>10000000</v>
      </c>
      <c r="C7" s="2954" t="s">
        <v>895</v>
      </c>
      <c r="D7" s="158" t="s">
        <v>896</v>
      </c>
    </row>
    <row r="8" spans="1:4" ht="30" customHeight="1" x14ac:dyDescent="0.2">
      <c r="A8" s="153">
        <v>6</v>
      </c>
      <c r="B8" s="156">
        <v>90000000</v>
      </c>
      <c r="C8" s="2954" t="s">
        <v>898</v>
      </c>
      <c r="D8" s="158" t="s">
        <v>899</v>
      </c>
    </row>
    <row r="9" spans="1:4" ht="30" customHeight="1" x14ac:dyDescent="0.2">
      <c r="A9" s="153">
        <v>7</v>
      </c>
      <c r="B9" s="156">
        <v>10000000</v>
      </c>
      <c r="C9" s="2954" t="s">
        <v>900</v>
      </c>
      <c r="D9" s="158" t="s">
        <v>896</v>
      </c>
    </row>
    <row r="10" spans="1:4" ht="30" customHeight="1" x14ac:dyDescent="0.2">
      <c r="A10" s="153">
        <v>8</v>
      </c>
      <c r="B10" s="156">
        <v>70000000</v>
      </c>
      <c r="C10" s="2954" t="s">
        <v>901</v>
      </c>
      <c r="D10" s="158" t="s">
        <v>899</v>
      </c>
    </row>
    <row r="11" spans="1:4" ht="30" customHeight="1" x14ac:dyDescent="0.2">
      <c r="A11" s="153">
        <v>9</v>
      </c>
      <c r="B11" s="156">
        <v>2250000</v>
      </c>
      <c r="C11" s="2954" t="s">
        <v>902</v>
      </c>
      <c r="D11" s="159"/>
    </row>
    <row r="12" spans="1:4" ht="30" customHeight="1" x14ac:dyDescent="0.2">
      <c r="A12" s="153">
        <v>10</v>
      </c>
      <c r="B12" s="156">
        <v>10000000</v>
      </c>
      <c r="C12" s="2954" t="s">
        <v>453</v>
      </c>
      <c r="D12" s="158" t="s">
        <v>896</v>
      </c>
    </row>
    <row r="13" spans="1:4" ht="30" customHeight="1" x14ac:dyDescent="0.2">
      <c r="A13" s="153">
        <v>11</v>
      </c>
      <c r="B13" s="156">
        <v>20000000</v>
      </c>
      <c r="C13" s="2954"/>
      <c r="D13" s="158" t="s">
        <v>899</v>
      </c>
    </row>
    <row r="14" spans="1:4" ht="30" customHeight="1" x14ac:dyDescent="0.2">
      <c r="A14" s="153">
        <v>12</v>
      </c>
      <c r="B14" s="156">
        <v>29150000</v>
      </c>
      <c r="C14" s="3325" t="s">
        <v>943</v>
      </c>
      <c r="D14" s="3326"/>
    </row>
    <row r="15" spans="1:4" ht="30" customHeight="1" x14ac:dyDescent="0.2">
      <c r="A15" s="153">
        <v>13</v>
      </c>
      <c r="B15" s="156">
        <v>10000000</v>
      </c>
      <c r="C15" s="2954" t="s">
        <v>2198</v>
      </c>
      <c r="D15" s="158" t="s">
        <v>896</v>
      </c>
    </row>
    <row r="16" spans="1:4" ht="30" customHeight="1" x14ac:dyDescent="0.2">
      <c r="A16" s="153">
        <v>14</v>
      </c>
      <c r="B16" s="156">
        <v>10000000</v>
      </c>
      <c r="C16" s="2954" t="s">
        <v>2198</v>
      </c>
      <c r="D16" s="158" t="s">
        <v>896</v>
      </c>
    </row>
    <row r="17" spans="1:4" ht="30" customHeight="1" x14ac:dyDescent="0.2">
      <c r="A17" s="153">
        <v>15</v>
      </c>
      <c r="B17" s="156">
        <v>850000</v>
      </c>
      <c r="C17" s="2954" t="s">
        <v>2392</v>
      </c>
      <c r="D17" s="158" t="s">
        <v>896</v>
      </c>
    </row>
    <row r="18" spans="1:4" ht="30" customHeight="1" x14ac:dyDescent="0.2">
      <c r="A18" s="153">
        <v>16</v>
      </c>
      <c r="B18" s="156">
        <v>50000000</v>
      </c>
      <c r="C18" s="2954" t="s">
        <v>2036</v>
      </c>
      <c r="D18" s="158" t="s">
        <v>3008</v>
      </c>
    </row>
    <row r="19" spans="1:4" ht="30" customHeight="1" x14ac:dyDescent="0.2">
      <c r="A19" s="153">
        <v>17</v>
      </c>
      <c r="B19" s="156">
        <v>31900000</v>
      </c>
      <c r="C19" s="3325" t="s">
        <v>2407</v>
      </c>
      <c r="D19" s="3326"/>
    </row>
    <row r="20" spans="1:4" ht="30" customHeight="1" x14ac:dyDescent="0.2">
      <c r="A20" s="153">
        <v>18</v>
      </c>
      <c r="B20" s="156">
        <v>5000000</v>
      </c>
      <c r="C20" s="2954" t="s">
        <v>3009</v>
      </c>
      <c r="D20" s="158"/>
    </row>
    <row r="21" spans="1:4" ht="30" customHeight="1" x14ac:dyDescent="0.2">
      <c r="A21" s="153">
        <v>19</v>
      </c>
      <c r="B21" s="156">
        <v>10000000</v>
      </c>
      <c r="C21" s="2954" t="s">
        <v>3010</v>
      </c>
      <c r="D21" s="158" t="s">
        <v>896</v>
      </c>
    </row>
    <row r="22" spans="1:4" ht="30" customHeight="1" x14ac:dyDescent="0.2">
      <c r="A22" s="153">
        <v>20</v>
      </c>
      <c r="B22" s="156">
        <v>2800000</v>
      </c>
      <c r="C22" s="2954" t="s">
        <v>3010</v>
      </c>
      <c r="D22" s="158" t="s">
        <v>896</v>
      </c>
    </row>
    <row r="23" spans="1:4" ht="30" customHeight="1" x14ac:dyDescent="0.2">
      <c r="A23" s="153">
        <v>21</v>
      </c>
      <c r="B23" s="156">
        <v>10000000</v>
      </c>
      <c r="C23" s="2954" t="s">
        <v>3012</v>
      </c>
      <c r="D23" s="158" t="s">
        <v>896</v>
      </c>
    </row>
    <row r="24" spans="1:4" ht="30" customHeight="1" x14ac:dyDescent="0.2">
      <c r="A24" s="153">
        <v>22</v>
      </c>
      <c r="B24" s="156">
        <v>9000000</v>
      </c>
      <c r="C24" s="2954" t="s">
        <v>3032</v>
      </c>
      <c r="D24" s="158" t="s">
        <v>896</v>
      </c>
    </row>
    <row r="25" spans="1:4" ht="30" customHeight="1" x14ac:dyDescent="0.2">
      <c r="A25" s="153">
        <v>23</v>
      </c>
      <c r="B25" s="156">
        <v>10000000</v>
      </c>
      <c r="C25" s="2954" t="s">
        <v>3032</v>
      </c>
      <c r="D25" s="158" t="s">
        <v>896</v>
      </c>
    </row>
    <row r="26" spans="1:4" ht="30" customHeight="1" x14ac:dyDescent="0.2">
      <c r="A26" s="153">
        <v>24</v>
      </c>
      <c r="B26" s="156">
        <v>10000000</v>
      </c>
      <c r="C26" s="2954" t="s">
        <v>3032</v>
      </c>
      <c r="D26" s="158" t="s">
        <v>896</v>
      </c>
    </row>
    <row r="27" spans="1:4" ht="30" customHeight="1" x14ac:dyDescent="0.2">
      <c r="A27" s="153">
        <v>25</v>
      </c>
      <c r="B27" s="156">
        <v>2300000</v>
      </c>
      <c r="C27" s="2954" t="s">
        <v>3032</v>
      </c>
      <c r="D27" s="158" t="s">
        <v>896</v>
      </c>
    </row>
    <row r="28" spans="1:4" ht="30" customHeight="1" x14ac:dyDescent="0.2">
      <c r="A28" s="153">
        <v>26</v>
      </c>
      <c r="B28" s="156">
        <v>9000000</v>
      </c>
      <c r="C28" s="2954" t="s">
        <v>3139</v>
      </c>
      <c r="D28" s="158" t="s">
        <v>896</v>
      </c>
    </row>
    <row r="29" spans="1:4" ht="30" customHeight="1" x14ac:dyDescent="0.2">
      <c r="A29" s="153"/>
      <c r="B29" s="156">
        <f>SUM(B3:B28)</f>
        <v>730000000</v>
      </c>
      <c r="C29" s="3316" t="s">
        <v>4699</v>
      </c>
      <c r="D29" s="3317"/>
    </row>
    <row r="30" spans="1:4" ht="30" customHeight="1" x14ac:dyDescent="0.2">
      <c r="A30" s="153"/>
      <c r="B30" s="156">
        <f>B29*0.06</f>
        <v>43800000</v>
      </c>
      <c r="C30" s="3316" t="s">
        <v>3011</v>
      </c>
      <c r="D30" s="3317"/>
    </row>
    <row r="31" spans="1:4" ht="30" customHeight="1" x14ac:dyDescent="0.2">
      <c r="A31" s="153"/>
      <c r="B31" s="2964">
        <f>B29+B30</f>
        <v>773800000</v>
      </c>
      <c r="C31" s="3318" t="s">
        <v>4698</v>
      </c>
      <c r="D31" s="3319"/>
    </row>
    <row r="32" spans="1:4" ht="30" customHeight="1" x14ac:dyDescent="0.2">
      <c r="A32" s="153">
        <v>27</v>
      </c>
      <c r="B32" s="156">
        <v>140000000</v>
      </c>
      <c r="C32" s="2954" t="s">
        <v>2733</v>
      </c>
      <c r="D32" s="158"/>
    </row>
    <row r="33" spans="1:4" ht="30" customHeight="1" x14ac:dyDescent="0.2">
      <c r="A33" s="153">
        <v>28</v>
      </c>
      <c r="B33" s="156">
        <v>10000000</v>
      </c>
      <c r="C33" s="2954" t="s">
        <v>1232</v>
      </c>
      <c r="D33" s="158" t="s">
        <v>896</v>
      </c>
    </row>
    <row r="34" spans="1:4" ht="30" customHeight="1" x14ac:dyDescent="0.2">
      <c r="A34" s="153">
        <v>29</v>
      </c>
      <c r="B34" s="156">
        <v>10000000</v>
      </c>
      <c r="C34" s="2954" t="s">
        <v>3908</v>
      </c>
      <c r="D34" s="158"/>
    </row>
    <row r="35" spans="1:4" ht="30" customHeight="1" x14ac:dyDescent="0.2">
      <c r="A35" s="153">
        <v>30</v>
      </c>
      <c r="B35" s="156">
        <v>10000000</v>
      </c>
      <c r="C35" s="2954" t="s">
        <v>3908</v>
      </c>
      <c r="D35" s="158"/>
    </row>
    <row r="36" spans="1:4" ht="30" customHeight="1" x14ac:dyDescent="0.2">
      <c r="A36" s="153">
        <v>31</v>
      </c>
      <c r="B36" s="156">
        <v>5000000</v>
      </c>
      <c r="C36" s="2954" t="s">
        <v>3908</v>
      </c>
      <c r="D36" s="158" t="s">
        <v>896</v>
      </c>
    </row>
    <row r="37" spans="1:4" ht="30" customHeight="1" x14ac:dyDescent="0.2">
      <c r="A37" s="153"/>
      <c r="B37" s="156">
        <f>SUM(B32:B36)</f>
        <v>175000000</v>
      </c>
      <c r="C37" s="3316" t="s">
        <v>4700</v>
      </c>
      <c r="D37" s="3317"/>
    </row>
    <row r="38" spans="1:4" ht="30" customHeight="1" x14ac:dyDescent="0.2">
      <c r="A38" s="153">
        <v>32</v>
      </c>
      <c r="B38" s="156">
        <f>B31+B37</f>
        <v>948800000</v>
      </c>
      <c r="C38" s="3316" t="s">
        <v>4703</v>
      </c>
      <c r="D38" s="3317"/>
    </row>
    <row r="39" spans="1:4" ht="30" customHeight="1" x14ac:dyDescent="0.2">
      <c r="A39" s="153">
        <v>33</v>
      </c>
      <c r="B39" s="156">
        <f>B38*0.07</f>
        <v>66416000.000000007</v>
      </c>
      <c r="C39" s="3316" t="s">
        <v>3346</v>
      </c>
      <c r="D39" s="3317"/>
    </row>
    <row r="40" spans="1:4" ht="30" customHeight="1" x14ac:dyDescent="0.2">
      <c r="A40" s="153"/>
      <c r="B40" s="2964">
        <f>B38+B39</f>
        <v>1015216000</v>
      </c>
      <c r="C40" s="3318" t="s">
        <v>4698</v>
      </c>
      <c r="D40" s="3319"/>
    </row>
    <row r="41" spans="1:4" ht="30" customHeight="1" x14ac:dyDescent="0.2">
      <c r="A41" s="153">
        <v>34</v>
      </c>
      <c r="B41" s="156">
        <v>10000000</v>
      </c>
      <c r="C41" s="2954" t="s">
        <v>3213</v>
      </c>
      <c r="D41" s="158" t="s">
        <v>896</v>
      </c>
    </row>
    <row r="42" spans="1:4" ht="30" customHeight="1" x14ac:dyDescent="0.2">
      <c r="A42" s="153">
        <v>35</v>
      </c>
      <c r="B42" s="156">
        <v>10000000</v>
      </c>
      <c r="C42" s="2954" t="s">
        <v>4184</v>
      </c>
      <c r="D42" s="158"/>
    </row>
    <row r="43" spans="1:4" ht="30" customHeight="1" x14ac:dyDescent="0.2">
      <c r="A43" s="153">
        <v>36</v>
      </c>
      <c r="B43" s="156">
        <v>5000000</v>
      </c>
      <c r="C43" s="2954" t="s">
        <v>4184</v>
      </c>
      <c r="D43" s="158" t="s">
        <v>896</v>
      </c>
    </row>
    <row r="44" spans="1:4" ht="30" customHeight="1" x14ac:dyDescent="0.2">
      <c r="A44" s="153">
        <v>37</v>
      </c>
      <c r="B44" s="156">
        <v>10000000</v>
      </c>
      <c r="C44" s="2954" t="s">
        <v>4184</v>
      </c>
      <c r="D44" s="158"/>
    </row>
    <row r="45" spans="1:4" ht="30" customHeight="1" x14ac:dyDescent="0.2">
      <c r="A45" s="153">
        <v>38</v>
      </c>
      <c r="B45" s="156">
        <v>10000000</v>
      </c>
      <c r="C45" s="2954" t="s">
        <v>4270</v>
      </c>
      <c r="D45" s="158" t="s">
        <v>896</v>
      </c>
    </row>
    <row r="46" spans="1:4" ht="30" customHeight="1" x14ac:dyDescent="0.2">
      <c r="A46" s="153"/>
      <c r="B46" s="156">
        <v>3500000</v>
      </c>
      <c r="C46" s="2954" t="s">
        <v>4259</v>
      </c>
      <c r="D46" s="158" t="s">
        <v>4705</v>
      </c>
    </row>
    <row r="47" spans="1:4" ht="30" customHeight="1" x14ac:dyDescent="0.2">
      <c r="A47" s="153">
        <v>39</v>
      </c>
      <c r="B47" s="620">
        <v>10000000</v>
      </c>
      <c r="C47" s="2955" t="s">
        <v>4286</v>
      </c>
      <c r="D47" s="158" t="s">
        <v>896</v>
      </c>
    </row>
    <row r="48" spans="1:4" ht="30" customHeight="1" x14ac:dyDescent="0.2">
      <c r="A48" s="153"/>
      <c r="B48" s="620">
        <f>SUM(B41:B47)</f>
        <v>58500000</v>
      </c>
      <c r="C48" s="3316" t="s">
        <v>4701</v>
      </c>
      <c r="D48" s="3317"/>
    </row>
    <row r="49" spans="1:4" ht="30" customHeight="1" x14ac:dyDescent="0.2">
      <c r="A49" s="153"/>
      <c r="B49" s="620">
        <f>B40+B48</f>
        <v>1073716000</v>
      </c>
      <c r="C49" s="3316" t="s">
        <v>4702</v>
      </c>
      <c r="D49" s="3317"/>
    </row>
    <row r="50" spans="1:4" ht="30" customHeight="1" x14ac:dyDescent="0.2">
      <c r="A50" s="153"/>
      <c r="B50" s="620">
        <f>B49*0.07</f>
        <v>75160120</v>
      </c>
      <c r="C50" s="3316" t="s">
        <v>4704</v>
      </c>
      <c r="D50" s="3317"/>
    </row>
    <row r="51" spans="1:4" ht="30" customHeight="1" x14ac:dyDescent="0.2">
      <c r="A51" s="153"/>
      <c r="B51" s="2964">
        <f>B49+B50</f>
        <v>1148876120</v>
      </c>
      <c r="C51" s="3318" t="s">
        <v>4698</v>
      </c>
      <c r="D51" s="3319"/>
    </row>
    <row r="52" spans="1:4" ht="30" customHeight="1" x14ac:dyDescent="0.2">
      <c r="A52" s="153"/>
      <c r="B52" s="620">
        <v>10000000</v>
      </c>
      <c r="C52" s="2955" t="s">
        <v>3138</v>
      </c>
      <c r="D52" s="158"/>
    </row>
    <row r="53" spans="1:4" ht="30" customHeight="1" x14ac:dyDescent="0.2">
      <c r="A53" s="153"/>
      <c r="B53" s="620">
        <v>10000000</v>
      </c>
      <c r="C53" s="2955" t="s">
        <v>3138</v>
      </c>
      <c r="D53" s="158"/>
    </row>
    <row r="54" spans="1:4" ht="30" customHeight="1" x14ac:dyDescent="0.2">
      <c r="A54" s="153"/>
      <c r="B54" s="620">
        <v>10000000</v>
      </c>
      <c r="C54" s="2955" t="s">
        <v>4697</v>
      </c>
      <c r="D54" s="158"/>
    </row>
    <row r="55" spans="1:4" ht="30" customHeight="1" x14ac:dyDescent="0.2">
      <c r="A55" s="153"/>
      <c r="B55" s="156">
        <v>10000000</v>
      </c>
      <c r="C55" s="2954" t="s">
        <v>4697</v>
      </c>
      <c r="D55" s="158"/>
    </row>
    <row r="56" spans="1:4" ht="30" customHeight="1" x14ac:dyDescent="0.2">
      <c r="A56" s="153"/>
      <c r="B56" s="156">
        <v>10000000</v>
      </c>
      <c r="C56" s="2954" t="s">
        <v>2251</v>
      </c>
      <c r="D56" s="158"/>
    </row>
    <row r="57" spans="1:4" ht="30" customHeight="1" x14ac:dyDescent="0.2">
      <c r="A57" s="153"/>
      <c r="B57" s="156"/>
      <c r="C57" s="2954"/>
      <c r="D57" s="158"/>
    </row>
    <row r="58" spans="1:4" ht="30" customHeight="1" x14ac:dyDescent="0.2">
      <c r="A58" s="153"/>
      <c r="B58" s="156"/>
      <c r="C58" s="2954"/>
      <c r="D58" s="158"/>
    </row>
    <row r="59" spans="1:4" ht="30" customHeight="1" x14ac:dyDescent="0.2">
      <c r="A59" s="153"/>
      <c r="B59" s="156"/>
      <c r="C59" s="2954"/>
      <c r="D59" s="158"/>
    </row>
    <row r="60" spans="1:4" ht="30" customHeight="1" x14ac:dyDescent="0.2">
      <c r="A60" s="153"/>
      <c r="B60" s="156"/>
      <c r="C60" s="2954"/>
      <c r="D60" s="158"/>
    </row>
    <row r="61" spans="1:4" ht="30" customHeight="1" x14ac:dyDescent="0.2">
      <c r="A61" s="153"/>
      <c r="B61" s="156"/>
      <c r="C61" s="2954"/>
      <c r="D61" s="158"/>
    </row>
    <row r="62" spans="1:4" ht="30" customHeight="1" x14ac:dyDescent="0.2">
      <c r="A62" s="153"/>
      <c r="B62" s="156"/>
      <c r="C62" s="2954"/>
      <c r="D62" s="158"/>
    </row>
    <row r="63" spans="1:4" ht="30" customHeight="1" x14ac:dyDescent="0.2">
      <c r="A63" s="153"/>
      <c r="B63" s="156"/>
      <c r="C63" s="2954"/>
      <c r="D63" s="158"/>
    </row>
    <row r="64" spans="1:4" ht="30" customHeight="1" thickBot="1" x14ac:dyDescent="0.25">
      <c r="A64" s="104" t="s">
        <v>903</v>
      </c>
      <c r="B64" s="160"/>
      <c r="C64" s="161"/>
      <c r="D64" s="162"/>
    </row>
  </sheetData>
  <mergeCells count="15">
    <mergeCell ref="B1:D1"/>
    <mergeCell ref="C3:D3"/>
    <mergeCell ref="C38:D38"/>
    <mergeCell ref="C39:D39"/>
    <mergeCell ref="C19:D19"/>
    <mergeCell ref="C14:D14"/>
    <mergeCell ref="C30:D30"/>
    <mergeCell ref="C37:D37"/>
    <mergeCell ref="C31:D31"/>
    <mergeCell ref="C29:D29"/>
    <mergeCell ref="C49:D49"/>
    <mergeCell ref="C51:D51"/>
    <mergeCell ref="C48:D48"/>
    <mergeCell ref="C50:D50"/>
    <mergeCell ref="C40:D4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rightToLeft="1" topLeftCell="A184" zoomScale="70" zoomScaleNormal="70" workbookViewId="0">
      <selection activeCell="B194" sqref="B194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3450">
        <v>1</v>
      </c>
      <c r="B2" s="3457" t="s">
        <v>118</v>
      </c>
      <c r="C2" s="554" t="s">
        <v>877</v>
      </c>
      <c r="D2" s="554" t="s">
        <v>878</v>
      </c>
      <c r="E2" s="554" t="s">
        <v>879</v>
      </c>
      <c r="F2" s="557">
        <v>8000000</v>
      </c>
      <c r="G2" s="479"/>
      <c r="H2" s="557">
        <v>12800000</v>
      </c>
      <c r="I2" s="558" t="s">
        <v>930</v>
      </c>
      <c r="J2" s="567" t="s">
        <v>1893</v>
      </c>
    </row>
    <row r="3" spans="1:10" ht="30" customHeight="1" x14ac:dyDescent="0.2">
      <c r="A3" s="3456"/>
      <c r="B3" s="3459"/>
      <c r="C3" s="556" t="s">
        <v>1894</v>
      </c>
      <c r="D3" s="556" t="s">
        <v>1895</v>
      </c>
      <c r="E3" s="556" t="s">
        <v>879</v>
      </c>
      <c r="F3" s="555">
        <v>15500000</v>
      </c>
      <c r="G3" s="560"/>
      <c r="H3" s="555">
        <v>25000000</v>
      </c>
      <c r="I3" s="559" t="s">
        <v>1896</v>
      </c>
      <c r="J3" s="567"/>
    </row>
    <row r="4" spans="1:10" ht="30" customHeight="1" x14ac:dyDescent="0.2">
      <c r="A4" s="3451"/>
      <c r="B4" s="3458"/>
      <c r="C4" s="556" t="s">
        <v>922</v>
      </c>
      <c r="D4" s="556" t="s">
        <v>921</v>
      </c>
      <c r="E4" s="556" t="s">
        <v>881</v>
      </c>
      <c r="F4" s="555">
        <v>1000000</v>
      </c>
      <c r="G4" s="560"/>
      <c r="H4" s="555">
        <v>24000000</v>
      </c>
      <c r="I4" s="559" t="s">
        <v>1897</v>
      </c>
      <c r="J4" s="567"/>
    </row>
    <row r="5" spans="1:10" ht="30" customHeight="1" x14ac:dyDescent="0.2">
      <c r="A5" s="3450">
        <v>2</v>
      </c>
      <c r="B5" s="3457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3451"/>
      <c r="B6" s="3458"/>
      <c r="C6" s="554" t="s">
        <v>922</v>
      </c>
      <c r="D6" s="554" t="s">
        <v>921</v>
      </c>
      <c r="E6" s="554" t="s">
        <v>881</v>
      </c>
      <c r="F6" s="557">
        <v>1000000</v>
      </c>
      <c r="G6" s="479"/>
      <c r="H6" s="557">
        <v>24000000</v>
      </c>
      <c r="I6" s="568" t="s">
        <v>932</v>
      </c>
      <c r="J6" s="567" t="s">
        <v>1898</v>
      </c>
    </row>
    <row r="7" spans="1:10" ht="30" customHeight="1" x14ac:dyDescent="0.2">
      <c r="A7" s="3450">
        <v>3</v>
      </c>
      <c r="B7" s="3457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3451"/>
      <c r="B8" s="3458"/>
      <c r="C8" s="2303"/>
      <c r="D8" s="2303"/>
      <c r="E8" s="2303" t="s">
        <v>879</v>
      </c>
      <c r="F8" s="2309">
        <v>70000000</v>
      </c>
      <c r="G8" s="2317"/>
      <c r="H8" s="2309">
        <v>130000000</v>
      </c>
      <c r="I8" s="2311" t="s">
        <v>4364</v>
      </c>
      <c r="J8" s="2351" t="s">
        <v>4365</v>
      </c>
    </row>
    <row r="9" spans="1:10" ht="30" customHeight="1" x14ac:dyDescent="0.2">
      <c r="A9" s="4">
        <v>4</v>
      </c>
      <c r="B9" s="22" t="s">
        <v>1039</v>
      </c>
      <c r="C9" s="12"/>
      <c r="D9" s="186" t="s">
        <v>1042</v>
      </c>
      <c r="E9" s="7"/>
      <c r="F9" s="135"/>
      <c r="G9" s="20"/>
      <c r="H9" s="135">
        <v>63000000</v>
      </c>
      <c r="I9" s="183" t="s">
        <v>1040</v>
      </c>
      <c r="J9" s="33"/>
    </row>
    <row r="10" spans="1:10" ht="30" customHeight="1" x14ac:dyDescent="0.2">
      <c r="A10" s="3450">
        <v>5</v>
      </c>
      <c r="B10" s="3457" t="s">
        <v>111</v>
      </c>
      <c r="C10" s="12"/>
      <c r="D10" s="186" t="s">
        <v>1043</v>
      </c>
      <c r="E10" s="7"/>
      <c r="F10" s="135">
        <v>200000000</v>
      </c>
      <c r="G10" s="20"/>
      <c r="H10" s="135">
        <v>272000000</v>
      </c>
      <c r="I10" s="183" t="s">
        <v>1044</v>
      </c>
      <c r="J10" s="33"/>
    </row>
    <row r="11" spans="1:10" ht="30" customHeight="1" x14ac:dyDescent="0.2">
      <c r="A11" s="3456"/>
      <c r="B11" s="3459"/>
      <c r="C11" s="12"/>
      <c r="D11" s="186" t="s">
        <v>1045</v>
      </c>
      <c r="E11" s="7"/>
      <c r="F11" s="135">
        <v>117200000</v>
      </c>
      <c r="G11" s="20"/>
      <c r="H11" s="135">
        <v>160000000</v>
      </c>
      <c r="I11" s="183" t="s">
        <v>1046</v>
      </c>
      <c r="J11" s="33"/>
    </row>
    <row r="12" spans="1:10" ht="30" customHeight="1" x14ac:dyDescent="0.2">
      <c r="A12" s="3451"/>
      <c r="B12" s="3458"/>
      <c r="C12" s="12"/>
      <c r="D12" s="186" t="s">
        <v>1047</v>
      </c>
      <c r="E12" s="7"/>
      <c r="F12" s="135">
        <v>310000000</v>
      </c>
      <c r="G12" s="20"/>
      <c r="H12" s="135">
        <v>573000000</v>
      </c>
      <c r="I12" s="183" t="s">
        <v>1048</v>
      </c>
      <c r="J12" s="33"/>
    </row>
    <row r="13" spans="1:10" ht="30" customHeight="1" x14ac:dyDescent="0.2">
      <c r="A13" s="3450">
        <v>6</v>
      </c>
      <c r="B13" s="3457" t="s">
        <v>1049</v>
      </c>
      <c r="C13" s="444" t="s">
        <v>1052</v>
      </c>
      <c r="D13" s="444" t="s">
        <v>1050</v>
      </c>
      <c r="E13" s="444" t="s">
        <v>928</v>
      </c>
      <c r="F13" s="948">
        <v>111000000</v>
      </c>
      <c r="G13" s="949"/>
      <c r="H13" s="948">
        <v>555000000</v>
      </c>
      <c r="I13" s="950" t="s">
        <v>1051</v>
      </c>
      <c r="J13" s="33" t="s">
        <v>2564</v>
      </c>
    </row>
    <row r="14" spans="1:10" ht="30" customHeight="1" x14ac:dyDescent="0.2">
      <c r="A14" s="3451"/>
      <c r="B14" s="3458"/>
      <c r="C14" s="926" t="s">
        <v>2544</v>
      </c>
      <c r="D14" s="926" t="s">
        <v>2566</v>
      </c>
      <c r="E14" s="926" t="s">
        <v>1227</v>
      </c>
      <c r="F14" s="925">
        <v>250000000</v>
      </c>
      <c r="G14" s="933"/>
      <c r="H14" s="925">
        <v>1500000000</v>
      </c>
      <c r="I14" s="24" t="s">
        <v>2565</v>
      </c>
      <c r="J14" s="33"/>
    </row>
    <row r="15" spans="1:10" ht="30" customHeight="1" x14ac:dyDescent="0.2">
      <c r="A15" s="3450">
        <v>7</v>
      </c>
      <c r="B15" s="3457" t="s">
        <v>173</v>
      </c>
      <c r="C15" s="262" t="s">
        <v>1229</v>
      </c>
      <c r="D15" s="262" t="s">
        <v>1228</v>
      </c>
      <c r="E15" s="262" t="s">
        <v>881</v>
      </c>
      <c r="F15" s="259">
        <v>30000000</v>
      </c>
      <c r="G15" s="20"/>
      <c r="H15" s="259">
        <v>730000000</v>
      </c>
      <c r="I15" s="24" t="s">
        <v>1230</v>
      </c>
      <c r="J15" s="33"/>
    </row>
    <row r="16" spans="1:10" ht="30" customHeight="1" x14ac:dyDescent="0.2">
      <c r="A16" s="3451"/>
      <c r="B16" s="3458"/>
      <c r="C16" s="262" t="s">
        <v>1233</v>
      </c>
      <c r="D16" s="262" t="s">
        <v>1232</v>
      </c>
      <c r="E16" s="262" t="s">
        <v>1227</v>
      </c>
      <c r="F16" s="259">
        <v>28000000</v>
      </c>
      <c r="G16" s="20"/>
      <c r="H16" s="259">
        <v>140000000</v>
      </c>
      <c r="I16" s="24" t="s">
        <v>1231</v>
      </c>
      <c r="J16" s="33"/>
    </row>
    <row r="17" spans="1:10" ht="30" customHeight="1" x14ac:dyDescent="0.2">
      <c r="A17" s="3450">
        <v>8</v>
      </c>
      <c r="B17" s="3457" t="s">
        <v>3921</v>
      </c>
      <c r="C17" s="3194" t="s">
        <v>1238</v>
      </c>
      <c r="D17" s="3194" t="s">
        <v>1236</v>
      </c>
      <c r="E17" s="3194" t="s">
        <v>879</v>
      </c>
      <c r="F17" s="482">
        <v>100000000</v>
      </c>
      <c r="G17" s="3195"/>
      <c r="H17" s="482">
        <v>162000000</v>
      </c>
      <c r="I17" s="3196" t="s">
        <v>1237</v>
      </c>
      <c r="J17" s="3197" t="s">
        <v>4116</v>
      </c>
    </row>
    <row r="18" spans="1:10" ht="30" customHeight="1" x14ac:dyDescent="0.2">
      <c r="A18" s="3456"/>
      <c r="B18" s="3459"/>
      <c r="C18" s="262" t="s">
        <v>1239</v>
      </c>
      <c r="D18" s="262" t="s">
        <v>1240</v>
      </c>
      <c r="E18" s="262" t="s">
        <v>879</v>
      </c>
      <c r="F18" s="259">
        <v>15000000</v>
      </c>
      <c r="G18" s="20"/>
      <c r="H18" s="259">
        <v>24500000</v>
      </c>
      <c r="I18" s="24" t="s">
        <v>1241</v>
      </c>
      <c r="J18" s="33"/>
    </row>
    <row r="19" spans="1:10" ht="30" customHeight="1" x14ac:dyDescent="0.2">
      <c r="A19" s="3456"/>
      <c r="B19" s="3459"/>
      <c r="C19" s="444" t="s">
        <v>1243</v>
      </c>
      <c r="D19" s="444" t="s">
        <v>1242</v>
      </c>
      <c r="E19" s="444" t="s">
        <v>881</v>
      </c>
      <c r="F19" s="3171">
        <v>15000000</v>
      </c>
      <c r="G19" s="949"/>
      <c r="H19" s="3171">
        <v>240000000</v>
      </c>
      <c r="I19" s="3173" t="s">
        <v>1244</v>
      </c>
      <c r="J19" s="33"/>
    </row>
    <row r="20" spans="1:10" ht="30" customHeight="1" x14ac:dyDescent="0.2">
      <c r="A20" s="3456"/>
      <c r="B20" s="3459"/>
      <c r="C20" s="444"/>
      <c r="D20" s="2930" t="s">
        <v>4642</v>
      </c>
      <c r="E20" s="444" t="s">
        <v>2143</v>
      </c>
      <c r="F20" s="3171">
        <v>30000000</v>
      </c>
      <c r="G20" s="3172"/>
      <c r="H20" s="3171">
        <v>52000000</v>
      </c>
      <c r="I20" s="2931" t="s">
        <v>4641</v>
      </c>
      <c r="J20" s="1882"/>
    </row>
    <row r="21" spans="1:10" ht="30" customHeight="1" x14ac:dyDescent="0.2">
      <c r="A21" s="3159"/>
      <c r="B21" s="3198" t="s">
        <v>2256</v>
      </c>
      <c r="C21" s="444"/>
      <c r="D21" s="2930" t="s">
        <v>4637</v>
      </c>
      <c r="E21" s="444" t="s">
        <v>879</v>
      </c>
      <c r="F21" s="3171">
        <v>10000000</v>
      </c>
      <c r="G21" s="3172"/>
      <c r="H21" s="3171">
        <v>17000000</v>
      </c>
      <c r="I21" s="2931" t="s">
        <v>4636</v>
      </c>
      <c r="J21" s="2883" t="s">
        <v>4638</v>
      </c>
    </row>
    <row r="22" spans="1:10" ht="30" customHeight="1" x14ac:dyDescent="0.2">
      <c r="A22" s="2872"/>
      <c r="B22" s="2873" t="s">
        <v>4639</v>
      </c>
      <c r="C22" s="444" t="s">
        <v>3814</v>
      </c>
      <c r="D22" s="2930" t="s">
        <v>2138</v>
      </c>
      <c r="E22" s="444" t="s">
        <v>3919</v>
      </c>
      <c r="F22" s="3171">
        <v>20000000</v>
      </c>
      <c r="G22" s="3172"/>
      <c r="H22" s="3171">
        <v>52000000</v>
      </c>
      <c r="I22" s="2931" t="s">
        <v>4640</v>
      </c>
      <c r="J22" s="2875"/>
    </row>
    <row r="23" spans="1:10" ht="30" customHeight="1" x14ac:dyDescent="0.2">
      <c r="A23" s="4">
        <v>9</v>
      </c>
      <c r="B23" s="282" t="s">
        <v>1286</v>
      </c>
      <c r="C23" s="285" t="s">
        <v>1238</v>
      </c>
      <c r="D23" s="285" t="s">
        <v>1236</v>
      </c>
      <c r="E23" s="285" t="s">
        <v>879</v>
      </c>
      <c r="F23" s="284">
        <v>11000000</v>
      </c>
      <c r="G23" s="20"/>
      <c r="H23" s="284">
        <v>17600000</v>
      </c>
      <c r="I23" s="24" t="s">
        <v>1287</v>
      </c>
      <c r="J23" s="33"/>
    </row>
    <row r="24" spans="1:10" ht="30" customHeight="1" x14ac:dyDescent="0.2">
      <c r="A24" s="4">
        <v>10</v>
      </c>
      <c r="B24" s="283" t="s">
        <v>1288</v>
      </c>
      <c r="C24" s="285" t="s">
        <v>1290</v>
      </c>
      <c r="D24" s="285" t="s">
        <v>1289</v>
      </c>
      <c r="E24" s="285" t="s">
        <v>881</v>
      </c>
      <c r="F24" s="284">
        <v>10000000</v>
      </c>
      <c r="G24" s="20"/>
      <c r="H24" s="284">
        <v>240000000</v>
      </c>
      <c r="I24" s="24" t="s">
        <v>1291</v>
      </c>
      <c r="J24" s="33"/>
    </row>
    <row r="25" spans="1:10" ht="30" customHeight="1" x14ac:dyDescent="0.2">
      <c r="A25" s="4">
        <v>11</v>
      </c>
      <c r="B25" s="45" t="s">
        <v>1261</v>
      </c>
      <c r="C25" s="9"/>
      <c r="D25" s="416" t="s">
        <v>1263</v>
      </c>
      <c r="E25" s="411" t="s">
        <v>1260</v>
      </c>
      <c r="F25" s="411">
        <v>130000000</v>
      </c>
      <c r="G25" s="20"/>
      <c r="H25" s="411">
        <v>154000000</v>
      </c>
      <c r="I25" s="24" t="s">
        <v>1262</v>
      </c>
      <c r="J25" s="33"/>
    </row>
    <row r="26" spans="1:10" ht="30" customHeight="1" x14ac:dyDescent="0.2">
      <c r="A26" s="3450">
        <v>12</v>
      </c>
      <c r="B26" s="3457" t="s">
        <v>1563</v>
      </c>
      <c r="C26" s="415"/>
      <c r="D26" s="415"/>
      <c r="E26" s="415" t="s">
        <v>928</v>
      </c>
      <c r="F26" s="411">
        <v>20000000</v>
      </c>
      <c r="G26" s="20"/>
      <c r="H26" s="411">
        <v>100000000</v>
      </c>
      <c r="I26" s="454" t="s">
        <v>1564</v>
      </c>
      <c r="J26" s="33"/>
    </row>
    <row r="27" spans="1:10" ht="30" customHeight="1" x14ac:dyDescent="0.2">
      <c r="A27" s="3456"/>
      <c r="B27" s="3459"/>
      <c r="C27" s="415"/>
      <c r="D27" s="415"/>
      <c r="E27" s="415" t="s">
        <v>879</v>
      </c>
      <c r="F27" s="411">
        <v>30000000</v>
      </c>
      <c r="G27" s="20"/>
      <c r="H27" s="411">
        <v>50000000</v>
      </c>
      <c r="I27" s="24"/>
      <c r="J27" s="33"/>
    </row>
    <row r="28" spans="1:10" ht="30" customHeight="1" x14ac:dyDescent="0.2">
      <c r="A28" s="3456"/>
      <c r="B28" s="3459"/>
      <c r="C28" s="2303"/>
      <c r="D28" s="2303"/>
      <c r="E28" s="2303" t="s">
        <v>928</v>
      </c>
      <c r="F28" s="2309">
        <v>15000000</v>
      </c>
      <c r="G28" s="2317"/>
      <c r="H28" s="2309">
        <v>75000000</v>
      </c>
      <c r="I28" s="24"/>
      <c r="J28" s="33" t="s">
        <v>4336</v>
      </c>
    </row>
    <row r="29" spans="1:10" ht="30" customHeight="1" x14ac:dyDescent="0.2">
      <c r="A29" s="3451"/>
      <c r="B29" s="3458"/>
      <c r="C29" s="2303"/>
      <c r="D29" s="2303"/>
      <c r="E29" s="2303" t="s">
        <v>4335</v>
      </c>
      <c r="F29" s="2309">
        <v>3000000</v>
      </c>
      <c r="G29" s="2317"/>
      <c r="H29" s="2309"/>
      <c r="I29" s="24"/>
      <c r="J29" s="33" t="s">
        <v>4336</v>
      </c>
    </row>
    <row r="30" spans="1:10" ht="30" customHeight="1" x14ac:dyDescent="0.2">
      <c r="A30" s="4">
        <v>13</v>
      </c>
      <c r="B30" s="436" t="s">
        <v>1565</v>
      </c>
      <c r="C30" s="415" t="s">
        <v>1566</v>
      </c>
      <c r="D30" s="415"/>
      <c r="E30" s="415" t="s">
        <v>879</v>
      </c>
      <c r="F30" s="411">
        <v>350000000</v>
      </c>
      <c r="G30" s="20"/>
      <c r="H30" s="411">
        <v>650000000</v>
      </c>
      <c r="I30" s="24"/>
      <c r="J30" s="33"/>
    </row>
    <row r="31" spans="1:10" ht="30" customHeight="1" x14ac:dyDescent="0.2">
      <c r="A31" s="4">
        <v>14</v>
      </c>
      <c r="B31" s="1505" t="s">
        <v>1569</v>
      </c>
      <c r="C31" s="1506" t="s">
        <v>1573</v>
      </c>
      <c r="D31" s="1506"/>
      <c r="E31" s="1506" t="s">
        <v>879</v>
      </c>
      <c r="F31" s="1477">
        <v>100000000</v>
      </c>
      <c r="G31" s="20">
        <v>5.5E-2</v>
      </c>
      <c r="H31" s="460">
        <v>167000000</v>
      </c>
      <c r="I31" s="24"/>
      <c r="J31" s="33"/>
    </row>
    <row r="32" spans="1:10" ht="30" customHeight="1" x14ac:dyDescent="0.2">
      <c r="A32" s="690">
        <v>15</v>
      </c>
      <c r="B32" s="1505" t="s">
        <v>1579</v>
      </c>
      <c r="C32" s="1506" t="s">
        <v>1574</v>
      </c>
      <c r="D32" s="1506"/>
      <c r="E32" s="1506" t="s">
        <v>879</v>
      </c>
      <c r="F32" s="1477">
        <v>20000000</v>
      </c>
      <c r="G32" s="20">
        <v>0.05</v>
      </c>
      <c r="H32" s="460"/>
      <c r="I32" s="24"/>
      <c r="J32" s="33"/>
    </row>
    <row r="33" spans="1:10" ht="30" customHeight="1" x14ac:dyDescent="0.2">
      <c r="A33" s="690">
        <v>16</v>
      </c>
      <c r="B33" s="1505" t="s">
        <v>1570</v>
      </c>
      <c r="C33" s="1506" t="s">
        <v>1575</v>
      </c>
      <c r="D33" s="1506"/>
      <c r="E33" s="1506" t="s">
        <v>879</v>
      </c>
      <c r="F33" s="1477">
        <v>50000000</v>
      </c>
      <c r="G33" s="20">
        <v>0.05</v>
      </c>
      <c r="H33" s="460"/>
      <c r="I33" s="24"/>
      <c r="J33" s="33"/>
    </row>
    <row r="34" spans="1:10" ht="30" customHeight="1" x14ac:dyDescent="0.2">
      <c r="A34" s="690">
        <v>17</v>
      </c>
      <c r="B34" s="1505" t="s">
        <v>1570</v>
      </c>
      <c r="C34" s="1506" t="s">
        <v>1576</v>
      </c>
      <c r="D34" s="1506"/>
      <c r="E34" s="1506" t="s">
        <v>879</v>
      </c>
      <c r="F34" s="1477">
        <v>60000000</v>
      </c>
      <c r="G34" s="20">
        <v>0.05</v>
      </c>
      <c r="H34" s="460"/>
      <c r="I34" s="24"/>
      <c r="J34" s="33"/>
    </row>
    <row r="35" spans="1:10" ht="30" customHeight="1" x14ac:dyDescent="0.2">
      <c r="A35" s="690">
        <v>18</v>
      </c>
      <c r="B35" s="1505" t="s">
        <v>1571</v>
      </c>
      <c r="C35" s="1506" t="s">
        <v>1577</v>
      </c>
      <c r="D35" s="1506"/>
      <c r="E35" s="1506" t="s">
        <v>879</v>
      </c>
      <c r="F35" s="1477">
        <v>100000000</v>
      </c>
      <c r="G35" s="20">
        <v>7.0000000000000007E-2</v>
      </c>
      <c r="H35" s="460"/>
      <c r="I35" s="24"/>
      <c r="J35" s="33"/>
    </row>
    <row r="36" spans="1:10" ht="30" customHeight="1" x14ac:dyDescent="0.2">
      <c r="A36" s="690">
        <v>19</v>
      </c>
      <c r="B36" s="1505" t="s">
        <v>1572</v>
      </c>
      <c r="C36" s="1506" t="s">
        <v>839</v>
      </c>
      <c r="D36" s="1506"/>
      <c r="E36" s="1506" t="s">
        <v>879</v>
      </c>
      <c r="F36" s="1477">
        <v>100000000</v>
      </c>
      <c r="G36" s="20">
        <v>7.0000000000000007E-2</v>
      </c>
      <c r="H36" s="460"/>
      <c r="I36" s="24"/>
      <c r="J36" s="33"/>
    </row>
    <row r="37" spans="1:10" ht="30" customHeight="1" x14ac:dyDescent="0.2">
      <c r="A37" s="1487"/>
      <c r="B37" s="1505" t="s">
        <v>1377</v>
      </c>
      <c r="C37" s="1506" t="s">
        <v>3448</v>
      </c>
      <c r="D37" s="1506" t="s">
        <v>3139</v>
      </c>
      <c r="E37" s="1506" t="s">
        <v>879</v>
      </c>
      <c r="F37" s="1477">
        <v>50000000</v>
      </c>
      <c r="G37" s="1485"/>
      <c r="H37" s="1459">
        <v>80000000</v>
      </c>
      <c r="I37" s="24" t="s">
        <v>3449</v>
      </c>
      <c r="J37" s="33"/>
    </row>
    <row r="38" spans="1:10" ht="30" customHeight="1" x14ac:dyDescent="0.2">
      <c r="A38" s="4">
        <v>20</v>
      </c>
      <c r="B38" s="458" t="s">
        <v>222</v>
      </c>
      <c r="C38" s="467" t="s">
        <v>1585</v>
      </c>
      <c r="D38" s="467" t="s">
        <v>1584</v>
      </c>
      <c r="E38" s="467" t="s">
        <v>879</v>
      </c>
      <c r="F38" s="460">
        <v>57000000</v>
      </c>
      <c r="G38" s="20"/>
      <c r="H38" s="460">
        <v>128000000</v>
      </c>
      <c r="I38" s="24" t="s">
        <v>1586</v>
      </c>
      <c r="J38" s="33"/>
    </row>
    <row r="39" spans="1:10" ht="30" customHeight="1" x14ac:dyDescent="0.2">
      <c r="A39" s="2300">
        <v>21</v>
      </c>
      <c r="B39" s="2320" t="s">
        <v>1619</v>
      </c>
      <c r="C39" s="248" t="s">
        <v>1477</v>
      </c>
      <c r="D39" s="248" t="s">
        <v>1620</v>
      </c>
      <c r="E39" s="248" t="s">
        <v>1618</v>
      </c>
      <c r="F39" s="2299">
        <v>100000000</v>
      </c>
      <c r="G39" s="2317"/>
      <c r="H39" s="2299">
        <v>130000000</v>
      </c>
      <c r="I39" s="53" t="s">
        <v>4334</v>
      </c>
      <c r="J39" s="33"/>
    </row>
    <row r="40" spans="1:10" ht="30" customHeight="1" x14ac:dyDescent="0.2">
      <c r="A40" s="4">
        <v>22</v>
      </c>
      <c r="B40" s="458" t="s">
        <v>1621</v>
      </c>
      <c r="C40" s="467" t="s">
        <v>1477</v>
      </c>
      <c r="D40" s="467" t="s">
        <v>1622</v>
      </c>
      <c r="E40" s="467" t="s">
        <v>1623</v>
      </c>
      <c r="F40" s="460">
        <v>60000000</v>
      </c>
      <c r="G40" s="462"/>
      <c r="H40" s="460">
        <v>100000000</v>
      </c>
      <c r="I40" s="497" t="s">
        <v>1624</v>
      </c>
      <c r="J40" s="33"/>
    </row>
    <row r="41" spans="1:10" ht="30" customHeight="1" x14ac:dyDescent="0.2">
      <c r="A41" s="3450">
        <v>23</v>
      </c>
      <c r="B41" s="3470" t="s">
        <v>1724</v>
      </c>
      <c r="C41" s="3464" t="s">
        <v>1738</v>
      </c>
      <c r="D41" s="3464" t="s">
        <v>1687</v>
      </c>
      <c r="E41" s="3464" t="s">
        <v>1618</v>
      </c>
      <c r="F41" s="3454">
        <v>85000000</v>
      </c>
      <c r="G41" s="3462"/>
      <c r="H41" s="3454" t="s">
        <v>1735</v>
      </c>
      <c r="I41" s="526" t="s">
        <v>1736</v>
      </c>
      <c r="J41" s="3472" t="s">
        <v>1725</v>
      </c>
    </row>
    <row r="42" spans="1:10" ht="30" customHeight="1" x14ac:dyDescent="0.2">
      <c r="A42" s="3451"/>
      <c r="B42" s="3471"/>
      <c r="C42" s="3465"/>
      <c r="D42" s="3465"/>
      <c r="E42" s="3465"/>
      <c r="F42" s="3455"/>
      <c r="G42" s="3463"/>
      <c r="H42" s="3455"/>
      <c r="I42" s="526" t="s">
        <v>1737</v>
      </c>
      <c r="J42" s="3473"/>
    </row>
    <row r="43" spans="1:10" ht="30" customHeight="1" x14ac:dyDescent="0.2">
      <c r="A43" s="3450">
        <v>24</v>
      </c>
      <c r="B43" s="3457" t="s">
        <v>185</v>
      </c>
      <c r="C43" s="3446" t="s">
        <v>1687</v>
      </c>
      <c r="D43" s="3446" t="s">
        <v>1743</v>
      </c>
      <c r="E43" s="3446" t="s">
        <v>1618</v>
      </c>
      <c r="F43" s="3442">
        <v>85000000</v>
      </c>
      <c r="G43" s="3444"/>
      <c r="H43" s="3442" t="s">
        <v>1739</v>
      </c>
      <c r="I43" s="497" t="s">
        <v>1741</v>
      </c>
      <c r="J43" s="3466"/>
    </row>
    <row r="44" spans="1:10" ht="30" customHeight="1" x14ac:dyDescent="0.2">
      <c r="A44" s="3456"/>
      <c r="B44" s="3459"/>
      <c r="C44" s="3460"/>
      <c r="D44" s="3460"/>
      <c r="E44" s="3460"/>
      <c r="F44" s="3461"/>
      <c r="G44" s="3474"/>
      <c r="H44" s="3461"/>
      <c r="I44" s="497" t="s">
        <v>1742</v>
      </c>
      <c r="J44" s="3475"/>
    </row>
    <row r="45" spans="1:10" ht="30" customHeight="1" x14ac:dyDescent="0.2">
      <c r="A45" s="3451"/>
      <c r="B45" s="3458"/>
      <c r="C45" s="3447"/>
      <c r="D45" s="3447"/>
      <c r="E45" s="3447"/>
      <c r="F45" s="3443"/>
      <c r="G45" s="3445"/>
      <c r="H45" s="3443"/>
      <c r="I45" s="497" t="s">
        <v>1740</v>
      </c>
      <c r="J45" s="3467"/>
    </row>
    <row r="46" spans="1:10" ht="30" customHeight="1" x14ac:dyDescent="0.2">
      <c r="A46" s="506">
        <v>25</v>
      </c>
      <c r="B46" s="505" t="s">
        <v>1751</v>
      </c>
      <c r="C46" s="509"/>
      <c r="D46" s="509"/>
      <c r="E46" s="509"/>
      <c r="F46" s="508"/>
      <c r="G46" s="507"/>
      <c r="H46" s="508"/>
      <c r="I46" s="497"/>
      <c r="J46" s="511"/>
    </row>
    <row r="47" spans="1:10" ht="30" customHeight="1" x14ac:dyDescent="0.2">
      <c r="A47" s="506">
        <v>26</v>
      </c>
      <c r="B47" s="505" t="s">
        <v>1777</v>
      </c>
      <c r="C47" s="509" t="s">
        <v>1779</v>
      </c>
      <c r="D47" s="509"/>
      <c r="E47" s="509"/>
      <c r="F47" s="508">
        <v>20000000</v>
      </c>
      <c r="G47" s="507"/>
      <c r="H47" s="508"/>
      <c r="I47" s="497" t="s">
        <v>1780</v>
      </c>
      <c r="J47" s="511"/>
    </row>
    <row r="48" spans="1:10" ht="30" customHeight="1" x14ac:dyDescent="0.2">
      <c r="A48" s="689">
        <v>27</v>
      </c>
      <c r="B48" s="505" t="s">
        <v>1778</v>
      </c>
      <c r="C48" s="509"/>
      <c r="D48" s="509"/>
      <c r="E48" s="509"/>
      <c r="F48" s="508">
        <v>16000000</v>
      </c>
      <c r="G48" s="507"/>
      <c r="H48" s="508"/>
      <c r="I48" s="497" t="s">
        <v>1780</v>
      </c>
      <c r="J48" s="511"/>
    </row>
    <row r="49" spans="1:10" ht="30" customHeight="1" x14ac:dyDescent="0.2">
      <c r="A49" s="689">
        <v>28</v>
      </c>
      <c r="B49" s="505" t="s">
        <v>1955</v>
      </c>
      <c r="C49" s="509" t="s">
        <v>1984</v>
      </c>
      <c r="D49" s="509" t="s">
        <v>1983</v>
      </c>
      <c r="E49" s="509" t="s">
        <v>881</v>
      </c>
      <c r="F49" s="508">
        <v>200000000</v>
      </c>
      <c r="G49" s="507"/>
      <c r="H49" s="508">
        <v>4800000000</v>
      </c>
      <c r="I49" s="497" t="s">
        <v>1982</v>
      </c>
      <c r="J49" s="511"/>
    </row>
    <row r="50" spans="1:10" ht="30" customHeight="1" x14ac:dyDescent="0.2">
      <c r="A50" s="3450">
        <v>27</v>
      </c>
      <c r="B50" s="3457" t="s">
        <v>1961</v>
      </c>
      <c r="C50" s="509" t="s">
        <v>1962</v>
      </c>
      <c r="D50" s="509" t="s">
        <v>1964</v>
      </c>
      <c r="E50" s="509" t="s">
        <v>1227</v>
      </c>
      <c r="F50" s="508">
        <v>5000000</v>
      </c>
      <c r="G50" s="507"/>
      <c r="H50" s="508">
        <v>25000000</v>
      </c>
      <c r="I50" s="497" t="s">
        <v>1963</v>
      </c>
      <c r="J50" s="511"/>
    </row>
    <row r="51" spans="1:10" ht="30" customHeight="1" x14ac:dyDescent="0.2">
      <c r="A51" s="3456"/>
      <c r="B51" s="3459"/>
      <c r="C51" s="509" t="s">
        <v>1965</v>
      </c>
      <c r="D51" s="509"/>
      <c r="E51" s="509" t="s">
        <v>879</v>
      </c>
      <c r="F51" s="508"/>
      <c r="G51" s="507"/>
      <c r="H51" s="508"/>
      <c r="I51" s="497"/>
      <c r="J51" s="511"/>
    </row>
    <row r="52" spans="1:10" ht="30" customHeight="1" x14ac:dyDescent="0.2">
      <c r="A52" s="3456"/>
      <c r="B52" s="3459"/>
      <c r="C52" s="509" t="s">
        <v>1966</v>
      </c>
      <c r="D52" s="509" t="s">
        <v>1967</v>
      </c>
      <c r="E52" s="509" t="s">
        <v>1227</v>
      </c>
      <c r="F52" s="508">
        <v>5000000</v>
      </c>
      <c r="G52" s="507"/>
      <c r="H52" s="508"/>
      <c r="I52" s="497"/>
      <c r="J52" s="511"/>
    </row>
    <row r="53" spans="1:10" ht="30" customHeight="1" x14ac:dyDescent="0.2">
      <c r="A53" s="3456"/>
      <c r="B53" s="3459"/>
      <c r="C53" s="574"/>
      <c r="D53" s="574" t="s">
        <v>1968</v>
      </c>
      <c r="E53" s="574" t="s">
        <v>1227</v>
      </c>
      <c r="F53" s="573">
        <v>5000000</v>
      </c>
      <c r="G53" s="571"/>
      <c r="H53" s="573"/>
      <c r="I53" s="497"/>
      <c r="J53" s="575"/>
    </row>
    <row r="54" spans="1:10" ht="30" customHeight="1" x14ac:dyDescent="0.2">
      <c r="A54" s="3456"/>
      <c r="B54" s="3459"/>
      <c r="C54" s="574" t="s">
        <v>329</v>
      </c>
      <c r="D54" s="574"/>
      <c r="E54" s="574" t="s">
        <v>879</v>
      </c>
      <c r="F54" s="573">
        <v>2000000</v>
      </c>
      <c r="G54" s="571"/>
      <c r="H54" s="573"/>
      <c r="I54" s="497" t="s">
        <v>1969</v>
      </c>
      <c r="J54" s="575"/>
    </row>
    <row r="55" spans="1:10" ht="30" customHeight="1" x14ac:dyDescent="0.2">
      <c r="A55" s="3451"/>
      <c r="B55" s="3458"/>
      <c r="C55" s="574"/>
      <c r="D55" s="574"/>
      <c r="E55" s="574" t="s">
        <v>879</v>
      </c>
      <c r="F55" s="573">
        <v>3000000</v>
      </c>
      <c r="G55" s="571"/>
      <c r="H55" s="573"/>
      <c r="I55" s="497" t="s">
        <v>1969</v>
      </c>
      <c r="J55" s="575"/>
    </row>
    <row r="56" spans="1:10" ht="30" customHeight="1" x14ac:dyDescent="0.2">
      <c r="A56" s="3450">
        <v>28</v>
      </c>
      <c r="B56" s="3457" t="s">
        <v>253</v>
      </c>
      <c r="C56" s="574" t="s">
        <v>1894</v>
      </c>
      <c r="D56" s="574" t="s">
        <v>1999</v>
      </c>
      <c r="E56" s="574" t="s">
        <v>1618</v>
      </c>
      <c r="F56" s="573">
        <v>18000000</v>
      </c>
      <c r="G56" s="571"/>
      <c r="H56" s="573">
        <v>24000000</v>
      </c>
      <c r="I56" s="497" t="s">
        <v>2000</v>
      </c>
      <c r="J56" s="575"/>
    </row>
    <row r="57" spans="1:10" ht="30" customHeight="1" x14ac:dyDescent="0.2">
      <c r="A57" s="3456"/>
      <c r="B57" s="3459"/>
      <c r="C57" s="3446" t="s">
        <v>2064</v>
      </c>
      <c r="D57" s="3446"/>
      <c r="E57" s="847" t="s">
        <v>879</v>
      </c>
      <c r="F57" s="3442">
        <v>20000000</v>
      </c>
      <c r="G57" s="845"/>
      <c r="H57" s="846">
        <v>34000000</v>
      </c>
      <c r="I57" s="3466" t="s">
        <v>2469</v>
      </c>
      <c r="J57" s="3468" t="s">
        <v>2468</v>
      </c>
    </row>
    <row r="58" spans="1:10" ht="30" customHeight="1" x14ac:dyDescent="0.2">
      <c r="A58" s="3451"/>
      <c r="B58" s="3458"/>
      <c r="C58" s="3447"/>
      <c r="D58" s="3447"/>
      <c r="E58" s="847" t="s">
        <v>1618</v>
      </c>
      <c r="F58" s="3443"/>
      <c r="G58" s="845"/>
      <c r="H58" s="846">
        <v>27000000</v>
      </c>
      <c r="I58" s="3467"/>
      <c r="J58" s="3469"/>
    </row>
    <row r="59" spans="1:10" ht="30" customHeight="1" x14ac:dyDescent="0.2">
      <c r="A59" s="592">
        <v>29</v>
      </c>
      <c r="B59" s="591" t="s">
        <v>262</v>
      </c>
      <c r="C59" s="593"/>
      <c r="D59" s="593"/>
      <c r="E59" s="593"/>
      <c r="F59" s="594"/>
      <c r="G59" s="595"/>
      <c r="H59" s="594"/>
      <c r="I59" s="497"/>
      <c r="J59" s="596"/>
    </row>
    <row r="60" spans="1:10" ht="30" customHeight="1" x14ac:dyDescent="0.2">
      <c r="A60" s="3450">
        <v>30</v>
      </c>
      <c r="B60" s="3457" t="s">
        <v>189</v>
      </c>
      <c r="C60" s="3446" t="s">
        <v>2001</v>
      </c>
      <c r="D60" s="248" t="s">
        <v>2036</v>
      </c>
      <c r="E60" s="3446" t="s">
        <v>2034</v>
      </c>
      <c r="F60" s="644">
        <v>200000000</v>
      </c>
      <c r="G60" s="645">
        <v>6.5000000000000002E-2</v>
      </c>
      <c r="H60" s="644">
        <v>328500000</v>
      </c>
      <c r="I60" s="497" t="s">
        <v>2060</v>
      </c>
      <c r="J60" s="646" t="s">
        <v>2035</v>
      </c>
    </row>
    <row r="61" spans="1:10" ht="30" customHeight="1" x14ac:dyDescent="0.2">
      <c r="A61" s="3451"/>
      <c r="B61" s="3458"/>
      <c r="C61" s="3447"/>
      <c r="D61" s="248" t="s">
        <v>2059</v>
      </c>
      <c r="E61" s="3447"/>
      <c r="F61" s="644">
        <v>100000000</v>
      </c>
      <c r="G61" s="645">
        <v>6.5000000000000002E-2</v>
      </c>
      <c r="H61" s="644">
        <v>100000000</v>
      </c>
      <c r="I61" s="497" t="s">
        <v>2058</v>
      </c>
      <c r="J61" s="646" t="s">
        <v>1223</v>
      </c>
    </row>
    <row r="62" spans="1:10" ht="30" customHeight="1" x14ac:dyDescent="0.2">
      <c r="A62" s="651">
        <v>31</v>
      </c>
      <c r="B62" s="650" t="s">
        <v>2033</v>
      </c>
      <c r="C62" s="656"/>
      <c r="D62" s="1762" t="s">
        <v>2062</v>
      </c>
      <c r="E62" s="656"/>
      <c r="F62" s="655">
        <v>700000000</v>
      </c>
      <c r="G62" s="653"/>
      <c r="H62" s="655">
        <v>2000000000</v>
      </c>
      <c r="I62" s="497" t="s">
        <v>2061</v>
      </c>
      <c r="J62" s="659"/>
    </row>
    <row r="63" spans="1:10" ht="30" customHeight="1" x14ac:dyDescent="0.2">
      <c r="A63" s="689">
        <v>32</v>
      </c>
      <c r="B63" s="22" t="s">
        <v>262</v>
      </c>
      <c r="C63" s="656"/>
      <c r="D63" s="248"/>
      <c r="E63" s="656" t="s">
        <v>2089</v>
      </c>
      <c r="F63" s="655">
        <v>30000000</v>
      </c>
      <c r="G63" s="653"/>
      <c r="H63" s="655">
        <v>50000000</v>
      </c>
      <c r="I63" s="497" t="s">
        <v>2092</v>
      </c>
      <c r="J63" s="660" t="s">
        <v>2090</v>
      </c>
    </row>
    <row r="64" spans="1:10" ht="30" customHeight="1" x14ac:dyDescent="0.2">
      <c r="A64" s="689">
        <v>33</v>
      </c>
      <c r="B64" s="22" t="s">
        <v>2094</v>
      </c>
      <c r="C64" s="656" t="s">
        <v>2097</v>
      </c>
      <c r="D64" s="248" t="s">
        <v>2096</v>
      </c>
      <c r="E64" s="656" t="s">
        <v>2089</v>
      </c>
      <c r="F64" s="655">
        <v>160000000</v>
      </c>
      <c r="G64" s="653"/>
      <c r="H64" s="655">
        <v>266000000</v>
      </c>
      <c r="I64" s="497" t="s">
        <v>2095</v>
      </c>
      <c r="J64" s="659"/>
    </row>
    <row r="65" spans="1:10" ht="30" customHeight="1" x14ac:dyDescent="0.2">
      <c r="A65" s="689">
        <v>34</v>
      </c>
      <c r="B65" s="22" t="s">
        <v>2099</v>
      </c>
      <c r="C65" s="656" t="s">
        <v>2101</v>
      </c>
      <c r="D65" s="248" t="s">
        <v>2100</v>
      </c>
      <c r="E65" s="656" t="s">
        <v>2089</v>
      </c>
      <c r="F65" s="655">
        <v>50000000</v>
      </c>
      <c r="G65" s="653"/>
      <c r="H65" s="655">
        <v>92000000</v>
      </c>
      <c r="I65" s="497" t="s">
        <v>2102</v>
      </c>
      <c r="J65" s="659"/>
    </row>
    <row r="66" spans="1:10" ht="30" customHeight="1" x14ac:dyDescent="0.2">
      <c r="A66" s="3450">
        <v>35</v>
      </c>
      <c r="B66" s="3457" t="s">
        <v>1961</v>
      </c>
      <c r="C66" s="671"/>
      <c r="D66" s="248" t="s">
        <v>1964</v>
      </c>
      <c r="E66" s="671" t="s">
        <v>1227</v>
      </c>
      <c r="F66" s="674">
        <v>5000000</v>
      </c>
      <c r="G66" s="675"/>
      <c r="H66" s="674">
        <v>25000000</v>
      </c>
      <c r="I66" s="497" t="s">
        <v>2113</v>
      </c>
      <c r="J66" s="678"/>
    </row>
    <row r="67" spans="1:10" ht="30" customHeight="1" x14ac:dyDescent="0.2">
      <c r="A67" s="3456"/>
      <c r="B67" s="3459"/>
      <c r="C67" s="671"/>
      <c r="D67" s="248" t="s">
        <v>1967</v>
      </c>
      <c r="E67" s="671" t="s">
        <v>1227</v>
      </c>
      <c r="F67" s="674">
        <v>5000000</v>
      </c>
      <c r="G67" s="675"/>
      <c r="H67" s="674">
        <v>25000000</v>
      </c>
      <c r="I67" s="497" t="s">
        <v>2114</v>
      </c>
      <c r="J67" s="678"/>
    </row>
    <row r="68" spans="1:10" ht="30" customHeight="1" x14ac:dyDescent="0.2">
      <c r="A68" s="3456"/>
      <c r="B68" s="3459"/>
      <c r="C68" s="671"/>
      <c r="D68" s="248" t="s">
        <v>2116</v>
      </c>
      <c r="E68" s="671" t="s">
        <v>1227</v>
      </c>
      <c r="F68" s="674">
        <v>5000000</v>
      </c>
      <c r="G68" s="675"/>
      <c r="H68" s="674">
        <v>25000000</v>
      </c>
      <c r="I68" s="497" t="s">
        <v>2115</v>
      </c>
      <c r="J68" s="678"/>
    </row>
    <row r="69" spans="1:10" ht="30" customHeight="1" x14ac:dyDescent="0.2">
      <c r="A69" s="3451"/>
      <c r="B69" s="3458"/>
      <c r="C69" s="671"/>
      <c r="D69" s="248" t="s">
        <v>2125</v>
      </c>
      <c r="E69" s="671" t="s">
        <v>881</v>
      </c>
      <c r="F69" s="674">
        <v>20000000</v>
      </c>
      <c r="G69" s="675"/>
      <c r="H69" s="674">
        <v>50000000</v>
      </c>
      <c r="I69" s="497" t="s">
        <v>2126</v>
      </c>
      <c r="J69" s="678"/>
    </row>
    <row r="70" spans="1:10" ht="30" customHeight="1" x14ac:dyDescent="0.2">
      <c r="A70" s="690">
        <v>36</v>
      </c>
      <c r="B70" s="22" t="s">
        <v>2122</v>
      </c>
      <c r="C70" s="671"/>
      <c r="D70" s="248" t="s">
        <v>2124</v>
      </c>
      <c r="E70" s="671" t="s">
        <v>881</v>
      </c>
      <c r="F70" s="674">
        <v>2000000</v>
      </c>
      <c r="G70" s="675"/>
      <c r="H70" s="674">
        <v>50000000</v>
      </c>
      <c r="I70" s="497" t="s">
        <v>2123</v>
      </c>
      <c r="J70" s="678"/>
    </row>
    <row r="71" spans="1:10" ht="30" customHeight="1" x14ac:dyDescent="0.2">
      <c r="A71" s="3450">
        <v>37</v>
      </c>
      <c r="B71" s="3457" t="s">
        <v>2137</v>
      </c>
      <c r="C71" s="671"/>
      <c r="D71" s="248" t="s">
        <v>2138</v>
      </c>
      <c r="E71" s="671" t="s">
        <v>881</v>
      </c>
      <c r="F71" s="674">
        <v>15000000</v>
      </c>
      <c r="G71" s="675"/>
      <c r="H71" s="674">
        <v>360000000</v>
      </c>
      <c r="I71" s="497" t="s">
        <v>2139</v>
      </c>
      <c r="J71" s="678"/>
    </row>
    <row r="72" spans="1:10" ht="30" customHeight="1" x14ac:dyDescent="0.2">
      <c r="A72" s="3451"/>
      <c r="B72" s="3458"/>
      <c r="C72" s="671"/>
      <c r="D72" s="248" t="s">
        <v>2141</v>
      </c>
      <c r="E72" s="671" t="s">
        <v>879</v>
      </c>
      <c r="F72" s="674">
        <v>16000000</v>
      </c>
      <c r="G72" s="675"/>
      <c r="H72" s="674">
        <v>27000000</v>
      </c>
      <c r="I72" s="497" t="s">
        <v>2140</v>
      </c>
      <c r="J72" s="678"/>
    </row>
    <row r="73" spans="1:10" ht="30" customHeight="1" x14ac:dyDescent="0.2">
      <c r="A73" s="690"/>
      <c r="B73" s="22" t="s">
        <v>2142</v>
      </c>
      <c r="C73" s="671"/>
      <c r="D73" s="248" t="s">
        <v>2145</v>
      </c>
      <c r="E73" s="671" t="s">
        <v>2143</v>
      </c>
      <c r="F73" s="674">
        <v>25000000</v>
      </c>
      <c r="G73" s="675"/>
      <c r="H73" s="674">
        <v>43000000</v>
      </c>
      <c r="I73" s="497" t="s">
        <v>2144</v>
      </c>
      <c r="J73" s="678"/>
    </row>
    <row r="74" spans="1:10" ht="30" customHeight="1" x14ac:dyDescent="0.2">
      <c r="A74" s="3450"/>
      <c r="B74" s="3457" t="s">
        <v>2219</v>
      </c>
      <c r="C74" s="972" t="s">
        <v>1239</v>
      </c>
      <c r="D74" s="972"/>
      <c r="E74" s="965"/>
      <c r="F74" s="966">
        <v>3000000</v>
      </c>
      <c r="G74" s="964"/>
      <c r="H74" s="966">
        <v>7000000</v>
      </c>
      <c r="I74" s="526"/>
      <c r="J74" s="967" t="s">
        <v>2612</v>
      </c>
    </row>
    <row r="75" spans="1:10" ht="30" customHeight="1" x14ac:dyDescent="0.2">
      <c r="A75" s="3451"/>
      <c r="B75" s="3458"/>
      <c r="C75" s="728"/>
      <c r="D75" s="248" t="s">
        <v>2220</v>
      </c>
      <c r="E75" s="728" t="s">
        <v>1227</v>
      </c>
      <c r="F75" s="727">
        <v>10000000</v>
      </c>
      <c r="G75" s="726"/>
      <c r="H75" s="727">
        <v>50000000</v>
      </c>
      <c r="I75" s="497" t="s">
        <v>2222</v>
      </c>
      <c r="J75" s="729" t="s">
        <v>2221</v>
      </c>
    </row>
    <row r="76" spans="1:10" ht="30" customHeight="1" x14ac:dyDescent="0.2">
      <c r="A76" s="730"/>
      <c r="B76" s="22" t="s">
        <v>2223</v>
      </c>
      <c r="C76" s="728" t="s">
        <v>2226</v>
      </c>
      <c r="D76" s="248" t="s">
        <v>2225</v>
      </c>
      <c r="E76" s="728" t="s">
        <v>881</v>
      </c>
      <c r="F76" s="727">
        <v>25000000</v>
      </c>
      <c r="G76" s="726"/>
      <c r="H76" s="727">
        <v>600000000</v>
      </c>
      <c r="I76" s="497" t="s">
        <v>2224</v>
      </c>
      <c r="J76" s="741" t="s">
        <v>2230</v>
      </c>
    </row>
    <row r="77" spans="1:10" ht="30" customHeight="1" x14ac:dyDescent="0.2">
      <c r="A77" s="730"/>
      <c r="B77" s="22" t="s">
        <v>2227</v>
      </c>
      <c r="C77" s="728" t="s">
        <v>2225</v>
      </c>
      <c r="D77" s="248" t="s">
        <v>2229</v>
      </c>
      <c r="E77" s="728" t="s">
        <v>881</v>
      </c>
      <c r="F77" s="727">
        <v>7000000</v>
      </c>
      <c r="G77" s="726"/>
      <c r="H77" s="727">
        <v>170000000</v>
      </c>
      <c r="I77" s="497" t="s">
        <v>2228</v>
      </c>
      <c r="J77" s="729" t="s">
        <v>2230</v>
      </c>
    </row>
    <row r="78" spans="1:10" ht="30" customHeight="1" x14ac:dyDescent="0.2">
      <c r="A78" s="3450"/>
      <c r="B78" s="3457" t="s">
        <v>2231</v>
      </c>
      <c r="C78" s="1744"/>
      <c r="D78" s="248"/>
      <c r="E78" s="728" t="s">
        <v>879</v>
      </c>
      <c r="F78" s="727">
        <v>5000000</v>
      </c>
      <c r="G78" s="726"/>
      <c r="H78" s="727">
        <v>8000000</v>
      </c>
      <c r="I78" s="497" t="s">
        <v>2233</v>
      </c>
      <c r="J78" s="729" t="s">
        <v>2232</v>
      </c>
    </row>
    <row r="79" spans="1:10" ht="30" customHeight="1" x14ac:dyDescent="0.2">
      <c r="A79" s="3451"/>
      <c r="B79" s="3458"/>
      <c r="C79" s="1744"/>
      <c r="D79" s="248" t="s">
        <v>3754</v>
      </c>
      <c r="E79" s="1744" t="s">
        <v>879</v>
      </c>
      <c r="F79" s="1743">
        <v>4000000</v>
      </c>
      <c r="G79" s="1742"/>
      <c r="H79" s="1743">
        <v>7000000</v>
      </c>
      <c r="I79" s="497" t="s">
        <v>3755</v>
      </c>
      <c r="J79" s="1747"/>
    </row>
    <row r="80" spans="1:10" ht="30" customHeight="1" x14ac:dyDescent="0.2">
      <c r="A80" s="1741"/>
      <c r="B80" s="1740" t="s">
        <v>3768</v>
      </c>
      <c r="C80" s="1744"/>
      <c r="D80" s="248" t="s">
        <v>3769</v>
      </c>
      <c r="E80" s="1744" t="s">
        <v>3771</v>
      </c>
      <c r="F80" s="1743">
        <v>20000000</v>
      </c>
      <c r="G80" s="1742"/>
      <c r="H80" s="1743">
        <v>100000000</v>
      </c>
      <c r="I80" s="497" t="s">
        <v>3770</v>
      </c>
      <c r="J80" s="1747"/>
    </row>
    <row r="81" spans="1:10" ht="30" customHeight="1" x14ac:dyDescent="0.2">
      <c r="A81" s="3450"/>
      <c r="B81" s="3457" t="s">
        <v>2234</v>
      </c>
      <c r="C81" s="728"/>
      <c r="D81" s="248" t="s">
        <v>2235</v>
      </c>
      <c r="E81" s="728" t="s">
        <v>879</v>
      </c>
      <c r="F81" s="727">
        <v>20000000</v>
      </c>
      <c r="G81" s="726"/>
      <c r="H81" s="727">
        <v>32000000</v>
      </c>
      <c r="I81" s="497" t="s">
        <v>2236</v>
      </c>
      <c r="J81" s="729" t="s">
        <v>2237</v>
      </c>
    </row>
    <row r="82" spans="1:10" ht="30" customHeight="1" x14ac:dyDescent="0.2">
      <c r="A82" s="3456"/>
      <c r="B82" s="3459"/>
      <c r="C82" s="1744"/>
      <c r="D82" s="248" t="s">
        <v>3759</v>
      </c>
      <c r="E82" s="1744" t="s">
        <v>879</v>
      </c>
      <c r="F82" s="1743">
        <v>100000000</v>
      </c>
      <c r="G82" s="1742"/>
      <c r="H82" s="1743">
        <v>165000000</v>
      </c>
      <c r="I82" s="497" t="s">
        <v>3758</v>
      </c>
      <c r="J82" s="1747"/>
    </row>
    <row r="83" spans="1:10" ht="30" customHeight="1" x14ac:dyDescent="0.2">
      <c r="A83" s="3451"/>
      <c r="B83" s="3458"/>
      <c r="C83" s="1744"/>
      <c r="D83" s="248" t="s">
        <v>3748</v>
      </c>
      <c r="E83" s="1744" t="s">
        <v>879</v>
      </c>
      <c r="F83" s="1743">
        <v>8000000</v>
      </c>
      <c r="G83" s="1742"/>
      <c r="H83" s="1743">
        <v>13000000</v>
      </c>
      <c r="I83" s="497" t="s">
        <v>3749</v>
      </c>
      <c r="J83" s="1747"/>
    </row>
    <row r="84" spans="1:10" ht="30" customHeight="1" x14ac:dyDescent="0.2">
      <c r="A84" s="1739"/>
      <c r="B84" s="1738" t="s">
        <v>3013</v>
      </c>
      <c r="C84" s="1744"/>
      <c r="D84" s="248" t="s">
        <v>3767</v>
      </c>
      <c r="E84" s="1744" t="s">
        <v>881</v>
      </c>
      <c r="F84" s="1743">
        <v>10000000</v>
      </c>
      <c r="G84" s="1742"/>
      <c r="H84" s="1743">
        <v>240000000</v>
      </c>
      <c r="I84" s="497" t="s">
        <v>3766</v>
      </c>
      <c r="J84" s="1747"/>
    </row>
    <row r="85" spans="1:10" ht="30" customHeight="1" x14ac:dyDescent="0.2">
      <c r="A85" s="1739"/>
      <c r="B85" s="1738" t="s">
        <v>3760</v>
      </c>
      <c r="C85" s="1744"/>
      <c r="D85" s="248" t="s">
        <v>3762</v>
      </c>
      <c r="E85" s="1744" t="s">
        <v>1227</v>
      </c>
      <c r="F85" s="1743">
        <v>30000000</v>
      </c>
      <c r="G85" s="1742"/>
      <c r="H85" s="1743">
        <v>150000000</v>
      </c>
      <c r="I85" s="497" t="s">
        <v>3761</v>
      </c>
      <c r="J85" s="1747"/>
    </row>
    <row r="86" spans="1:10" ht="30" customHeight="1" x14ac:dyDescent="0.2">
      <c r="A86" s="730"/>
      <c r="B86" s="22" t="s">
        <v>2238</v>
      </c>
      <c r="C86" s="728" t="s">
        <v>676</v>
      </c>
      <c r="D86" s="248" t="s">
        <v>2239</v>
      </c>
      <c r="E86" s="728" t="s">
        <v>1227</v>
      </c>
      <c r="F86" s="727">
        <v>12000000</v>
      </c>
      <c r="G86" s="726"/>
      <c r="H86" s="727">
        <v>60000000</v>
      </c>
      <c r="I86" s="497" t="s">
        <v>2240</v>
      </c>
      <c r="J86" s="729" t="s">
        <v>2241</v>
      </c>
    </row>
    <row r="87" spans="1:10" ht="30" customHeight="1" x14ac:dyDescent="0.2">
      <c r="A87" s="749"/>
      <c r="B87" s="3457" t="s">
        <v>2242</v>
      </c>
      <c r="C87" s="731" t="s">
        <v>1032</v>
      </c>
      <c r="D87" s="248" t="s">
        <v>2245</v>
      </c>
      <c r="E87" s="731" t="s">
        <v>881</v>
      </c>
      <c r="F87" s="735">
        <v>10000000</v>
      </c>
      <c r="G87" s="736"/>
      <c r="H87" s="735">
        <v>240000000</v>
      </c>
      <c r="I87" s="497" t="s">
        <v>2244</v>
      </c>
      <c r="J87" s="741" t="s">
        <v>2243</v>
      </c>
    </row>
    <row r="88" spans="1:10" ht="30" customHeight="1" x14ac:dyDescent="0.2">
      <c r="A88" s="749"/>
      <c r="B88" s="3459"/>
      <c r="C88" s="731" t="s">
        <v>1032</v>
      </c>
      <c r="D88" s="248" t="s">
        <v>2249</v>
      </c>
      <c r="E88" s="731" t="s">
        <v>2250</v>
      </c>
      <c r="F88" s="735">
        <v>30000000</v>
      </c>
      <c r="G88" s="736"/>
      <c r="H88" s="735">
        <v>50000000</v>
      </c>
      <c r="I88" s="497" t="s">
        <v>2248</v>
      </c>
      <c r="J88" s="741" t="s">
        <v>2237</v>
      </c>
    </row>
    <row r="89" spans="1:10" ht="30" customHeight="1" x14ac:dyDescent="0.2">
      <c r="A89" s="749"/>
      <c r="B89" s="3458"/>
      <c r="C89" s="731" t="s">
        <v>1032</v>
      </c>
      <c r="D89" s="248" t="s">
        <v>2251</v>
      </c>
      <c r="E89" s="731" t="s">
        <v>2252</v>
      </c>
      <c r="F89" s="735">
        <v>5000000</v>
      </c>
      <c r="G89" s="736"/>
      <c r="H89" s="735">
        <v>6000000</v>
      </c>
      <c r="I89" s="497" t="s">
        <v>2253</v>
      </c>
      <c r="J89" s="741" t="s">
        <v>2237</v>
      </c>
    </row>
    <row r="90" spans="1:10" ht="30" customHeight="1" x14ac:dyDescent="0.2">
      <c r="A90" s="749"/>
      <c r="B90" s="22" t="s">
        <v>2256</v>
      </c>
      <c r="C90" s="731" t="s">
        <v>1566</v>
      </c>
      <c r="D90" s="248" t="s">
        <v>2257</v>
      </c>
      <c r="E90" s="731" t="s">
        <v>881</v>
      </c>
      <c r="F90" s="735">
        <v>10000000</v>
      </c>
      <c r="G90" s="736"/>
      <c r="H90" s="735">
        <v>240000000</v>
      </c>
      <c r="I90" s="497" t="s">
        <v>2258</v>
      </c>
      <c r="J90" s="741" t="s">
        <v>2237</v>
      </c>
    </row>
    <row r="91" spans="1:10" ht="30" customHeight="1" x14ac:dyDescent="0.2">
      <c r="A91" s="730"/>
      <c r="B91" s="3457" t="s">
        <v>2259</v>
      </c>
      <c r="C91" s="728" t="s">
        <v>2064</v>
      </c>
      <c r="D91" s="248" t="s">
        <v>2261</v>
      </c>
      <c r="E91" s="728" t="s">
        <v>879</v>
      </c>
      <c r="F91" s="727">
        <v>50000000</v>
      </c>
      <c r="G91" s="726"/>
      <c r="H91" s="727">
        <v>80000000</v>
      </c>
      <c r="I91" s="497" t="s">
        <v>2260</v>
      </c>
      <c r="J91" s="741" t="s">
        <v>2237</v>
      </c>
    </row>
    <row r="92" spans="1:10" ht="30" customHeight="1" x14ac:dyDescent="0.2">
      <c r="A92" s="749"/>
      <c r="B92" s="3458"/>
      <c r="C92" s="731"/>
      <c r="D92" s="248"/>
      <c r="E92" s="731" t="s">
        <v>881</v>
      </c>
      <c r="F92" s="735">
        <v>10000000</v>
      </c>
      <c r="G92" s="736"/>
      <c r="H92" s="735">
        <v>240000000</v>
      </c>
      <c r="I92" s="497"/>
      <c r="J92" s="741"/>
    </row>
    <row r="93" spans="1:10" ht="30" customHeight="1" x14ac:dyDescent="0.2">
      <c r="A93" s="749"/>
      <c r="B93" s="732" t="s">
        <v>2262</v>
      </c>
      <c r="C93" s="731"/>
      <c r="D93" s="248" t="s">
        <v>2263</v>
      </c>
      <c r="E93" s="731" t="s">
        <v>1227</v>
      </c>
      <c r="F93" s="735">
        <v>8750000</v>
      </c>
      <c r="G93" s="736"/>
      <c r="H93" s="735">
        <v>44000000</v>
      </c>
      <c r="I93" s="497" t="s">
        <v>2264</v>
      </c>
      <c r="J93" s="741"/>
    </row>
    <row r="94" spans="1:10" ht="30" customHeight="1" x14ac:dyDescent="0.2">
      <c r="A94" s="749"/>
      <c r="B94" s="732" t="s">
        <v>2265</v>
      </c>
      <c r="C94" s="731"/>
      <c r="D94" s="248" t="s">
        <v>2263</v>
      </c>
      <c r="E94" s="731" t="s">
        <v>1227</v>
      </c>
      <c r="F94" s="735">
        <v>6250000</v>
      </c>
      <c r="G94" s="736"/>
      <c r="H94" s="735">
        <v>31500000</v>
      </c>
      <c r="I94" s="497" t="s">
        <v>2266</v>
      </c>
      <c r="J94" s="741"/>
    </row>
    <row r="95" spans="1:10" ht="30" customHeight="1" x14ac:dyDescent="0.2">
      <c r="A95" s="749"/>
      <c r="B95" s="732" t="s">
        <v>2268</v>
      </c>
      <c r="C95" s="731"/>
      <c r="D95" s="248" t="s">
        <v>2263</v>
      </c>
      <c r="E95" s="731" t="s">
        <v>1227</v>
      </c>
      <c r="F95" s="735">
        <v>15000000</v>
      </c>
      <c r="G95" s="736"/>
      <c r="H95" s="735">
        <v>75000000</v>
      </c>
      <c r="I95" s="497" t="s">
        <v>2267</v>
      </c>
      <c r="J95" s="741"/>
    </row>
    <row r="96" spans="1:10" ht="30" customHeight="1" x14ac:dyDescent="0.2">
      <c r="A96" s="749"/>
      <c r="B96" s="732" t="s">
        <v>145</v>
      </c>
      <c r="C96" s="731"/>
      <c r="D96" s="248" t="s">
        <v>2337</v>
      </c>
      <c r="E96" s="731" t="s">
        <v>879</v>
      </c>
      <c r="F96" s="735">
        <v>180000000</v>
      </c>
      <c r="G96" s="736"/>
      <c r="H96" s="735">
        <v>300000000</v>
      </c>
      <c r="I96" s="497" t="s">
        <v>2338</v>
      </c>
      <c r="J96" s="741" t="s">
        <v>3006</v>
      </c>
    </row>
    <row r="97" spans="1:10" ht="30" customHeight="1" x14ac:dyDescent="0.2">
      <c r="A97" s="749"/>
      <c r="B97" s="3457" t="s">
        <v>498</v>
      </c>
      <c r="C97" s="731"/>
      <c r="D97" s="248"/>
      <c r="E97" s="731"/>
      <c r="F97" s="735">
        <v>130000000</v>
      </c>
      <c r="G97" s="736"/>
      <c r="H97" s="735">
        <v>208000000</v>
      </c>
      <c r="I97" s="497"/>
      <c r="J97" s="741"/>
    </row>
    <row r="98" spans="1:10" ht="30" customHeight="1" x14ac:dyDescent="0.2">
      <c r="A98" s="749"/>
      <c r="B98" s="3458"/>
      <c r="C98" s="731"/>
      <c r="D98" s="248"/>
      <c r="E98" s="731"/>
      <c r="F98" s="735">
        <v>130000000</v>
      </c>
      <c r="G98" s="736"/>
      <c r="H98" s="735">
        <v>208000000</v>
      </c>
      <c r="I98" s="497"/>
      <c r="J98" s="741"/>
    </row>
    <row r="99" spans="1:10" ht="30" customHeight="1" x14ac:dyDescent="0.2">
      <c r="A99" s="749"/>
      <c r="B99" s="732" t="s">
        <v>2435</v>
      </c>
      <c r="C99" s="731"/>
      <c r="D99" s="248" t="s">
        <v>2437</v>
      </c>
      <c r="E99" s="731" t="s">
        <v>2438</v>
      </c>
      <c r="F99" s="735">
        <v>50000000</v>
      </c>
      <c r="G99" s="736"/>
      <c r="H99" s="735">
        <v>100000000</v>
      </c>
      <c r="I99" s="497" t="s">
        <v>2436</v>
      </c>
      <c r="J99" s="741" t="s">
        <v>2439</v>
      </c>
    </row>
    <row r="100" spans="1:10" ht="30" customHeight="1" x14ac:dyDescent="0.2">
      <c r="A100" s="833"/>
      <c r="B100" s="818" t="s">
        <v>2441</v>
      </c>
      <c r="C100" s="819"/>
      <c r="D100" s="248" t="s">
        <v>2443</v>
      </c>
      <c r="E100" s="819" t="s">
        <v>879</v>
      </c>
      <c r="F100" s="822">
        <v>20000000</v>
      </c>
      <c r="G100" s="821"/>
      <c r="H100" s="822">
        <v>35000000</v>
      </c>
      <c r="I100" s="497" t="s">
        <v>2442</v>
      </c>
      <c r="J100" s="827"/>
    </row>
    <row r="101" spans="1:10" ht="30" customHeight="1" x14ac:dyDescent="0.2">
      <c r="A101" s="833"/>
      <c r="B101" s="818" t="s">
        <v>2444</v>
      </c>
      <c r="C101" s="819"/>
      <c r="D101" s="248" t="s">
        <v>2445</v>
      </c>
      <c r="E101" s="819" t="s">
        <v>2447</v>
      </c>
      <c r="F101" s="822">
        <v>190000000</v>
      </c>
      <c r="G101" s="821"/>
      <c r="H101" s="822">
        <v>1000000000</v>
      </c>
      <c r="I101" s="497" t="s">
        <v>2446</v>
      </c>
      <c r="J101" s="827"/>
    </row>
    <row r="102" spans="1:10" ht="30" customHeight="1" x14ac:dyDescent="0.2">
      <c r="A102" s="833"/>
      <c r="B102" s="818" t="s">
        <v>2472</v>
      </c>
      <c r="C102" s="819"/>
      <c r="D102" s="248" t="s">
        <v>2471</v>
      </c>
      <c r="E102" s="819" t="s">
        <v>1618</v>
      </c>
      <c r="F102" s="822">
        <v>22000000</v>
      </c>
      <c r="G102" s="821"/>
      <c r="H102" s="822">
        <v>30000000</v>
      </c>
      <c r="I102" s="497" t="s">
        <v>2470</v>
      </c>
      <c r="J102" s="827"/>
    </row>
    <row r="103" spans="1:10" ht="30" customHeight="1" x14ac:dyDescent="0.2">
      <c r="A103" s="3450"/>
      <c r="B103" s="3457" t="s">
        <v>72</v>
      </c>
      <c r="C103" s="857"/>
      <c r="D103" s="248" t="s">
        <v>2492</v>
      </c>
      <c r="E103" s="857" t="s">
        <v>879</v>
      </c>
      <c r="F103" s="860">
        <v>130000000</v>
      </c>
      <c r="G103" s="858"/>
      <c r="H103" s="860">
        <v>224000000</v>
      </c>
      <c r="I103" s="497" t="s">
        <v>2491</v>
      </c>
      <c r="J103" s="864"/>
    </row>
    <row r="104" spans="1:10" ht="30" customHeight="1" x14ac:dyDescent="0.2">
      <c r="A104" s="3451"/>
      <c r="B104" s="3458"/>
      <c r="C104" s="870"/>
      <c r="D104" s="248" t="s">
        <v>1099</v>
      </c>
      <c r="E104" s="870"/>
      <c r="F104" s="869"/>
      <c r="G104" s="874"/>
      <c r="H104" s="869">
        <v>125000000</v>
      </c>
      <c r="I104" s="497"/>
      <c r="J104" s="871" t="s">
        <v>2529</v>
      </c>
    </row>
    <row r="105" spans="1:10" ht="30" customHeight="1" x14ac:dyDescent="0.2">
      <c r="A105" s="879"/>
      <c r="B105" s="872" t="s">
        <v>2526</v>
      </c>
      <c r="C105" s="870"/>
      <c r="D105" s="248" t="s">
        <v>363</v>
      </c>
      <c r="E105" s="870" t="s">
        <v>2527</v>
      </c>
      <c r="F105" s="869">
        <v>70000000</v>
      </c>
      <c r="G105" s="874"/>
      <c r="H105" s="1633">
        <v>90000000</v>
      </c>
      <c r="I105" s="497" t="s">
        <v>3597</v>
      </c>
      <c r="J105" s="871" t="s">
        <v>2528</v>
      </c>
    </row>
    <row r="106" spans="1:10" ht="30" customHeight="1" x14ac:dyDescent="0.2">
      <c r="A106" s="947"/>
      <c r="B106" s="939" t="s">
        <v>722</v>
      </c>
      <c r="C106" s="942"/>
      <c r="D106" s="248" t="s">
        <v>2593</v>
      </c>
      <c r="E106" s="942" t="s">
        <v>2143</v>
      </c>
      <c r="F106" s="941">
        <v>60000000</v>
      </c>
      <c r="G106" s="940"/>
      <c r="H106" s="941">
        <v>105000000</v>
      </c>
      <c r="I106" s="497" t="s">
        <v>2594</v>
      </c>
      <c r="J106" s="943" t="s">
        <v>2595</v>
      </c>
    </row>
    <row r="107" spans="1:10" ht="30" customHeight="1" x14ac:dyDescent="0.2">
      <c r="A107" s="3450"/>
      <c r="B107" s="3457" t="s">
        <v>2518</v>
      </c>
      <c r="C107" s="444"/>
      <c r="D107" s="2930" t="s">
        <v>2603</v>
      </c>
      <c r="E107" s="444" t="s">
        <v>4903</v>
      </c>
      <c r="F107" s="3243" t="s">
        <v>4902</v>
      </c>
      <c r="G107" s="3244"/>
      <c r="H107" s="3243">
        <v>100000000</v>
      </c>
      <c r="I107" s="2931" t="s">
        <v>2607</v>
      </c>
      <c r="J107" s="3259" t="s">
        <v>4904</v>
      </c>
    </row>
    <row r="108" spans="1:10" ht="30" customHeight="1" x14ac:dyDescent="0.2">
      <c r="A108" s="3456"/>
      <c r="B108" s="3459"/>
      <c r="C108" s="3446"/>
      <c r="D108" s="3446" t="s">
        <v>2605</v>
      </c>
      <c r="E108" s="3446" t="s">
        <v>879</v>
      </c>
      <c r="F108" s="3442">
        <v>260000000</v>
      </c>
      <c r="G108" s="3444"/>
      <c r="H108" s="3442">
        <v>350000000</v>
      </c>
      <c r="I108" s="3466" t="s">
        <v>2606</v>
      </c>
      <c r="J108" s="192" t="s">
        <v>4905</v>
      </c>
    </row>
    <row r="109" spans="1:10" ht="30" customHeight="1" x14ac:dyDescent="0.2">
      <c r="A109" s="3456"/>
      <c r="B109" s="3459"/>
      <c r="C109" s="3447"/>
      <c r="D109" s="3447"/>
      <c r="E109" s="3447"/>
      <c r="F109" s="3443"/>
      <c r="G109" s="3445"/>
      <c r="H109" s="3443"/>
      <c r="I109" s="3467"/>
      <c r="J109" s="192" t="s">
        <v>4906</v>
      </c>
    </row>
    <row r="110" spans="1:10" ht="30" customHeight="1" x14ac:dyDescent="0.2">
      <c r="A110" s="3451"/>
      <c r="B110" s="3458"/>
      <c r="C110" s="444"/>
      <c r="D110" s="2930" t="s">
        <v>2604</v>
      </c>
      <c r="E110" s="444" t="s">
        <v>1618</v>
      </c>
      <c r="F110" s="3243">
        <v>330000000</v>
      </c>
      <c r="G110" s="3244"/>
      <c r="H110" s="3243">
        <v>430000000</v>
      </c>
      <c r="I110" s="2931" t="s">
        <v>2608</v>
      </c>
      <c r="J110" s="3258" t="s">
        <v>4901</v>
      </c>
    </row>
    <row r="111" spans="1:10" ht="30" customHeight="1" x14ac:dyDescent="0.2">
      <c r="A111" s="961"/>
      <c r="B111" s="953" t="s">
        <v>1194</v>
      </c>
      <c r="C111" s="955"/>
      <c r="D111" s="248" t="s">
        <v>2664</v>
      </c>
      <c r="E111" s="955" t="s">
        <v>881</v>
      </c>
      <c r="F111" s="954">
        <v>8000000</v>
      </c>
      <c r="G111" s="957"/>
      <c r="H111" s="954">
        <v>192000000</v>
      </c>
      <c r="I111" s="497" t="s">
        <v>2663</v>
      </c>
      <c r="J111" s="956"/>
    </row>
    <row r="112" spans="1:10" ht="30" customHeight="1" x14ac:dyDescent="0.2">
      <c r="A112" s="961"/>
      <c r="B112" s="953" t="s">
        <v>143</v>
      </c>
      <c r="C112" s="955"/>
      <c r="D112" s="248" t="s">
        <v>2116</v>
      </c>
      <c r="E112" s="955" t="s">
        <v>881</v>
      </c>
      <c r="F112" s="954"/>
      <c r="G112" s="957"/>
      <c r="H112" s="954">
        <v>600000000</v>
      </c>
      <c r="I112" s="497" t="s">
        <v>2665</v>
      </c>
      <c r="J112" s="956"/>
    </row>
    <row r="113" spans="1:10" ht="30" customHeight="1" x14ac:dyDescent="0.2">
      <c r="A113" s="961"/>
      <c r="B113" s="953" t="s">
        <v>2729</v>
      </c>
      <c r="C113" s="955"/>
      <c r="D113" s="248" t="s">
        <v>2733</v>
      </c>
      <c r="E113" s="955" t="s">
        <v>2730</v>
      </c>
      <c r="F113" s="954">
        <v>730000000</v>
      </c>
      <c r="G113" s="957"/>
      <c r="H113" s="954">
        <v>850000000</v>
      </c>
      <c r="I113" s="497" t="s">
        <v>2732</v>
      </c>
      <c r="J113" s="956" t="s">
        <v>2731</v>
      </c>
    </row>
    <row r="114" spans="1:10" ht="30" customHeight="1" x14ac:dyDescent="0.2">
      <c r="A114" s="1191"/>
      <c r="B114" s="1182" t="s">
        <v>2685</v>
      </c>
      <c r="C114" s="1185"/>
      <c r="D114" s="248"/>
      <c r="E114" s="1185" t="s">
        <v>2143</v>
      </c>
      <c r="F114" s="1184">
        <v>15000000</v>
      </c>
      <c r="G114" s="1183"/>
      <c r="H114" s="1184"/>
      <c r="I114" s="497"/>
      <c r="J114" s="1186"/>
    </row>
    <row r="115" spans="1:10" ht="30" customHeight="1" x14ac:dyDescent="0.2">
      <c r="A115" s="1241"/>
      <c r="B115" s="1229" t="s">
        <v>2963</v>
      </c>
      <c r="C115" s="1232"/>
      <c r="D115" s="248" t="s">
        <v>2964</v>
      </c>
      <c r="E115" s="1232" t="s">
        <v>2965</v>
      </c>
      <c r="F115" s="1231">
        <v>200000000</v>
      </c>
      <c r="G115" s="1234"/>
      <c r="H115" s="1231">
        <v>284000000</v>
      </c>
      <c r="I115" s="497" t="s">
        <v>2966</v>
      </c>
      <c r="J115" s="1233" t="s">
        <v>2967</v>
      </c>
    </row>
    <row r="116" spans="1:10" ht="30" customHeight="1" x14ac:dyDescent="0.2">
      <c r="A116" s="1241"/>
      <c r="B116" s="1229" t="s">
        <v>3041</v>
      </c>
      <c r="C116" s="1232"/>
      <c r="D116" s="248" t="s">
        <v>3042</v>
      </c>
      <c r="E116" s="1232" t="s">
        <v>928</v>
      </c>
      <c r="F116" s="1231">
        <v>10000000</v>
      </c>
      <c r="G116" s="1234"/>
      <c r="H116" s="1231">
        <v>50000000</v>
      </c>
      <c r="I116" s="497" t="s">
        <v>3043</v>
      </c>
      <c r="J116" s="1233"/>
    </row>
    <row r="117" spans="1:10" ht="30" customHeight="1" x14ac:dyDescent="0.2">
      <c r="A117" s="1241"/>
      <c r="B117" s="1229" t="s">
        <v>3087</v>
      </c>
      <c r="C117" s="1232" t="s">
        <v>2711</v>
      </c>
      <c r="D117" s="248"/>
      <c r="E117" s="1232" t="s">
        <v>1618</v>
      </c>
      <c r="F117" s="1231">
        <v>150000000</v>
      </c>
      <c r="G117" s="1234"/>
      <c r="H117" s="1231"/>
      <c r="I117" s="497"/>
      <c r="J117" s="1233" t="s">
        <v>3088</v>
      </c>
    </row>
    <row r="118" spans="1:10" ht="30" customHeight="1" x14ac:dyDescent="0.2">
      <c r="A118" s="1301"/>
      <c r="B118" s="1291" t="s">
        <v>3136</v>
      </c>
      <c r="C118" s="1294" t="s">
        <v>3137</v>
      </c>
      <c r="D118" s="248" t="s">
        <v>3138</v>
      </c>
      <c r="E118" s="1294" t="s">
        <v>1260</v>
      </c>
      <c r="F118" s="1293">
        <v>20000000</v>
      </c>
      <c r="G118" s="1292"/>
      <c r="H118" s="1293">
        <v>23600000</v>
      </c>
      <c r="I118" s="497" t="s">
        <v>3163</v>
      </c>
      <c r="J118" s="1295"/>
    </row>
    <row r="119" spans="1:10" ht="30" customHeight="1" x14ac:dyDescent="0.2">
      <c r="A119" s="1318"/>
      <c r="B119" s="1303" t="s">
        <v>3159</v>
      </c>
      <c r="C119" s="1306" t="s">
        <v>3032</v>
      </c>
      <c r="D119" s="248" t="s">
        <v>3160</v>
      </c>
      <c r="E119" s="1306" t="s">
        <v>1649</v>
      </c>
      <c r="F119" s="1305">
        <v>100000000</v>
      </c>
      <c r="G119" s="1308"/>
      <c r="H119" s="1305">
        <v>114000000</v>
      </c>
      <c r="I119" s="497" t="s">
        <v>3161</v>
      </c>
      <c r="J119" s="1307" t="s">
        <v>3162</v>
      </c>
    </row>
    <row r="120" spans="1:10" ht="30" customHeight="1" x14ac:dyDescent="0.2">
      <c r="A120" s="1344"/>
      <c r="B120" s="1326" t="s">
        <v>3208</v>
      </c>
      <c r="C120" s="1329" t="s">
        <v>3010</v>
      </c>
      <c r="D120" s="248" t="s">
        <v>3210</v>
      </c>
      <c r="E120" s="1329"/>
      <c r="F120" s="1328">
        <v>37000000</v>
      </c>
      <c r="G120" s="1331"/>
      <c r="H120" s="1328">
        <v>50000000</v>
      </c>
      <c r="I120" s="497" t="s">
        <v>3209</v>
      </c>
      <c r="J120" s="1330" t="s">
        <v>3211</v>
      </c>
    </row>
    <row r="121" spans="1:10" ht="30" customHeight="1" x14ac:dyDescent="0.2">
      <c r="A121" s="1344"/>
      <c r="B121" s="1326" t="s">
        <v>3214</v>
      </c>
      <c r="C121" s="1329" t="s">
        <v>3010</v>
      </c>
      <c r="D121" s="248" t="s">
        <v>3213</v>
      </c>
      <c r="E121" s="1329" t="s">
        <v>1649</v>
      </c>
      <c r="F121" s="1328">
        <v>90400000</v>
      </c>
      <c r="G121" s="1331"/>
      <c r="H121" s="1328">
        <v>101000000</v>
      </c>
      <c r="I121" s="497" t="s">
        <v>3212</v>
      </c>
      <c r="J121" s="1330"/>
    </row>
    <row r="122" spans="1:10" ht="30" customHeight="1" x14ac:dyDescent="0.2">
      <c r="A122" s="1344"/>
      <c r="B122" s="1326" t="s">
        <v>3215</v>
      </c>
      <c r="C122" s="1329" t="s">
        <v>3139</v>
      </c>
      <c r="D122" s="248" t="s">
        <v>3216</v>
      </c>
      <c r="E122" s="1329"/>
      <c r="F122" s="1328">
        <v>20000000</v>
      </c>
      <c r="G122" s="1331"/>
      <c r="H122" s="1328">
        <v>32000000</v>
      </c>
      <c r="I122" s="497" t="s">
        <v>3217</v>
      </c>
      <c r="J122" s="1330"/>
    </row>
    <row r="123" spans="1:10" ht="30" customHeight="1" x14ac:dyDescent="0.2">
      <c r="A123" s="1359"/>
      <c r="B123" s="1352" t="s">
        <v>3242</v>
      </c>
      <c r="C123" s="1354" t="s">
        <v>3236</v>
      </c>
      <c r="D123" s="248" t="s">
        <v>3244</v>
      </c>
      <c r="E123" s="1354" t="s">
        <v>3243</v>
      </c>
      <c r="F123" s="1353">
        <v>20000000</v>
      </c>
      <c r="G123" s="1356"/>
      <c r="H123" s="1353">
        <v>500000000</v>
      </c>
      <c r="I123" s="497" t="s">
        <v>3245</v>
      </c>
      <c r="J123" s="1355" t="s">
        <v>3246</v>
      </c>
    </row>
    <row r="124" spans="1:10" ht="30" customHeight="1" x14ac:dyDescent="0.2">
      <c r="A124" s="1359"/>
      <c r="B124" s="1352" t="s">
        <v>3248</v>
      </c>
      <c r="C124" s="1354" t="s">
        <v>3236</v>
      </c>
      <c r="D124" s="248" t="s">
        <v>3249</v>
      </c>
      <c r="E124" s="1354" t="s">
        <v>879</v>
      </c>
      <c r="F124" s="1353">
        <v>16000000</v>
      </c>
      <c r="G124" s="1356"/>
      <c r="H124" s="1353">
        <v>26000000</v>
      </c>
      <c r="I124" s="497" t="s">
        <v>3250</v>
      </c>
      <c r="J124" s="1355"/>
    </row>
    <row r="125" spans="1:10" ht="30" customHeight="1" x14ac:dyDescent="0.2">
      <c r="A125" s="1359"/>
      <c r="B125" s="1352" t="s">
        <v>3252</v>
      </c>
      <c r="C125" s="1354" t="s">
        <v>3236</v>
      </c>
      <c r="D125" s="248" t="s">
        <v>3251</v>
      </c>
      <c r="E125" s="1354" t="s">
        <v>2965</v>
      </c>
      <c r="F125" s="1353">
        <v>44000000</v>
      </c>
      <c r="G125" s="1356"/>
      <c r="H125" s="1353">
        <v>63000000</v>
      </c>
      <c r="I125" s="497" t="s">
        <v>3253</v>
      </c>
      <c r="J125" s="1355"/>
    </row>
    <row r="126" spans="1:10" ht="30" customHeight="1" x14ac:dyDescent="0.2">
      <c r="A126" s="1359"/>
      <c r="B126" s="1352" t="s">
        <v>3321</v>
      </c>
      <c r="C126" s="1354"/>
      <c r="D126" s="248" t="s">
        <v>3216</v>
      </c>
      <c r="E126" s="1354"/>
      <c r="F126" s="1353"/>
      <c r="G126" s="1356"/>
      <c r="H126" s="1353">
        <v>150000000</v>
      </c>
      <c r="I126" s="497" t="s">
        <v>3322</v>
      </c>
      <c r="J126" s="900" t="s">
        <v>3323</v>
      </c>
    </row>
    <row r="127" spans="1:10" ht="30" customHeight="1" x14ac:dyDescent="0.2">
      <c r="A127" s="1359"/>
      <c r="B127" s="1352" t="s">
        <v>33</v>
      </c>
      <c r="C127" s="1354"/>
      <c r="D127" s="248" t="s">
        <v>3394</v>
      </c>
      <c r="E127" s="1354" t="s">
        <v>928</v>
      </c>
      <c r="F127" s="1353">
        <v>18700000</v>
      </c>
      <c r="G127" s="1356"/>
      <c r="H127" s="1353">
        <v>100000000</v>
      </c>
      <c r="I127" s="497" t="s">
        <v>3395</v>
      </c>
      <c r="J127" s="1355"/>
    </row>
    <row r="128" spans="1:10" ht="30" customHeight="1" x14ac:dyDescent="0.2">
      <c r="A128" s="1429"/>
      <c r="B128" s="1416" t="s">
        <v>2767</v>
      </c>
      <c r="C128" s="1419" t="s">
        <v>3349</v>
      </c>
      <c r="D128" s="248" t="s">
        <v>3419</v>
      </c>
      <c r="E128" s="1419" t="s">
        <v>1618</v>
      </c>
      <c r="F128" s="1418">
        <v>11000000</v>
      </c>
      <c r="G128" s="1417"/>
      <c r="H128" s="1418">
        <v>15000000</v>
      </c>
      <c r="I128" s="497" t="s">
        <v>3420</v>
      </c>
      <c r="J128" s="1420"/>
    </row>
    <row r="129" spans="1:10" ht="30" customHeight="1" x14ac:dyDescent="0.2">
      <c r="A129" s="1429"/>
      <c r="B129" s="1416" t="s">
        <v>3494</v>
      </c>
      <c r="C129" s="1419" t="s">
        <v>3498</v>
      </c>
      <c r="D129" s="248" t="s">
        <v>3496</v>
      </c>
      <c r="E129" s="1419" t="s">
        <v>3495</v>
      </c>
      <c r="F129" s="1418">
        <v>15000000</v>
      </c>
      <c r="G129" s="1417"/>
      <c r="H129" s="1418">
        <v>21000000</v>
      </c>
      <c r="I129" s="497" t="s">
        <v>3497</v>
      </c>
      <c r="J129" s="1420"/>
    </row>
    <row r="130" spans="1:10" ht="30" customHeight="1" x14ac:dyDescent="0.2">
      <c r="A130" s="1429"/>
      <c r="B130" s="1627" t="s">
        <v>3596</v>
      </c>
      <c r="C130" s="1419"/>
      <c r="D130" s="248" t="s">
        <v>3643</v>
      </c>
      <c r="E130" s="1419"/>
      <c r="F130" s="1418">
        <v>102000000</v>
      </c>
      <c r="G130" s="1417"/>
      <c r="H130" s="1418">
        <v>140000000</v>
      </c>
      <c r="I130" s="497" t="s">
        <v>3644</v>
      </c>
      <c r="J130" s="1420"/>
    </row>
    <row r="131" spans="1:10" ht="30" customHeight="1" x14ac:dyDescent="0.2">
      <c r="A131" s="3450"/>
      <c r="B131" s="3457" t="s">
        <v>3677</v>
      </c>
      <c r="C131" s="1419"/>
      <c r="D131" s="248" t="s">
        <v>3679</v>
      </c>
      <c r="E131" s="1419" t="s">
        <v>881</v>
      </c>
      <c r="F131" s="1418">
        <v>20000000</v>
      </c>
      <c r="G131" s="1417"/>
      <c r="H131" s="1418">
        <v>480000000</v>
      </c>
      <c r="I131" s="497" t="s">
        <v>3678</v>
      </c>
      <c r="J131" s="1420"/>
    </row>
    <row r="132" spans="1:10" ht="30" customHeight="1" x14ac:dyDescent="0.2">
      <c r="A132" s="3451"/>
      <c r="B132" s="3458"/>
      <c r="C132" s="1696"/>
      <c r="D132" s="248" t="s">
        <v>3680</v>
      </c>
      <c r="E132" s="1696" t="s">
        <v>928</v>
      </c>
      <c r="F132" s="1695">
        <v>20000000</v>
      </c>
      <c r="G132" s="1692"/>
      <c r="H132" s="1695">
        <v>100000000</v>
      </c>
      <c r="I132" s="497" t="s">
        <v>3681</v>
      </c>
      <c r="J132" s="1698"/>
    </row>
    <row r="133" spans="1:10" ht="30" customHeight="1" x14ac:dyDescent="0.2">
      <c r="A133" s="1725"/>
      <c r="B133" s="1724" t="s">
        <v>3730</v>
      </c>
      <c r="C133" s="1728"/>
      <c r="D133" s="248" t="s">
        <v>3731</v>
      </c>
      <c r="E133" s="1728" t="s">
        <v>879</v>
      </c>
      <c r="F133" s="1727">
        <v>40000000</v>
      </c>
      <c r="G133" s="1726"/>
      <c r="H133" s="1727">
        <v>66000000</v>
      </c>
      <c r="I133" s="497" t="s">
        <v>3732</v>
      </c>
      <c r="J133" s="1730"/>
    </row>
    <row r="134" spans="1:10" ht="30" customHeight="1" x14ac:dyDescent="0.2">
      <c r="A134" s="1725"/>
      <c r="B134" s="1724" t="s">
        <v>3738</v>
      </c>
      <c r="C134" s="1728"/>
      <c r="D134" s="248" t="s">
        <v>3739</v>
      </c>
      <c r="E134" s="1728" t="s">
        <v>879</v>
      </c>
      <c r="F134" s="1727">
        <v>50000000</v>
      </c>
      <c r="G134" s="1726"/>
      <c r="H134" s="1727">
        <v>86000000</v>
      </c>
      <c r="I134" s="497" t="s">
        <v>3740</v>
      </c>
      <c r="J134" s="1730"/>
    </row>
    <row r="135" spans="1:10" ht="30" customHeight="1" x14ac:dyDescent="0.2">
      <c r="A135" s="1725"/>
      <c r="B135" s="1724" t="s">
        <v>3751</v>
      </c>
      <c r="C135" s="1728"/>
      <c r="D135" s="248" t="s">
        <v>3752</v>
      </c>
      <c r="E135" s="1728" t="s">
        <v>1227</v>
      </c>
      <c r="F135" s="1727">
        <v>15000000</v>
      </c>
      <c r="G135" s="1726"/>
      <c r="H135" s="1727">
        <v>75000000</v>
      </c>
      <c r="I135" s="497" t="s">
        <v>3753</v>
      </c>
      <c r="J135" s="1730"/>
    </row>
    <row r="136" spans="1:10" ht="30" customHeight="1" x14ac:dyDescent="0.2">
      <c r="A136" s="1725"/>
      <c r="B136" s="1724" t="s">
        <v>3763</v>
      </c>
      <c r="C136" s="1728"/>
      <c r="D136" s="248" t="s">
        <v>3765</v>
      </c>
      <c r="E136" s="1728" t="s">
        <v>881</v>
      </c>
      <c r="F136" s="1727">
        <v>2000000</v>
      </c>
      <c r="G136" s="1726"/>
      <c r="H136" s="1727">
        <v>50000000</v>
      </c>
      <c r="I136" s="497" t="s">
        <v>3764</v>
      </c>
      <c r="J136" s="1730"/>
    </row>
    <row r="137" spans="1:10" ht="30" customHeight="1" x14ac:dyDescent="0.2">
      <c r="A137" s="1725"/>
      <c r="B137" s="1750" t="s">
        <v>1647</v>
      </c>
      <c r="C137" s="1761"/>
      <c r="D137" s="1762" t="s">
        <v>3772</v>
      </c>
      <c r="E137" s="1761"/>
      <c r="F137" s="1748">
        <v>40000000</v>
      </c>
      <c r="G137" s="1749"/>
      <c r="H137" s="1748">
        <v>50000000</v>
      </c>
      <c r="I137" s="1763" t="s">
        <v>3773</v>
      </c>
      <c r="J137" s="1730"/>
    </row>
    <row r="138" spans="1:10" ht="30" customHeight="1" x14ac:dyDescent="0.2">
      <c r="A138" s="1725"/>
      <c r="B138" s="1724" t="s">
        <v>3774</v>
      </c>
      <c r="C138" s="1728"/>
      <c r="D138" s="248" t="s">
        <v>3775</v>
      </c>
      <c r="E138" s="1728" t="s">
        <v>879</v>
      </c>
      <c r="F138" s="1727">
        <v>20000000</v>
      </c>
      <c r="G138" s="1726"/>
      <c r="H138" s="1727">
        <v>32000000</v>
      </c>
      <c r="I138" s="497" t="s">
        <v>3776</v>
      </c>
      <c r="J138" s="1730"/>
    </row>
    <row r="139" spans="1:10" ht="30" customHeight="1" x14ac:dyDescent="0.2">
      <c r="A139" s="2301"/>
      <c r="B139" s="2302" t="s">
        <v>4341</v>
      </c>
      <c r="C139" s="2303" t="s">
        <v>4261</v>
      </c>
      <c r="D139" s="248"/>
      <c r="E139" s="2303" t="s">
        <v>928</v>
      </c>
      <c r="F139" s="2309">
        <v>15000000</v>
      </c>
      <c r="G139" s="2306"/>
      <c r="H139" s="2309"/>
      <c r="I139" s="497"/>
      <c r="J139" s="2304" t="s">
        <v>4342</v>
      </c>
    </row>
    <row r="140" spans="1:10" ht="30" customHeight="1" x14ac:dyDescent="0.2">
      <c r="A140" s="1739"/>
      <c r="B140" s="1738" t="s">
        <v>3777</v>
      </c>
      <c r="C140" s="1744"/>
      <c r="D140" s="248" t="s">
        <v>3778</v>
      </c>
      <c r="E140" s="1744" t="s">
        <v>881</v>
      </c>
      <c r="F140" s="1743">
        <v>25000000</v>
      </c>
      <c r="G140" s="1742"/>
      <c r="H140" s="1743">
        <v>600000000</v>
      </c>
      <c r="I140" s="497" t="s">
        <v>3779</v>
      </c>
      <c r="J140" s="1747"/>
    </row>
    <row r="141" spans="1:10" ht="30" customHeight="1" x14ac:dyDescent="0.2">
      <c r="A141" s="1739"/>
      <c r="B141" s="1738" t="s">
        <v>3780</v>
      </c>
      <c r="C141" s="1744"/>
      <c r="D141" s="248" t="s">
        <v>3781</v>
      </c>
      <c r="E141" s="1744" t="s">
        <v>881</v>
      </c>
      <c r="F141" s="1743">
        <v>5000000</v>
      </c>
      <c r="G141" s="1742"/>
      <c r="H141" s="1743">
        <v>120000000</v>
      </c>
      <c r="I141" s="497" t="s">
        <v>3782</v>
      </c>
      <c r="J141" s="1747"/>
    </row>
    <row r="142" spans="1:10" ht="30" customHeight="1" x14ac:dyDescent="0.2">
      <c r="A142" s="1739"/>
      <c r="B142" s="1738" t="s">
        <v>3783</v>
      </c>
      <c r="C142" s="1744"/>
      <c r="D142" s="248" t="s">
        <v>3785</v>
      </c>
      <c r="E142" s="1744" t="s">
        <v>881</v>
      </c>
      <c r="F142" s="1743">
        <v>7000000</v>
      </c>
      <c r="G142" s="1742"/>
      <c r="H142" s="1743">
        <v>168000000</v>
      </c>
      <c r="I142" s="497" t="s">
        <v>3784</v>
      </c>
      <c r="J142" s="1747"/>
    </row>
    <row r="143" spans="1:10" ht="30" customHeight="1" x14ac:dyDescent="0.2">
      <c r="A143" s="1739"/>
      <c r="B143" s="1738" t="s">
        <v>3786</v>
      </c>
      <c r="C143" s="1744"/>
      <c r="D143" s="248" t="s">
        <v>3788</v>
      </c>
      <c r="E143" s="1744" t="s">
        <v>1227</v>
      </c>
      <c r="F143" s="1743">
        <v>20000000</v>
      </c>
      <c r="G143" s="1742"/>
      <c r="H143" s="1743">
        <v>100000000</v>
      </c>
      <c r="I143" s="497" t="s">
        <v>3787</v>
      </c>
      <c r="J143" s="1747"/>
    </row>
    <row r="144" spans="1:10" ht="30" customHeight="1" x14ac:dyDescent="0.2">
      <c r="A144" s="1725"/>
      <c r="B144" s="1724" t="s">
        <v>3789</v>
      </c>
      <c r="C144" s="1728"/>
      <c r="D144" s="248" t="s">
        <v>3790</v>
      </c>
      <c r="E144" s="1728" t="s">
        <v>1227</v>
      </c>
      <c r="F144" s="1727">
        <v>20000000</v>
      </c>
      <c r="G144" s="1726"/>
      <c r="H144" s="1727">
        <v>100000000</v>
      </c>
      <c r="I144" s="497" t="s">
        <v>3791</v>
      </c>
      <c r="J144" s="1730"/>
    </row>
    <row r="145" spans="1:13" ht="30" customHeight="1" x14ac:dyDescent="0.2">
      <c r="A145" s="1739"/>
      <c r="B145" s="1738" t="s">
        <v>3792</v>
      </c>
      <c r="C145" s="1744"/>
      <c r="D145" s="248" t="s">
        <v>3794</v>
      </c>
      <c r="E145" s="1744" t="s">
        <v>881</v>
      </c>
      <c r="F145" s="1743">
        <v>5000000</v>
      </c>
      <c r="G145" s="1742"/>
      <c r="H145" s="1743">
        <v>120000000</v>
      </c>
      <c r="I145" s="497" t="s">
        <v>3793</v>
      </c>
      <c r="J145" s="1747"/>
    </row>
    <row r="146" spans="1:13" ht="30" customHeight="1" x14ac:dyDescent="0.2">
      <c r="A146" s="1739"/>
      <c r="B146" s="1738" t="s">
        <v>3795</v>
      </c>
      <c r="C146" s="1744"/>
      <c r="D146" s="248" t="s">
        <v>3796</v>
      </c>
      <c r="E146" s="1744" t="s">
        <v>881</v>
      </c>
      <c r="F146" s="1743">
        <v>5000000</v>
      </c>
      <c r="G146" s="1742"/>
      <c r="H146" s="1743">
        <v>120000000</v>
      </c>
      <c r="I146" s="497" t="s">
        <v>3797</v>
      </c>
      <c r="J146" s="1747"/>
    </row>
    <row r="147" spans="1:13" ht="30" customHeight="1" x14ac:dyDescent="0.2">
      <c r="A147" s="1792"/>
      <c r="B147" s="1791" t="s">
        <v>3836</v>
      </c>
      <c r="C147" s="1795"/>
      <c r="D147" s="248"/>
      <c r="E147" s="1795" t="s">
        <v>3834</v>
      </c>
      <c r="F147" s="1794">
        <v>885000000</v>
      </c>
      <c r="G147" s="1793"/>
      <c r="H147" s="1794">
        <f>F147+160000000</f>
        <v>1045000000</v>
      </c>
      <c r="I147" s="497" t="s">
        <v>3835</v>
      </c>
      <c r="J147" s="1796"/>
    </row>
    <row r="148" spans="1:13" ht="30" customHeight="1" x14ac:dyDescent="0.2">
      <c r="A148" s="1081"/>
      <c r="B148" s="22" t="s">
        <v>122</v>
      </c>
      <c r="C148" s="1876"/>
      <c r="D148" s="248"/>
      <c r="E148" s="1876" t="s">
        <v>928</v>
      </c>
      <c r="F148" s="1881">
        <v>50000000</v>
      </c>
      <c r="G148" s="1880"/>
      <c r="H148" s="1881"/>
      <c r="I148" s="1763" t="s">
        <v>3999</v>
      </c>
      <c r="J148" s="1882"/>
    </row>
    <row r="149" spans="1:13" ht="30" customHeight="1" x14ac:dyDescent="0.2">
      <c r="A149" s="3450"/>
      <c r="B149" s="3457" t="s">
        <v>4000</v>
      </c>
      <c r="C149" s="1876"/>
      <c r="D149" s="248" t="s">
        <v>3216</v>
      </c>
      <c r="E149" s="1876" t="s">
        <v>879</v>
      </c>
      <c r="F149" s="1881">
        <v>300000000</v>
      </c>
      <c r="G149" s="1880"/>
      <c r="H149" s="1881">
        <v>450000000</v>
      </c>
      <c r="I149" s="497" t="s">
        <v>4001</v>
      </c>
      <c r="J149" s="1882"/>
    </row>
    <row r="150" spans="1:13" ht="30" customHeight="1" x14ac:dyDescent="0.2">
      <c r="A150" s="3451"/>
      <c r="B150" s="3458"/>
      <c r="C150" s="1895"/>
      <c r="D150" s="1762"/>
      <c r="E150" s="1761" t="s">
        <v>1618</v>
      </c>
      <c r="F150" s="1898"/>
      <c r="G150" s="1899"/>
      <c r="H150" s="1898">
        <v>165000000</v>
      </c>
      <c r="I150" s="1763" t="s">
        <v>4002</v>
      </c>
      <c r="J150" s="1896"/>
    </row>
    <row r="151" spans="1:13" ht="30" customHeight="1" x14ac:dyDescent="0.2">
      <c r="A151" s="1878"/>
      <c r="B151" s="1877" t="s">
        <v>36</v>
      </c>
      <c r="C151" s="1876"/>
      <c r="D151" s="248"/>
      <c r="E151" s="1876" t="s">
        <v>881</v>
      </c>
      <c r="F151" s="1881">
        <v>30000000</v>
      </c>
      <c r="G151" s="1880"/>
      <c r="H151" s="1881">
        <v>714000000</v>
      </c>
      <c r="I151" s="497" t="s">
        <v>3984</v>
      </c>
      <c r="J151" s="1882"/>
    </row>
    <row r="152" spans="1:13" ht="30" customHeight="1" x14ac:dyDescent="0.2">
      <c r="A152" s="1878"/>
      <c r="B152" s="1877" t="s">
        <v>3986</v>
      </c>
      <c r="C152" s="1876"/>
      <c r="D152" s="248" t="s">
        <v>1321</v>
      </c>
      <c r="E152" s="1876" t="s">
        <v>3989</v>
      </c>
      <c r="F152" s="1881">
        <v>1000000000</v>
      </c>
      <c r="G152" s="1880"/>
      <c r="H152" s="1881">
        <v>1560000000</v>
      </c>
      <c r="I152" s="497" t="s">
        <v>3990</v>
      </c>
      <c r="J152" s="1882"/>
    </row>
    <row r="153" spans="1:13" ht="30" customHeight="1" x14ac:dyDescent="0.2">
      <c r="A153" s="1891"/>
      <c r="B153" s="1890" t="s">
        <v>851</v>
      </c>
      <c r="C153" s="1895" t="s">
        <v>3010</v>
      </c>
      <c r="D153" s="248" t="s">
        <v>4003</v>
      </c>
      <c r="E153" s="1895" t="s">
        <v>1260</v>
      </c>
      <c r="F153" s="1894">
        <v>1020000000</v>
      </c>
      <c r="G153" s="1892"/>
      <c r="H153" s="1894">
        <v>1220000000</v>
      </c>
      <c r="I153" s="497" t="s">
        <v>4004</v>
      </c>
      <c r="J153" s="1896"/>
    </row>
    <row r="154" spans="1:13" ht="30" customHeight="1" x14ac:dyDescent="0.2">
      <c r="A154" s="1891"/>
      <c r="B154" s="1890" t="s">
        <v>4007</v>
      </c>
      <c r="C154" s="1895" t="s">
        <v>4031</v>
      </c>
      <c r="D154" s="248" t="s">
        <v>4037</v>
      </c>
      <c r="E154" s="1895" t="s">
        <v>1260</v>
      </c>
      <c r="F154" s="1894">
        <v>100000000</v>
      </c>
      <c r="G154" s="1892"/>
      <c r="H154" s="1894">
        <v>118000000</v>
      </c>
      <c r="I154" s="497" t="s">
        <v>4038</v>
      </c>
      <c r="J154" s="1896"/>
    </row>
    <row r="155" spans="1:13" ht="30" customHeight="1" x14ac:dyDescent="0.2">
      <c r="A155" s="1891"/>
      <c r="B155" s="1890" t="s">
        <v>3214</v>
      </c>
      <c r="C155" s="1895"/>
      <c r="D155" s="248" t="s">
        <v>4176</v>
      </c>
      <c r="E155" s="1895" t="s">
        <v>2250</v>
      </c>
      <c r="F155" s="1894">
        <v>100000000</v>
      </c>
      <c r="G155" s="1892"/>
      <c r="H155" s="1894">
        <v>200000000</v>
      </c>
      <c r="I155" s="497" t="s">
        <v>4175</v>
      </c>
      <c r="J155" s="3478" t="s">
        <v>4174</v>
      </c>
      <c r="K155" s="3479"/>
      <c r="L155" s="3479"/>
      <c r="M155" s="3480"/>
    </row>
    <row r="156" spans="1:13" ht="30" customHeight="1" x14ac:dyDescent="0.2">
      <c r="A156" s="1891"/>
      <c r="B156" s="2216" t="s">
        <v>3364</v>
      </c>
      <c r="C156" s="1895"/>
      <c r="D156" s="248"/>
      <c r="E156" s="1895" t="s">
        <v>928</v>
      </c>
      <c r="F156" s="2217">
        <v>11000000</v>
      </c>
      <c r="G156" s="2218"/>
      <c r="H156" s="2217">
        <v>55000000</v>
      </c>
      <c r="I156" s="497"/>
      <c r="J156" s="1896"/>
    </row>
    <row r="157" spans="1:13" ht="30" customHeight="1" x14ac:dyDescent="0.2">
      <c r="A157" s="2209"/>
      <c r="B157" s="2216" t="s">
        <v>4213</v>
      </c>
      <c r="C157" s="2213" t="s">
        <v>4201</v>
      </c>
      <c r="D157" s="248" t="s">
        <v>4214</v>
      </c>
      <c r="E157" s="2213" t="s">
        <v>881</v>
      </c>
      <c r="F157" s="2212"/>
      <c r="G157" s="2211"/>
      <c r="H157" s="2212">
        <v>1700000000</v>
      </c>
      <c r="I157" s="497"/>
      <c r="J157" s="2215"/>
    </row>
    <row r="158" spans="1:13" ht="30" customHeight="1" x14ac:dyDescent="0.2">
      <c r="A158" s="3450"/>
      <c r="B158" s="3448" t="s">
        <v>4242</v>
      </c>
      <c r="C158" s="3181"/>
      <c r="D158" s="972" t="s">
        <v>4244</v>
      </c>
      <c r="E158" s="3181" t="s">
        <v>879</v>
      </c>
      <c r="F158" s="3177">
        <v>30000000</v>
      </c>
      <c r="G158" s="3180"/>
      <c r="H158" s="3177">
        <v>43000000</v>
      </c>
      <c r="I158" s="526" t="s">
        <v>4243</v>
      </c>
      <c r="J158" s="3185"/>
    </row>
    <row r="159" spans="1:13" ht="30" customHeight="1" x14ac:dyDescent="0.2">
      <c r="A159" s="3456"/>
      <c r="B159" s="3476"/>
      <c r="C159" s="3464"/>
      <c r="D159" s="3464"/>
      <c r="E159" s="3464" t="s">
        <v>879</v>
      </c>
      <c r="F159" s="3023">
        <v>17000000</v>
      </c>
      <c r="G159" s="3022"/>
      <c r="H159" s="3023">
        <v>28000000</v>
      </c>
      <c r="I159" s="3472"/>
      <c r="J159" s="3047" t="s">
        <v>4774</v>
      </c>
    </row>
    <row r="160" spans="1:13" ht="30" customHeight="1" x14ac:dyDescent="0.2">
      <c r="A160" s="3456"/>
      <c r="B160" s="3476"/>
      <c r="C160" s="3477"/>
      <c r="D160" s="3477"/>
      <c r="E160" s="3477"/>
      <c r="F160" s="3023">
        <v>3000000</v>
      </c>
      <c r="G160" s="3022"/>
      <c r="H160" s="3023">
        <v>5000000</v>
      </c>
      <c r="I160" s="3483"/>
      <c r="J160" s="3484" t="s">
        <v>4775</v>
      </c>
    </row>
    <row r="161" spans="1:10" ht="30" customHeight="1" x14ac:dyDescent="0.2">
      <c r="A161" s="3451"/>
      <c r="B161" s="3449"/>
      <c r="C161" s="3465"/>
      <c r="D161" s="3465"/>
      <c r="E161" s="3465"/>
      <c r="F161" s="3023">
        <v>5000000</v>
      </c>
      <c r="G161" s="3022"/>
      <c r="H161" s="3023">
        <v>6500000</v>
      </c>
      <c r="I161" s="3473"/>
      <c r="J161" s="3485"/>
    </row>
    <row r="162" spans="1:10" ht="30" customHeight="1" x14ac:dyDescent="0.2">
      <c r="A162" s="2209"/>
      <c r="B162" s="2216" t="s">
        <v>865</v>
      </c>
      <c r="C162" s="2213"/>
      <c r="D162" s="248" t="s">
        <v>4246</v>
      </c>
      <c r="E162" s="2213" t="s">
        <v>1618</v>
      </c>
      <c r="F162" s="2212">
        <v>200000000</v>
      </c>
      <c r="G162" s="2211"/>
      <c r="H162" s="2212">
        <v>272000000</v>
      </c>
      <c r="I162" s="28" t="s">
        <v>4245</v>
      </c>
      <c r="J162" s="2215"/>
    </row>
    <row r="163" spans="1:10" ht="30" customHeight="1" x14ac:dyDescent="0.2">
      <c r="A163" s="2209"/>
      <c r="B163" s="2289" t="s">
        <v>4312</v>
      </c>
      <c r="C163" s="2213"/>
      <c r="D163" s="248" t="s">
        <v>4310</v>
      </c>
      <c r="E163" s="2213"/>
      <c r="F163" s="2212">
        <v>203000000</v>
      </c>
      <c r="G163" s="2211"/>
      <c r="H163" s="2212">
        <v>280000000</v>
      </c>
      <c r="I163" s="28" t="s">
        <v>4311</v>
      </c>
      <c r="J163" s="2215"/>
    </row>
    <row r="164" spans="1:10" ht="30" customHeight="1" x14ac:dyDescent="0.2">
      <c r="A164" s="2209"/>
      <c r="B164" s="2216" t="s">
        <v>4077</v>
      </c>
      <c r="C164" s="2213" t="s">
        <v>4156</v>
      </c>
      <c r="D164" s="248" t="s">
        <v>4350</v>
      </c>
      <c r="E164" s="2213" t="s">
        <v>928</v>
      </c>
      <c r="F164" s="2212">
        <v>100000000</v>
      </c>
      <c r="G164" s="2211"/>
      <c r="H164" s="2212">
        <v>500000000</v>
      </c>
      <c r="I164" s="497"/>
      <c r="J164" s="2215"/>
    </row>
    <row r="165" spans="1:10" ht="30" customHeight="1" x14ac:dyDescent="0.2">
      <c r="A165" s="2209"/>
      <c r="B165" s="2216" t="s">
        <v>4353</v>
      </c>
      <c r="C165" s="2213"/>
      <c r="D165" s="248"/>
      <c r="E165" s="2213" t="s">
        <v>879</v>
      </c>
      <c r="F165" s="2212">
        <v>38000000</v>
      </c>
      <c r="G165" s="2211"/>
      <c r="H165" s="2212">
        <v>61000000</v>
      </c>
      <c r="I165" s="497" t="s">
        <v>4354</v>
      </c>
      <c r="J165" s="2313" t="s">
        <v>4355</v>
      </c>
    </row>
    <row r="166" spans="1:10" ht="30" customHeight="1" x14ac:dyDescent="0.2">
      <c r="A166" s="2335"/>
      <c r="B166" s="2340" t="s">
        <v>4369</v>
      </c>
      <c r="C166" s="2338" t="s">
        <v>4330</v>
      </c>
      <c r="D166" s="248" t="s">
        <v>4371</v>
      </c>
      <c r="E166" s="2338" t="s">
        <v>879</v>
      </c>
      <c r="F166" s="2337">
        <v>470000000</v>
      </c>
      <c r="G166" s="2336"/>
      <c r="H166" s="2337">
        <f>470000000+336000000</f>
        <v>806000000</v>
      </c>
      <c r="I166" s="497"/>
      <c r="J166" s="2339" t="s">
        <v>4372</v>
      </c>
    </row>
    <row r="167" spans="1:10" ht="30" customHeight="1" x14ac:dyDescent="0.2">
      <c r="A167" s="2335"/>
      <c r="B167" s="2340" t="s">
        <v>4445</v>
      </c>
      <c r="C167" s="2338" t="s">
        <v>4447</v>
      </c>
      <c r="D167" s="248" t="s">
        <v>4446</v>
      </c>
      <c r="E167" s="2338" t="s">
        <v>881</v>
      </c>
      <c r="F167" s="2337">
        <v>20000000</v>
      </c>
      <c r="G167" s="2336"/>
      <c r="H167" s="2337">
        <v>500000000</v>
      </c>
      <c r="I167" s="497" t="s">
        <v>4448</v>
      </c>
      <c r="J167" s="2339" t="s">
        <v>4450</v>
      </c>
    </row>
    <row r="168" spans="1:10" ht="30" customHeight="1" x14ac:dyDescent="0.2">
      <c r="A168" s="2335"/>
      <c r="B168" s="2340" t="s">
        <v>4451</v>
      </c>
      <c r="C168" s="2338"/>
      <c r="D168" s="248" t="s">
        <v>3244</v>
      </c>
      <c r="E168" s="2338" t="s">
        <v>881</v>
      </c>
      <c r="F168" s="2337">
        <v>10000000</v>
      </c>
      <c r="G168" s="2336"/>
      <c r="H168" s="2337">
        <v>240000000</v>
      </c>
      <c r="I168" s="497" t="s">
        <v>4452</v>
      </c>
      <c r="J168" s="2339"/>
    </row>
    <row r="169" spans="1:10" ht="30" customHeight="1" x14ac:dyDescent="0.2">
      <c r="A169" s="2335"/>
      <c r="B169" s="3018"/>
      <c r="C169" s="3021"/>
      <c r="D169" s="248"/>
      <c r="E169" s="3021"/>
      <c r="F169" s="3020"/>
      <c r="G169" s="3019"/>
      <c r="H169" s="3020"/>
      <c r="I169" s="497"/>
      <c r="J169" s="2339"/>
    </row>
    <row r="170" spans="1:10" ht="30" customHeight="1" x14ac:dyDescent="0.2">
      <c r="A170" s="2335"/>
      <c r="B170" s="2340" t="s">
        <v>3596</v>
      </c>
      <c r="C170" s="2338" t="s">
        <v>4480</v>
      </c>
      <c r="D170" s="248" t="s">
        <v>4479</v>
      </c>
      <c r="E170" s="2338" t="s">
        <v>879</v>
      </c>
      <c r="F170" s="2337">
        <v>260000000</v>
      </c>
      <c r="G170" s="2336"/>
      <c r="H170" s="2337">
        <v>510000000</v>
      </c>
      <c r="I170" s="497" t="s">
        <v>4478</v>
      </c>
      <c r="J170" s="2339"/>
    </row>
    <row r="171" spans="1:10" ht="30" customHeight="1" x14ac:dyDescent="0.2">
      <c r="A171" s="2788"/>
      <c r="B171" s="2801" t="s">
        <v>4538</v>
      </c>
      <c r="C171" s="2790" t="s">
        <v>4536</v>
      </c>
      <c r="D171" s="248" t="s">
        <v>4542</v>
      </c>
      <c r="E171" s="2790" t="s">
        <v>3919</v>
      </c>
      <c r="F171" s="2792">
        <v>50000000</v>
      </c>
      <c r="G171" s="2793"/>
      <c r="H171" s="2792">
        <v>300000000</v>
      </c>
      <c r="I171" s="497" t="s">
        <v>4539</v>
      </c>
      <c r="J171" s="2806" t="s">
        <v>4540</v>
      </c>
    </row>
    <row r="172" spans="1:10" ht="30" customHeight="1" x14ac:dyDescent="0.2">
      <c r="A172" s="2788"/>
      <c r="B172" s="2801" t="s">
        <v>4543</v>
      </c>
      <c r="C172" s="2790" t="s">
        <v>4536</v>
      </c>
      <c r="D172" s="248" t="s">
        <v>4542</v>
      </c>
      <c r="E172" s="2790" t="s">
        <v>3919</v>
      </c>
      <c r="F172" s="2792">
        <v>10000000</v>
      </c>
      <c r="G172" s="2793"/>
      <c r="H172" s="2792">
        <v>130000000</v>
      </c>
      <c r="I172" s="497" t="s">
        <v>4541</v>
      </c>
      <c r="J172" s="2806"/>
    </row>
    <row r="173" spans="1:10" ht="30" customHeight="1" x14ac:dyDescent="0.2">
      <c r="A173" s="2788"/>
      <c r="B173" s="2801" t="s">
        <v>4586</v>
      </c>
      <c r="C173" s="2790"/>
      <c r="D173" s="248"/>
      <c r="E173" s="2790"/>
      <c r="F173" s="2792">
        <v>30000000</v>
      </c>
      <c r="G173" s="2793"/>
      <c r="H173" s="2792"/>
      <c r="I173" s="497"/>
      <c r="J173" s="2806"/>
    </row>
    <row r="174" spans="1:10" ht="30" customHeight="1" x14ac:dyDescent="0.2">
      <c r="A174" s="2788"/>
      <c r="B174" s="2801" t="s">
        <v>4633</v>
      </c>
      <c r="C174" s="2790"/>
      <c r="D174" s="248" t="s">
        <v>4634</v>
      </c>
      <c r="E174" s="2790" t="s">
        <v>879</v>
      </c>
      <c r="F174" s="2792">
        <v>60000000</v>
      </c>
      <c r="G174" s="2793"/>
      <c r="H174" s="2792">
        <v>100000000</v>
      </c>
      <c r="I174" s="497" t="s">
        <v>4635</v>
      </c>
      <c r="J174" s="2806"/>
    </row>
    <row r="175" spans="1:10" ht="30" customHeight="1" x14ac:dyDescent="0.2">
      <c r="A175" s="2872"/>
      <c r="B175" s="2880" t="s">
        <v>4644</v>
      </c>
      <c r="C175" s="2874" t="s">
        <v>4003</v>
      </c>
      <c r="D175" s="248" t="s">
        <v>4646</v>
      </c>
      <c r="E175" s="2874" t="s">
        <v>1260</v>
      </c>
      <c r="F175" s="2877">
        <v>100000000</v>
      </c>
      <c r="G175" s="2879"/>
      <c r="H175" s="2877">
        <v>120000000</v>
      </c>
      <c r="I175" s="497" t="s">
        <v>4645</v>
      </c>
      <c r="J175" s="2883"/>
    </row>
    <row r="176" spans="1:10" ht="30" customHeight="1" x14ac:dyDescent="0.2">
      <c r="A176" s="3450"/>
      <c r="B176" s="3457" t="s">
        <v>4653</v>
      </c>
      <c r="C176" s="444" t="s">
        <v>4654</v>
      </c>
      <c r="D176" s="2930" t="s">
        <v>2603</v>
      </c>
      <c r="E176" s="444" t="s">
        <v>879</v>
      </c>
      <c r="F176" s="948">
        <v>10000000</v>
      </c>
      <c r="G176" s="2929"/>
      <c r="H176" s="948">
        <v>17000000</v>
      </c>
      <c r="I176" s="2931"/>
      <c r="J176" s="2932" t="s">
        <v>4655</v>
      </c>
    </row>
    <row r="177" spans="1:10" ht="30" customHeight="1" x14ac:dyDescent="0.2">
      <c r="A177" s="3451"/>
      <c r="B177" s="3458"/>
      <c r="C177" s="2874" t="s">
        <v>2603</v>
      </c>
      <c r="D177" s="248" t="s">
        <v>4656</v>
      </c>
      <c r="E177" s="2874" t="s">
        <v>2438</v>
      </c>
      <c r="F177" s="2877">
        <v>17000000</v>
      </c>
      <c r="G177" s="2879"/>
      <c r="H177" s="2877">
        <v>30000000</v>
      </c>
      <c r="I177" s="497" t="s">
        <v>4657</v>
      </c>
      <c r="J177" s="2883"/>
    </row>
    <row r="178" spans="1:10" ht="30" customHeight="1" x14ac:dyDescent="0.2">
      <c r="A178" s="2872"/>
      <c r="B178" s="2880" t="s">
        <v>4664</v>
      </c>
      <c r="C178" s="3446" t="s">
        <v>4630</v>
      </c>
      <c r="D178" s="3446" t="s">
        <v>4665</v>
      </c>
      <c r="E178" s="3446" t="s">
        <v>1618</v>
      </c>
      <c r="F178" s="3442">
        <v>300000000</v>
      </c>
      <c r="G178" s="3444"/>
      <c r="H178" s="3442">
        <v>390000000</v>
      </c>
      <c r="I178" s="497" t="s">
        <v>4666</v>
      </c>
      <c r="J178" s="2883"/>
    </row>
    <row r="179" spans="1:10" ht="30" customHeight="1" x14ac:dyDescent="0.2">
      <c r="A179" s="2872"/>
      <c r="B179" s="2880"/>
      <c r="C179" s="3447"/>
      <c r="D179" s="3447"/>
      <c r="E179" s="3447"/>
      <c r="F179" s="3443"/>
      <c r="G179" s="3445"/>
      <c r="H179" s="3443"/>
      <c r="I179" s="24" t="s">
        <v>4667</v>
      </c>
      <c r="J179" s="2883"/>
    </row>
    <row r="180" spans="1:10" ht="30" customHeight="1" x14ac:dyDescent="0.2">
      <c r="A180" s="3450"/>
      <c r="B180" s="3448" t="s">
        <v>4575</v>
      </c>
      <c r="C180" s="3122"/>
      <c r="D180" s="444" t="s">
        <v>4546</v>
      </c>
      <c r="E180" s="444" t="s">
        <v>1618</v>
      </c>
      <c r="F180" s="3144">
        <v>64000000</v>
      </c>
      <c r="G180" s="3146"/>
      <c r="H180" s="3144">
        <v>84000000</v>
      </c>
      <c r="I180" s="3173" t="s">
        <v>3990</v>
      </c>
      <c r="J180" s="2932" t="s">
        <v>4816</v>
      </c>
    </row>
    <row r="181" spans="1:10" ht="30" customHeight="1" x14ac:dyDescent="0.2">
      <c r="A181" s="3451"/>
      <c r="B181" s="3449"/>
      <c r="C181" s="2944"/>
      <c r="D181" s="2944" t="s">
        <v>4691</v>
      </c>
      <c r="E181" s="2944" t="s">
        <v>879</v>
      </c>
      <c r="F181" s="2943">
        <v>34000000</v>
      </c>
      <c r="G181" s="2941"/>
      <c r="H181" s="2943">
        <v>55000000</v>
      </c>
      <c r="I181" s="24" t="s">
        <v>4690</v>
      </c>
      <c r="J181" s="2348" t="s">
        <v>4576</v>
      </c>
    </row>
    <row r="182" spans="1:10" ht="30" customHeight="1" x14ac:dyDescent="0.2">
      <c r="A182" s="2940"/>
      <c r="B182" s="2946" t="s">
        <v>4732</v>
      </c>
      <c r="C182" s="2944" t="s">
        <v>3576</v>
      </c>
      <c r="D182" s="2944" t="s">
        <v>4733</v>
      </c>
      <c r="E182" s="2944" t="s">
        <v>928</v>
      </c>
      <c r="F182" s="2943">
        <v>50000000</v>
      </c>
      <c r="G182" s="2941"/>
      <c r="H182" s="2943">
        <v>250000000</v>
      </c>
      <c r="I182" s="24" t="s">
        <v>4717</v>
      </c>
      <c r="J182" s="2945"/>
    </row>
    <row r="183" spans="1:10" ht="30" customHeight="1" x14ac:dyDescent="0.2">
      <c r="A183" s="2940"/>
      <c r="B183" s="2946" t="s">
        <v>1376</v>
      </c>
      <c r="C183" s="2944"/>
      <c r="D183" s="2944" t="s">
        <v>4751</v>
      </c>
      <c r="E183" s="2944" t="s">
        <v>879</v>
      </c>
      <c r="F183" s="2943">
        <f>287000000+713000000</f>
        <v>1000000000</v>
      </c>
      <c r="G183" s="2941"/>
      <c r="H183" s="2943">
        <v>2150000000</v>
      </c>
      <c r="I183" s="24" t="s">
        <v>4752</v>
      </c>
      <c r="J183" s="2348" t="s">
        <v>4790</v>
      </c>
    </row>
    <row r="184" spans="1:10" ht="30" customHeight="1" x14ac:dyDescent="0.2">
      <c r="A184" s="3450"/>
      <c r="B184" s="3024" t="s">
        <v>4770</v>
      </c>
      <c r="C184" s="3446"/>
      <c r="D184" s="3446" t="s">
        <v>4772</v>
      </c>
      <c r="E184" s="3446" t="s">
        <v>2730</v>
      </c>
      <c r="F184" s="3442">
        <v>83000000</v>
      </c>
      <c r="G184" s="3444"/>
      <c r="H184" s="3442">
        <v>100000000</v>
      </c>
      <c r="I184" s="3452"/>
      <c r="J184" s="3481" t="s">
        <v>4773</v>
      </c>
    </row>
    <row r="185" spans="1:10" ht="30" customHeight="1" x14ac:dyDescent="0.2">
      <c r="A185" s="3451"/>
      <c r="B185" s="3024" t="s">
        <v>4771</v>
      </c>
      <c r="C185" s="3447"/>
      <c r="D185" s="3447"/>
      <c r="E185" s="3447"/>
      <c r="F185" s="3443"/>
      <c r="G185" s="3445"/>
      <c r="H185" s="3443"/>
      <c r="I185" s="3453"/>
      <c r="J185" s="3482"/>
    </row>
    <row r="186" spans="1:10" ht="30" customHeight="1" x14ac:dyDescent="0.2">
      <c r="A186" s="3450"/>
      <c r="B186" s="3448" t="s">
        <v>122</v>
      </c>
      <c r="C186" s="3446"/>
      <c r="D186" s="3446"/>
      <c r="E186" s="3446" t="s">
        <v>879</v>
      </c>
      <c r="F186" s="3442">
        <v>370000000</v>
      </c>
      <c r="G186" s="3444"/>
      <c r="H186" s="3442">
        <v>681000000</v>
      </c>
      <c r="I186" s="3452"/>
      <c r="J186" s="3050" t="s">
        <v>4776</v>
      </c>
    </row>
    <row r="187" spans="1:10" ht="30" customHeight="1" x14ac:dyDescent="0.2">
      <c r="A187" s="3451"/>
      <c r="B187" s="3449"/>
      <c r="C187" s="3447"/>
      <c r="D187" s="3447"/>
      <c r="E187" s="3447"/>
      <c r="F187" s="3443"/>
      <c r="G187" s="3445"/>
      <c r="H187" s="3443"/>
      <c r="I187" s="3453"/>
      <c r="J187" s="2348" t="s">
        <v>4777</v>
      </c>
    </row>
    <row r="188" spans="1:10" ht="30" customHeight="1" x14ac:dyDescent="0.2">
      <c r="A188" s="3017"/>
      <c r="B188" s="3024" t="s">
        <v>4778</v>
      </c>
      <c r="C188" s="3021"/>
      <c r="D188" s="3021"/>
      <c r="E188" s="3021" t="s">
        <v>879</v>
      </c>
      <c r="F188" s="3020">
        <v>100000000</v>
      </c>
      <c r="G188" s="3019"/>
      <c r="H188" s="3020">
        <v>185000000</v>
      </c>
      <c r="I188" s="24"/>
      <c r="J188" s="2348"/>
    </row>
    <row r="189" spans="1:10" ht="30" customHeight="1" x14ac:dyDescent="0.2">
      <c r="A189" s="3062"/>
      <c r="B189" s="3063" t="s">
        <v>4782</v>
      </c>
      <c r="C189" s="3061" t="s">
        <v>4779</v>
      </c>
      <c r="D189" s="3061" t="s">
        <v>3769</v>
      </c>
      <c r="E189" s="3061" t="s">
        <v>928</v>
      </c>
      <c r="F189" s="3064">
        <v>5000000</v>
      </c>
      <c r="G189" s="3065"/>
      <c r="H189" s="3064">
        <v>15000000</v>
      </c>
      <c r="I189" s="24"/>
      <c r="J189" s="2348"/>
    </row>
    <row r="190" spans="1:10" ht="30" customHeight="1" x14ac:dyDescent="0.2">
      <c r="A190" s="3062"/>
      <c r="B190" s="3063" t="s">
        <v>4791</v>
      </c>
      <c r="C190" s="3061"/>
      <c r="D190" s="3061" t="s">
        <v>4792</v>
      </c>
      <c r="E190" s="3061" t="s">
        <v>928</v>
      </c>
      <c r="F190" s="3064">
        <v>5000000</v>
      </c>
      <c r="G190" s="3065"/>
      <c r="H190" s="3064">
        <v>15000000</v>
      </c>
      <c r="I190" s="24"/>
      <c r="J190" s="2348"/>
    </row>
    <row r="191" spans="1:10" ht="30" customHeight="1" x14ac:dyDescent="0.2">
      <c r="A191" s="3450"/>
      <c r="B191" s="3448" t="s">
        <v>1944</v>
      </c>
      <c r="C191" s="3446"/>
      <c r="D191" s="3446" t="s">
        <v>3216</v>
      </c>
      <c r="E191" s="3446"/>
      <c r="F191" s="3442">
        <v>20000000</v>
      </c>
      <c r="G191" s="3444"/>
      <c r="H191" s="3442">
        <v>38000000</v>
      </c>
      <c r="I191" s="3452" t="s">
        <v>4808</v>
      </c>
      <c r="J191" s="3098" t="s">
        <v>4805</v>
      </c>
    </row>
    <row r="192" spans="1:10" ht="30" customHeight="1" x14ac:dyDescent="0.2">
      <c r="A192" s="3451"/>
      <c r="B192" s="3449"/>
      <c r="C192" s="3447"/>
      <c r="D192" s="3447"/>
      <c r="E192" s="3447"/>
      <c r="F192" s="3443"/>
      <c r="G192" s="3445"/>
      <c r="H192" s="3443"/>
      <c r="I192" s="3453"/>
      <c r="J192" s="2348" t="s">
        <v>4804</v>
      </c>
    </row>
    <row r="193" spans="1:10" ht="30" customHeight="1" x14ac:dyDescent="0.2">
      <c r="A193" s="3124"/>
      <c r="B193" s="3123" t="s">
        <v>4840</v>
      </c>
      <c r="C193" s="3122"/>
      <c r="D193" s="3122"/>
      <c r="E193" s="3122"/>
      <c r="F193" s="3120">
        <v>1100000000</v>
      </c>
      <c r="G193" s="3121"/>
      <c r="H193" s="3120">
        <v>1600000000</v>
      </c>
      <c r="I193" s="24"/>
      <c r="J193" s="2349" t="s">
        <v>3301</v>
      </c>
    </row>
    <row r="194" spans="1:10" ht="30" customHeight="1" x14ac:dyDescent="0.2">
      <c r="A194" s="3124"/>
      <c r="B194" s="3123" t="s">
        <v>4922</v>
      </c>
      <c r="C194" s="3122"/>
      <c r="D194" s="3122" t="s">
        <v>4310</v>
      </c>
      <c r="E194" s="3122"/>
      <c r="F194" s="3120">
        <v>125000000</v>
      </c>
      <c r="G194" s="3121"/>
      <c r="H194" s="3120">
        <v>407000000</v>
      </c>
      <c r="I194" s="28" t="s">
        <v>4921</v>
      </c>
      <c r="J194" s="2348" t="s">
        <v>4920</v>
      </c>
    </row>
    <row r="195" spans="1:10" ht="30" customHeight="1" x14ac:dyDescent="0.2">
      <c r="A195" s="3124"/>
      <c r="B195" s="3123"/>
      <c r="C195" s="3122"/>
      <c r="D195" s="3122"/>
      <c r="E195" s="3122"/>
      <c r="F195" s="3120"/>
      <c r="G195" s="3121"/>
      <c r="H195" s="3120"/>
      <c r="I195" s="24"/>
      <c r="J195" s="2348"/>
    </row>
    <row r="196" spans="1:10" ht="30" customHeight="1" x14ac:dyDescent="0.2">
      <c r="A196" s="3124"/>
      <c r="B196" s="3123"/>
      <c r="C196" s="3122"/>
      <c r="D196" s="3122"/>
      <c r="E196" s="3122"/>
      <c r="F196" s="3120"/>
      <c r="G196" s="3121"/>
      <c r="H196" s="3120"/>
      <c r="I196" s="24"/>
      <c r="J196" s="2348"/>
    </row>
    <row r="197" spans="1:10" ht="30" customHeight="1" x14ac:dyDescent="0.2">
      <c r="A197" s="3124"/>
      <c r="B197" s="3123"/>
      <c r="C197" s="3122"/>
      <c r="D197" s="3122"/>
      <c r="E197" s="3122"/>
      <c r="F197" s="3120"/>
      <c r="G197" s="3121"/>
      <c r="H197" s="3120"/>
      <c r="I197" s="24"/>
      <c r="J197" s="2348"/>
    </row>
    <row r="198" spans="1:10" ht="30" customHeight="1" x14ac:dyDescent="0.2">
      <c r="A198" s="3124"/>
      <c r="B198" s="3123"/>
      <c r="C198" s="3122"/>
      <c r="D198" s="3122"/>
      <c r="E198" s="3122"/>
      <c r="F198" s="3120"/>
      <c r="G198" s="3121"/>
      <c r="H198" s="3120"/>
      <c r="I198" s="24"/>
      <c r="J198" s="2348"/>
    </row>
    <row r="199" spans="1:10" ht="30" customHeight="1" x14ac:dyDescent="0.2">
      <c r="A199" s="3124"/>
      <c r="B199" s="3123"/>
      <c r="C199" s="3122"/>
      <c r="D199" s="3122"/>
      <c r="E199" s="3122"/>
      <c r="F199" s="3120"/>
      <c r="G199" s="3121"/>
      <c r="H199" s="3120"/>
      <c r="I199" s="24"/>
      <c r="J199" s="2348"/>
    </row>
    <row r="200" spans="1:10" ht="30" customHeight="1" x14ac:dyDescent="0.2">
      <c r="A200" s="3124"/>
      <c r="B200" s="3123"/>
      <c r="C200" s="3122"/>
      <c r="D200" s="3122"/>
      <c r="E200" s="3122"/>
      <c r="F200" s="3120"/>
      <c r="G200" s="3121"/>
      <c r="H200" s="3120"/>
      <c r="I200" s="24"/>
      <c r="J200" s="2348"/>
    </row>
    <row r="201" spans="1:10" ht="30" customHeight="1" x14ac:dyDescent="0.2">
      <c r="A201" s="4"/>
      <c r="B201" s="750"/>
      <c r="C201" s="9"/>
      <c r="D201" s="6"/>
      <c r="E201" s="135"/>
      <c r="F201" s="135"/>
      <c r="G201" s="20"/>
      <c r="H201" s="135"/>
      <c r="I201" s="24"/>
      <c r="J201" s="45"/>
    </row>
  </sheetData>
  <mergeCells count="120">
    <mergeCell ref="I108:I109"/>
    <mergeCell ref="J155:M155"/>
    <mergeCell ref="D186:D187"/>
    <mergeCell ref="C186:C187"/>
    <mergeCell ref="B186:B187"/>
    <mergeCell ref="A186:A187"/>
    <mergeCell ref="F186:F187"/>
    <mergeCell ref="G186:G187"/>
    <mergeCell ref="H186:H187"/>
    <mergeCell ref="I186:I187"/>
    <mergeCell ref="E186:E187"/>
    <mergeCell ref="C184:C185"/>
    <mergeCell ref="I184:I185"/>
    <mergeCell ref="J184:J185"/>
    <mergeCell ref="A184:A185"/>
    <mergeCell ref="I159:I161"/>
    <mergeCell ref="J160:J161"/>
    <mergeCell ref="D184:D185"/>
    <mergeCell ref="E184:E185"/>
    <mergeCell ref="F184:F185"/>
    <mergeCell ref="H184:H185"/>
    <mergeCell ref="G184:G185"/>
    <mergeCell ref="B180:B181"/>
    <mergeCell ref="A180:A181"/>
    <mergeCell ref="A74:A75"/>
    <mergeCell ref="B56:B58"/>
    <mergeCell ref="D57:D58"/>
    <mergeCell ref="C57:C58"/>
    <mergeCell ref="G178:G179"/>
    <mergeCell ref="H178:H179"/>
    <mergeCell ref="B176:B177"/>
    <mergeCell ref="A176:A177"/>
    <mergeCell ref="F178:F179"/>
    <mergeCell ref="E178:E179"/>
    <mergeCell ref="D178:D179"/>
    <mergeCell ref="C178:C179"/>
    <mergeCell ref="B158:B161"/>
    <mergeCell ref="A158:A161"/>
    <mergeCell ref="E159:E161"/>
    <mergeCell ref="D159:D161"/>
    <mergeCell ref="C159:C161"/>
    <mergeCell ref="C108:C109"/>
    <mergeCell ref="D108:D109"/>
    <mergeCell ref="E108:E109"/>
    <mergeCell ref="F108:F109"/>
    <mergeCell ref="G108:G109"/>
    <mergeCell ref="H108:H109"/>
    <mergeCell ref="I57:I58"/>
    <mergeCell ref="J57:J58"/>
    <mergeCell ref="B97:B98"/>
    <mergeCell ref="A71:A72"/>
    <mergeCell ref="B91:B92"/>
    <mergeCell ref="B81:B83"/>
    <mergeCell ref="B43:B45"/>
    <mergeCell ref="A43:A45"/>
    <mergeCell ref="B41:B42"/>
    <mergeCell ref="A41:A42"/>
    <mergeCell ref="B50:B55"/>
    <mergeCell ref="A50:A55"/>
    <mergeCell ref="A60:A61"/>
    <mergeCell ref="B66:B69"/>
    <mergeCell ref="A66:A69"/>
    <mergeCell ref="A78:A79"/>
    <mergeCell ref="B78:B79"/>
    <mergeCell ref="E60:E61"/>
    <mergeCell ref="C60:C61"/>
    <mergeCell ref="F57:F58"/>
    <mergeCell ref="J41:J42"/>
    <mergeCell ref="G43:G45"/>
    <mergeCell ref="H43:H45"/>
    <mergeCell ref="J43:J45"/>
    <mergeCell ref="A26:A29"/>
    <mergeCell ref="B26:B29"/>
    <mergeCell ref="B17:B20"/>
    <mergeCell ref="A17:A20"/>
    <mergeCell ref="B2:B4"/>
    <mergeCell ref="A2:A4"/>
    <mergeCell ref="A5:A6"/>
    <mergeCell ref="B5:B6"/>
    <mergeCell ref="B10:B12"/>
    <mergeCell ref="B7:B8"/>
    <mergeCell ref="A7:A8"/>
    <mergeCell ref="B15:B16"/>
    <mergeCell ref="A10:A12"/>
    <mergeCell ref="A15:A16"/>
    <mergeCell ref="B13:B14"/>
    <mergeCell ref="A13:A14"/>
    <mergeCell ref="H41:H42"/>
    <mergeCell ref="A107:A110"/>
    <mergeCell ref="A103:A104"/>
    <mergeCell ref="B103:B104"/>
    <mergeCell ref="A81:A83"/>
    <mergeCell ref="B149:B150"/>
    <mergeCell ref="A149:A150"/>
    <mergeCell ref="B131:B132"/>
    <mergeCell ref="A131:A132"/>
    <mergeCell ref="B107:B110"/>
    <mergeCell ref="C43:C45"/>
    <mergeCell ref="E43:E45"/>
    <mergeCell ref="D43:D45"/>
    <mergeCell ref="F43:F45"/>
    <mergeCell ref="G41:G42"/>
    <mergeCell ref="E41:E42"/>
    <mergeCell ref="F41:F42"/>
    <mergeCell ref="C41:C42"/>
    <mergeCell ref="D41:D42"/>
    <mergeCell ref="A56:A58"/>
    <mergeCell ref="B87:B89"/>
    <mergeCell ref="B60:B61"/>
    <mergeCell ref="B71:B72"/>
    <mergeCell ref="B74:B75"/>
    <mergeCell ref="F191:F192"/>
    <mergeCell ref="H191:H192"/>
    <mergeCell ref="G191:G192"/>
    <mergeCell ref="E191:E192"/>
    <mergeCell ref="D191:D192"/>
    <mergeCell ref="C191:C192"/>
    <mergeCell ref="B191:B192"/>
    <mergeCell ref="A191:A192"/>
    <mergeCell ref="I191:I19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430" activePane="bottomLeft" state="frozen"/>
      <selection pane="bottomLeft" activeCell="B340" sqref="B340:B341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3450">
        <v>10</v>
      </c>
      <c r="B11" s="3457" t="s">
        <v>1029</v>
      </c>
      <c r="C11" s="189"/>
      <c r="D11" s="190"/>
      <c r="E11" s="187"/>
      <c r="F11" s="3505">
        <v>160000000</v>
      </c>
      <c r="G11" s="3444">
        <v>6.3E-2</v>
      </c>
      <c r="H11" s="3442">
        <v>10000000</v>
      </c>
      <c r="I11" s="191"/>
      <c r="J11" s="191"/>
      <c r="K11" s="3491" t="s">
        <v>1367</v>
      </c>
      <c r="L11" s="192"/>
    </row>
    <row r="12" spans="1:12" ht="30" customHeight="1" x14ac:dyDescent="0.2">
      <c r="A12" s="3451"/>
      <c r="B12" s="3458"/>
      <c r="C12" s="189"/>
      <c r="D12" s="190"/>
      <c r="E12" s="187"/>
      <c r="F12" s="3506"/>
      <c r="G12" s="3445"/>
      <c r="H12" s="3443"/>
      <c r="I12" s="191"/>
      <c r="J12" s="191"/>
      <c r="K12" s="3487"/>
      <c r="L12" s="192"/>
    </row>
    <row r="13" spans="1:12" ht="30" customHeight="1" x14ac:dyDescent="0.2">
      <c r="A13" s="3450">
        <v>11</v>
      </c>
      <c r="B13" s="3457" t="s">
        <v>402</v>
      </c>
      <c r="C13" s="3525"/>
      <c r="D13" s="3503"/>
      <c r="E13" s="3442"/>
      <c r="F13" s="330">
        <v>15000000</v>
      </c>
      <c r="G13" s="20">
        <v>7.0000000000000007E-2</v>
      </c>
      <c r="H13" s="330">
        <f>F13*G13</f>
        <v>1050000</v>
      </c>
      <c r="I13" s="3566"/>
      <c r="J13" s="3566"/>
      <c r="K13" s="3491" t="s">
        <v>1338</v>
      </c>
      <c r="L13" s="3568" t="s">
        <v>404</v>
      </c>
    </row>
    <row r="14" spans="1:12" ht="30" customHeight="1" x14ac:dyDescent="0.2">
      <c r="A14" s="3451"/>
      <c r="B14" s="3458"/>
      <c r="C14" s="3526"/>
      <c r="D14" s="3504"/>
      <c r="E14" s="3443"/>
      <c r="F14" s="330">
        <v>5000000</v>
      </c>
      <c r="G14" s="20">
        <v>0.05</v>
      </c>
      <c r="H14" s="330">
        <f>F14*G14</f>
        <v>250000</v>
      </c>
      <c r="I14" s="3567"/>
      <c r="J14" s="3567"/>
      <c r="K14" s="3487"/>
      <c r="L14" s="3569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3450">
        <v>19</v>
      </c>
      <c r="B22" s="3457" t="s">
        <v>574</v>
      </c>
      <c r="C22" s="3466" t="s">
        <v>1355</v>
      </c>
      <c r="D22" s="331" t="s">
        <v>1970</v>
      </c>
      <c r="E22" s="323"/>
      <c r="F22" s="323">
        <v>5000000</v>
      </c>
      <c r="G22" s="571">
        <v>0.04</v>
      </c>
      <c r="H22" s="323">
        <f>F22*G22</f>
        <v>200000</v>
      </c>
      <c r="I22" s="70"/>
      <c r="J22" s="25"/>
      <c r="K22" s="92" t="s">
        <v>1254</v>
      </c>
      <c r="L22" s="334" t="s">
        <v>1255</v>
      </c>
    </row>
    <row r="23" spans="1:12" ht="30" customHeight="1" x14ac:dyDescent="0.2">
      <c r="A23" s="3451"/>
      <c r="B23" s="3458"/>
      <c r="C23" s="3467"/>
      <c r="D23" s="579" t="s">
        <v>1971</v>
      </c>
      <c r="E23" s="573"/>
      <c r="F23" s="573">
        <v>2500000</v>
      </c>
      <c r="G23" s="571">
        <v>0.04</v>
      </c>
      <c r="H23" s="573">
        <f>F23*G23</f>
        <v>100000</v>
      </c>
      <c r="I23" s="70"/>
      <c r="J23" s="25"/>
      <c r="K23" s="92"/>
      <c r="L23" s="575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3450">
        <v>21</v>
      </c>
      <c r="B25" s="3457" t="s">
        <v>674</v>
      </c>
      <c r="C25" s="3466"/>
      <c r="D25" s="3452"/>
      <c r="E25" s="3442"/>
      <c r="F25" s="3442">
        <v>300000000</v>
      </c>
      <c r="G25" s="3444">
        <v>0.05</v>
      </c>
      <c r="H25" s="3442">
        <f>F25*G25</f>
        <v>15000000</v>
      </c>
      <c r="I25" s="3564"/>
      <c r="J25" s="3566"/>
      <c r="K25" s="3486"/>
      <c r="L25" s="3568"/>
    </row>
    <row r="26" spans="1:12" ht="30" customHeight="1" x14ac:dyDescent="0.2">
      <c r="A26" s="3451"/>
      <c r="B26" s="3458"/>
      <c r="C26" s="3467"/>
      <c r="D26" s="3453"/>
      <c r="E26" s="3443"/>
      <c r="F26" s="3443"/>
      <c r="G26" s="3445"/>
      <c r="H26" s="3443"/>
      <c r="I26" s="3565"/>
      <c r="J26" s="3567"/>
      <c r="K26" s="3487"/>
      <c r="L26" s="3569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3450">
        <v>26</v>
      </c>
      <c r="B31" s="3457" t="s">
        <v>832</v>
      </c>
      <c r="C31" s="3466" t="s">
        <v>834</v>
      </c>
      <c r="D31" s="3452"/>
      <c r="E31" s="3442"/>
      <c r="F31" s="3442">
        <v>500000000</v>
      </c>
      <c r="G31" s="3444">
        <v>7.0000000000000007E-2</v>
      </c>
      <c r="H31" s="3442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3451"/>
      <c r="B32" s="3458"/>
      <c r="C32" s="3467"/>
      <c r="D32" s="3453"/>
      <c r="E32" s="3443"/>
      <c r="F32" s="3443"/>
      <c r="G32" s="3445"/>
      <c r="H32" s="3443"/>
      <c r="I32" s="70"/>
      <c r="J32" s="25"/>
      <c r="K32" s="92"/>
      <c r="L32" s="333"/>
    </row>
    <row r="33" spans="1:12" ht="30" customHeight="1" x14ac:dyDescent="0.2">
      <c r="A33" s="3450">
        <v>27</v>
      </c>
      <c r="B33" s="3457" t="s">
        <v>845</v>
      </c>
      <c r="C33" s="3466"/>
      <c r="D33" s="3452"/>
      <c r="E33" s="3442"/>
      <c r="F33" s="3442">
        <v>590000000</v>
      </c>
      <c r="G33" s="3444"/>
      <c r="H33" s="3442">
        <v>30000000</v>
      </c>
      <c r="I33" s="70"/>
      <c r="J33" s="25"/>
      <c r="K33" s="92"/>
      <c r="L33" s="333"/>
    </row>
    <row r="34" spans="1:12" ht="30" customHeight="1" x14ac:dyDescent="0.2">
      <c r="A34" s="3451"/>
      <c r="B34" s="3458"/>
      <c r="C34" s="3467"/>
      <c r="D34" s="3453"/>
      <c r="E34" s="3443"/>
      <c r="F34" s="3443"/>
      <c r="G34" s="3445"/>
      <c r="H34" s="3443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1368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3450">
        <v>30</v>
      </c>
      <c r="B38" s="3457" t="s">
        <v>1011</v>
      </c>
      <c r="C38" s="3466"/>
      <c r="D38" s="3452"/>
      <c r="E38" s="3442"/>
      <c r="F38" s="323">
        <v>100000000</v>
      </c>
      <c r="G38" s="324">
        <v>0.05</v>
      </c>
      <c r="H38" s="323">
        <f t="shared" ref="H38:H39" si="1">F38*G38</f>
        <v>5000000</v>
      </c>
      <c r="I38" s="3564"/>
      <c r="J38" s="3566"/>
      <c r="K38" s="3486"/>
      <c r="L38" s="3468" t="s">
        <v>1020</v>
      </c>
    </row>
    <row r="39" spans="1:12" ht="30" customHeight="1" x14ac:dyDescent="0.2">
      <c r="A39" s="3451"/>
      <c r="B39" s="3458"/>
      <c r="C39" s="3467"/>
      <c r="D39" s="3453"/>
      <c r="E39" s="3443"/>
      <c r="F39" s="323">
        <v>35000000</v>
      </c>
      <c r="G39" s="324">
        <v>7.0000000000000007E-2</v>
      </c>
      <c r="H39" s="323">
        <f t="shared" si="1"/>
        <v>2450000.0000000005</v>
      </c>
      <c r="I39" s="3565"/>
      <c r="J39" s="3567"/>
      <c r="K39" s="3487"/>
      <c r="L39" s="3469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1269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1302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1261</v>
      </c>
      <c r="C46" s="53"/>
      <c r="D46" s="37"/>
      <c r="E46" s="322"/>
      <c r="F46" s="315"/>
      <c r="G46" s="316"/>
      <c r="H46" s="315"/>
      <c r="I46" s="70"/>
      <c r="J46" s="25"/>
      <c r="K46" s="92" t="s">
        <v>1541</v>
      </c>
      <c r="L46" s="333"/>
    </row>
    <row r="47" spans="1:12" ht="30" customHeight="1" x14ac:dyDescent="0.2">
      <c r="A47" s="318">
        <v>38</v>
      </c>
      <c r="B47" s="319" t="s">
        <v>1314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1337</v>
      </c>
      <c r="C48" s="53"/>
      <c r="D48" s="37"/>
      <c r="E48" s="322"/>
      <c r="F48" s="315"/>
      <c r="G48" s="316"/>
      <c r="H48" s="315"/>
      <c r="I48" s="70"/>
      <c r="J48" s="25"/>
      <c r="K48" s="92" t="s">
        <v>1542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1293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3450">
        <v>43</v>
      </c>
      <c r="B52" s="3448" t="s">
        <v>188</v>
      </c>
      <c r="C52" s="3450"/>
      <c r="D52" s="3503"/>
      <c r="E52" s="3442"/>
      <c r="F52" s="3505"/>
      <c r="G52" s="3444">
        <v>7.0000000000000007E-2</v>
      </c>
      <c r="H52" s="3505">
        <f t="shared" si="2"/>
        <v>0</v>
      </c>
      <c r="I52" s="16"/>
      <c r="J52" s="16"/>
      <c r="K52" s="3486" t="s">
        <v>1369</v>
      </c>
      <c r="L52" s="3"/>
    </row>
    <row r="53" spans="1:12" ht="30" customHeight="1" x14ac:dyDescent="0.2">
      <c r="A53" s="3451"/>
      <c r="B53" s="3449"/>
      <c r="C53" s="3451"/>
      <c r="D53" s="3504"/>
      <c r="E53" s="3443"/>
      <c r="F53" s="3506"/>
      <c r="G53" s="3445"/>
      <c r="H53" s="3506"/>
      <c r="I53" s="16"/>
      <c r="J53" s="16"/>
      <c r="K53" s="3487"/>
      <c r="L53" s="3"/>
    </row>
    <row r="54" spans="1:12" ht="30" customHeight="1" x14ac:dyDescent="0.2">
      <c r="A54" s="3450">
        <v>44</v>
      </c>
      <c r="B54" s="3448" t="s">
        <v>189</v>
      </c>
      <c r="C54" s="3450" t="s">
        <v>1112</v>
      </c>
      <c r="D54" s="3503"/>
      <c r="E54" s="3442"/>
      <c r="F54" s="3325" t="s">
        <v>1247</v>
      </c>
      <c r="G54" s="3340"/>
      <c r="H54" s="3341"/>
      <c r="I54" s="16"/>
      <c r="J54" s="16"/>
      <c r="K54" s="92" t="s">
        <v>1212</v>
      </c>
      <c r="L54" s="263" t="s">
        <v>1245</v>
      </c>
    </row>
    <row r="55" spans="1:12" ht="30" customHeight="1" x14ac:dyDescent="0.2">
      <c r="A55" s="3456"/>
      <c r="B55" s="3476"/>
      <c r="C55" s="3456"/>
      <c r="D55" s="3534"/>
      <c r="E55" s="3461"/>
      <c r="F55" s="3442">
        <v>1300000000</v>
      </c>
      <c r="G55" s="3444">
        <v>0.08</v>
      </c>
      <c r="H55" s="3442">
        <f>F55*G55</f>
        <v>104000000</v>
      </c>
      <c r="I55" s="16"/>
      <c r="J55" s="16"/>
      <c r="K55" s="92"/>
      <c r="L55" s="263"/>
    </row>
    <row r="56" spans="1:12" ht="30" customHeight="1" x14ac:dyDescent="0.2">
      <c r="A56" s="3456"/>
      <c r="B56" s="3476"/>
      <c r="C56" s="3456"/>
      <c r="D56" s="3534"/>
      <c r="E56" s="3461"/>
      <c r="F56" s="3461"/>
      <c r="G56" s="3474"/>
      <c r="H56" s="3461"/>
      <c r="I56" s="16"/>
      <c r="J56" s="16"/>
      <c r="K56" s="92"/>
      <c r="L56" s="263"/>
    </row>
    <row r="57" spans="1:12" ht="30" customHeight="1" x14ac:dyDescent="0.2">
      <c r="A57" s="3456"/>
      <c r="B57" s="3476"/>
      <c r="C57" s="3456"/>
      <c r="D57" s="3534"/>
      <c r="E57" s="3461"/>
      <c r="F57" s="3443"/>
      <c r="G57" s="3445"/>
      <c r="H57" s="3443"/>
      <c r="I57" s="16"/>
      <c r="J57" s="16"/>
      <c r="K57" s="92"/>
      <c r="L57" s="263"/>
    </row>
    <row r="58" spans="1:12" ht="30" customHeight="1" x14ac:dyDescent="0.2">
      <c r="A58" s="3451"/>
      <c r="B58" s="3449"/>
      <c r="C58" s="3451"/>
      <c r="D58" s="3504"/>
      <c r="E58" s="3443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1708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1773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1366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1360</v>
      </c>
      <c r="L62" s="3"/>
    </row>
    <row r="63" spans="1:12" ht="30" customHeight="1" x14ac:dyDescent="0.2">
      <c r="A63" s="3450">
        <v>50</v>
      </c>
      <c r="B63" s="3448" t="s">
        <v>194</v>
      </c>
      <c r="C63" s="3450"/>
      <c r="D63" s="3503"/>
      <c r="E63" s="3442"/>
      <c r="F63" s="3538" t="s">
        <v>1294</v>
      </c>
      <c r="G63" s="3563"/>
      <c r="H63" s="3539"/>
      <c r="I63" s="16"/>
      <c r="J63" s="16"/>
      <c r="K63" s="3486" t="s">
        <v>2609</v>
      </c>
      <c r="L63" s="3"/>
    </row>
    <row r="64" spans="1:12" ht="30" customHeight="1" x14ac:dyDescent="0.2">
      <c r="A64" s="3451"/>
      <c r="B64" s="3449"/>
      <c r="C64" s="3451"/>
      <c r="D64" s="3504"/>
      <c r="E64" s="3443"/>
      <c r="F64" s="330">
        <v>111000000</v>
      </c>
      <c r="G64" s="20">
        <v>4.4999999999999998E-2</v>
      </c>
      <c r="H64" s="330">
        <v>5000000</v>
      </c>
      <c r="I64" s="16"/>
      <c r="J64" s="16"/>
      <c r="K64" s="3487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1370</v>
      </c>
      <c r="L65" s="3"/>
    </row>
    <row r="66" spans="1:12" ht="30" customHeight="1" x14ac:dyDescent="0.2">
      <c r="A66" s="3450">
        <v>52</v>
      </c>
      <c r="B66" s="3448" t="s">
        <v>196</v>
      </c>
      <c r="C66" s="3450"/>
      <c r="D66" s="3503"/>
      <c r="E66" s="3442"/>
      <c r="F66" s="3442">
        <v>350000000</v>
      </c>
      <c r="G66" s="3444">
        <v>7.0000000000000007E-2</v>
      </c>
      <c r="H66" s="3442">
        <f t="shared" si="2"/>
        <v>24500000.000000004</v>
      </c>
      <c r="I66" s="3488"/>
      <c r="J66" s="3488"/>
      <c r="K66" s="3486" t="s">
        <v>1892</v>
      </c>
      <c r="L66" s="3450"/>
    </row>
    <row r="67" spans="1:12" ht="30" customHeight="1" x14ac:dyDescent="0.2">
      <c r="A67" s="3456"/>
      <c r="B67" s="3476"/>
      <c r="C67" s="3456"/>
      <c r="D67" s="3534"/>
      <c r="E67" s="3461"/>
      <c r="F67" s="3443"/>
      <c r="G67" s="3445"/>
      <c r="H67" s="3443"/>
      <c r="I67" s="3490"/>
      <c r="J67" s="3490"/>
      <c r="K67" s="3491"/>
      <c r="L67" s="3456"/>
    </row>
    <row r="68" spans="1:12" ht="30" customHeight="1" x14ac:dyDescent="0.2">
      <c r="A68" s="3456"/>
      <c r="B68" s="3476"/>
      <c r="C68" s="3456"/>
      <c r="D68" s="3534"/>
      <c r="E68" s="3461"/>
      <c r="F68" s="328"/>
      <c r="G68" s="329"/>
      <c r="H68" s="328"/>
      <c r="I68" s="16"/>
      <c r="J68" s="16"/>
      <c r="K68" s="3491"/>
      <c r="L68" s="3456"/>
    </row>
    <row r="69" spans="1:12" ht="30" customHeight="1" x14ac:dyDescent="0.2">
      <c r="A69" s="3451"/>
      <c r="B69" s="3449"/>
      <c r="C69" s="3451"/>
      <c r="D69" s="3504"/>
      <c r="E69" s="3443"/>
      <c r="F69" s="328"/>
      <c r="G69" s="329"/>
      <c r="H69" s="328"/>
      <c r="I69" s="16"/>
      <c r="J69" s="16"/>
      <c r="K69" s="3487"/>
      <c r="L69" s="3451"/>
    </row>
    <row r="70" spans="1:12" ht="30" customHeight="1" x14ac:dyDescent="0.2">
      <c r="A70" s="3450">
        <v>53</v>
      </c>
      <c r="B70" s="3448" t="s">
        <v>1090</v>
      </c>
      <c r="C70" s="3450"/>
      <c r="D70" s="3503"/>
      <c r="E70" s="3442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3451"/>
      <c r="B71" s="3449"/>
      <c r="C71" s="3451"/>
      <c r="D71" s="3504"/>
      <c r="E71" s="3443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3450">
        <v>54</v>
      </c>
      <c r="B72" s="3448" t="s">
        <v>1295</v>
      </c>
      <c r="C72" s="3407" t="s">
        <v>523</v>
      </c>
      <c r="D72" s="3503"/>
      <c r="E72" s="3442"/>
      <c r="F72" s="323">
        <v>175000000</v>
      </c>
      <c r="G72" s="3444">
        <f>H72/(F72+F73)</f>
        <v>6.3461538461538458E-2</v>
      </c>
      <c r="H72" s="3442">
        <v>16500000</v>
      </c>
      <c r="I72" s="16"/>
      <c r="J72" s="16"/>
      <c r="K72" s="3486"/>
      <c r="L72" s="82" t="s">
        <v>1113</v>
      </c>
    </row>
    <row r="73" spans="1:12" ht="30" customHeight="1" x14ac:dyDescent="0.2">
      <c r="A73" s="3451"/>
      <c r="B73" s="3449"/>
      <c r="C73" s="3408"/>
      <c r="D73" s="3504"/>
      <c r="E73" s="3443"/>
      <c r="F73" s="327">
        <v>85000000</v>
      </c>
      <c r="G73" s="3445"/>
      <c r="H73" s="3443"/>
      <c r="I73" s="304"/>
      <c r="J73" s="304"/>
      <c r="K73" s="3487"/>
      <c r="L73" s="305"/>
    </row>
    <row r="74" spans="1:12" ht="30" customHeight="1" x14ac:dyDescent="0.2">
      <c r="A74" s="3450">
        <v>55</v>
      </c>
      <c r="B74" s="3448" t="s">
        <v>36</v>
      </c>
      <c r="C74" s="3560" t="s">
        <v>523</v>
      </c>
      <c r="D74" s="3446" t="s">
        <v>701</v>
      </c>
      <c r="E74" s="3442"/>
      <c r="F74" s="3442">
        <v>3284000000</v>
      </c>
      <c r="G74" s="3444">
        <v>7.0000000000000007E-2</v>
      </c>
      <c r="H74" s="3442">
        <v>229880000</v>
      </c>
      <c r="I74" s="3488"/>
      <c r="J74" s="3488"/>
      <c r="K74" s="3486"/>
      <c r="L74" s="3450"/>
    </row>
    <row r="75" spans="1:12" ht="30" customHeight="1" x14ac:dyDescent="0.2">
      <c r="A75" s="3456"/>
      <c r="B75" s="3476"/>
      <c r="C75" s="3561"/>
      <c r="D75" s="3460"/>
      <c r="E75" s="3461"/>
      <c r="F75" s="3461"/>
      <c r="G75" s="3474"/>
      <c r="H75" s="3461"/>
      <c r="I75" s="3489"/>
      <c r="J75" s="3489"/>
      <c r="K75" s="3491"/>
      <c r="L75" s="3456"/>
    </row>
    <row r="76" spans="1:12" ht="30" customHeight="1" x14ac:dyDescent="0.2">
      <c r="A76" s="3456"/>
      <c r="B76" s="3476"/>
      <c r="C76" s="3561"/>
      <c r="D76" s="3460"/>
      <c r="E76" s="3461"/>
      <c r="F76" s="3461"/>
      <c r="G76" s="3474"/>
      <c r="H76" s="3461"/>
      <c r="I76" s="3489"/>
      <c r="J76" s="3489"/>
      <c r="K76" s="3491"/>
      <c r="L76" s="3456"/>
    </row>
    <row r="77" spans="1:12" ht="30" customHeight="1" x14ac:dyDescent="0.2">
      <c r="A77" s="3456"/>
      <c r="B77" s="3476"/>
      <c r="C77" s="3561"/>
      <c r="D77" s="3460"/>
      <c r="E77" s="3461"/>
      <c r="F77" s="3461"/>
      <c r="G77" s="3474"/>
      <c r="H77" s="3461"/>
      <c r="I77" s="3490"/>
      <c r="J77" s="3490"/>
      <c r="K77" s="3487"/>
      <c r="L77" s="3451"/>
    </row>
    <row r="78" spans="1:12" ht="30" customHeight="1" x14ac:dyDescent="0.2">
      <c r="A78" s="3451"/>
      <c r="B78" s="3449"/>
      <c r="C78" s="3562"/>
      <c r="D78" s="3447"/>
      <c r="E78" s="3443"/>
      <c r="F78" s="3443"/>
      <c r="G78" s="3445"/>
      <c r="H78" s="3443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1361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3450">
        <v>62</v>
      </c>
      <c r="B85" s="3448" t="s">
        <v>201</v>
      </c>
      <c r="C85" s="3450"/>
      <c r="D85" s="3503"/>
      <c r="E85" s="3442"/>
      <c r="F85" s="3442">
        <v>1250000000</v>
      </c>
      <c r="G85" s="3507"/>
      <c r="H85" s="3442">
        <v>81250000</v>
      </c>
      <c r="I85" s="3488"/>
      <c r="J85" s="3488"/>
      <c r="K85" s="3486" t="s">
        <v>1524</v>
      </c>
      <c r="L85" s="3450"/>
    </row>
    <row r="86" spans="1:12" ht="30" customHeight="1" x14ac:dyDescent="0.2">
      <c r="A86" s="3451"/>
      <c r="B86" s="3449"/>
      <c r="C86" s="3451"/>
      <c r="D86" s="3504"/>
      <c r="E86" s="3443"/>
      <c r="F86" s="3443"/>
      <c r="G86" s="3508"/>
      <c r="H86" s="3443"/>
      <c r="I86" s="3490"/>
      <c r="J86" s="3490"/>
      <c r="K86" s="3487"/>
      <c r="L86" s="3451"/>
    </row>
    <row r="87" spans="1:12" ht="30" customHeight="1" x14ac:dyDescent="0.2">
      <c r="A87" s="4">
        <v>63</v>
      </c>
      <c r="B87" s="3" t="s">
        <v>1408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1539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1884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1528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3450">
        <v>78</v>
      </c>
      <c r="B100" s="3448" t="s">
        <v>213</v>
      </c>
      <c r="C100" s="3450"/>
      <c r="D100" s="3503"/>
      <c r="E100" s="3442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3486" t="s">
        <v>1772</v>
      </c>
      <c r="L100" s="3450"/>
    </row>
    <row r="101" spans="1:12" ht="30" customHeight="1" x14ac:dyDescent="0.2">
      <c r="A101" s="3451"/>
      <c r="B101" s="3449"/>
      <c r="C101" s="3451"/>
      <c r="D101" s="3504"/>
      <c r="E101" s="3443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3487"/>
      <c r="L101" s="3451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1540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1545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1535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3450">
        <v>86</v>
      </c>
      <c r="B109" s="3448" t="s">
        <v>1004</v>
      </c>
      <c r="C109" s="3450"/>
      <c r="D109" s="3503"/>
      <c r="E109" s="3442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3486" t="s">
        <v>1529</v>
      </c>
      <c r="L109" s="3513" t="s">
        <v>79</v>
      </c>
    </row>
    <row r="110" spans="1:12" ht="30" customHeight="1" x14ac:dyDescent="0.2">
      <c r="A110" s="3456"/>
      <c r="B110" s="3476"/>
      <c r="C110" s="3456"/>
      <c r="D110" s="3534"/>
      <c r="E110" s="3461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3491"/>
      <c r="L110" s="3553"/>
    </row>
    <row r="111" spans="1:12" ht="30" customHeight="1" x14ac:dyDescent="0.2">
      <c r="A111" s="3451"/>
      <c r="B111" s="3449"/>
      <c r="C111" s="3451"/>
      <c r="D111" s="3504"/>
      <c r="E111" s="3443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3487"/>
      <c r="L111" s="3514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3450">
        <v>88</v>
      </c>
      <c r="B113" s="3448" t="s">
        <v>177</v>
      </c>
      <c r="C113" s="3450"/>
      <c r="D113" s="3503"/>
      <c r="E113" s="3442"/>
      <c r="F113" s="3442">
        <v>500000000</v>
      </c>
      <c r="G113" s="3444">
        <v>6.4000000000000001E-2</v>
      </c>
      <c r="H113" s="3442">
        <v>31800000</v>
      </c>
      <c r="I113" s="3488"/>
      <c r="J113" s="3488"/>
      <c r="K113" s="3486" t="s">
        <v>1536</v>
      </c>
      <c r="L113" s="3570"/>
    </row>
    <row r="114" spans="1:12" ht="30" customHeight="1" x14ac:dyDescent="0.2">
      <c r="A114" s="3451"/>
      <c r="B114" s="3449"/>
      <c r="C114" s="3451"/>
      <c r="D114" s="3504"/>
      <c r="E114" s="3443"/>
      <c r="F114" s="3443"/>
      <c r="G114" s="3445"/>
      <c r="H114" s="3443"/>
      <c r="I114" s="3490"/>
      <c r="J114" s="3490"/>
      <c r="K114" s="3487"/>
      <c r="L114" s="3571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3450">
        <v>90</v>
      </c>
      <c r="B116" s="3448" t="s">
        <v>222</v>
      </c>
      <c r="C116" s="3450"/>
      <c r="D116" s="3503"/>
      <c r="E116" s="3442"/>
      <c r="F116" s="330">
        <v>93000000</v>
      </c>
      <c r="G116" s="20">
        <v>7.0000000000000007E-2</v>
      </c>
      <c r="H116" s="330">
        <v>6500000</v>
      </c>
      <c r="I116" s="16"/>
      <c r="J116" s="16"/>
      <c r="K116" s="3486" t="s">
        <v>1537</v>
      </c>
      <c r="L116" s="3"/>
    </row>
    <row r="117" spans="1:12" ht="30" customHeight="1" x14ac:dyDescent="0.2">
      <c r="A117" s="3451"/>
      <c r="B117" s="3449"/>
      <c r="C117" s="3451"/>
      <c r="D117" s="3504"/>
      <c r="E117" s="3443"/>
      <c r="F117" s="323">
        <v>257000000</v>
      </c>
      <c r="G117" s="20">
        <v>0.06</v>
      </c>
      <c r="H117" s="330">
        <v>16000000</v>
      </c>
      <c r="I117" s="16"/>
      <c r="J117" s="16"/>
      <c r="K117" s="3487"/>
      <c r="L117" s="3"/>
    </row>
    <row r="118" spans="1:12" ht="30" customHeight="1" x14ac:dyDescent="0.2">
      <c r="A118" s="3450">
        <v>91</v>
      </c>
      <c r="B118" s="3448" t="s">
        <v>223</v>
      </c>
      <c r="C118" s="3450"/>
      <c r="D118" s="3503"/>
      <c r="E118" s="3442"/>
      <c r="F118" s="323">
        <v>130000000</v>
      </c>
      <c r="G118" s="20">
        <v>7.0000000000000007E-2</v>
      </c>
      <c r="H118" s="323">
        <f>F118*G118</f>
        <v>9100000</v>
      </c>
      <c r="I118" s="3488"/>
      <c r="J118" s="3488"/>
      <c r="K118" s="3486" t="s">
        <v>823</v>
      </c>
      <c r="L118" s="3450"/>
    </row>
    <row r="119" spans="1:12" ht="30" customHeight="1" x14ac:dyDescent="0.2">
      <c r="A119" s="3451"/>
      <c r="B119" s="3449"/>
      <c r="C119" s="3451"/>
      <c r="D119" s="3504"/>
      <c r="E119" s="3443"/>
      <c r="F119" s="323">
        <v>100000000</v>
      </c>
      <c r="G119" s="20">
        <v>5.3999999999999999E-2</v>
      </c>
      <c r="H119" s="323">
        <v>5360000</v>
      </c>
      <c r="I119" s="3490"/>
      <c r="J119" s="3490"/>
      <c r="K119" s="3487"/>
      <c r="L119" s="3451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3450">
        <v>93</v>
      </c>
      <c r="B121" s="3448" t="s">
        <v>770</v>
      </c>
      <c r="C121" s="3450"/>
      <c r="D121" s="3503"/>
      <c r="E121" s="3442"/>
      <c r="F121" s="3505"/>
      <c r="G121" s="3507"/>
      <c r="H121" s="3505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3451"/>
      <c r="B122" s="3449"/>
      <c r="C122" s="3451"/>
      <c r="D122" s="3504"/>
      <c r="E122" s="3443"/>
      <c r="F122" s="3506"/>
      <c r="G122" s="3508"/>
      <c r="H122" s="3506"/>
      <c r="I122" s="16"/>
      <c r="J122" s="16"/>
      <c r="K122" s="92"/>
      <c r="L122" s="3"/>
    </row>
    <row r="123" spans="1:12" ht="30" customHeight="1" x14ac:dyDescent="0.2">
      <c r="A123" s="3450">
        <v>94</v>
      </c>
      <c r="B123" s="3448" t="s">
        <v>225</v>
      </c>
      <c r="C123" s="3450"/>
      <c r="D123" s="3503"/>
      <c r="E123" s="3442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3451"/>
      <c r="B124" s="3449"/>
      <c r="C124" s="3451"/>
      <c r="D124" s="3504"/>
      <c r="E124" s="3443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1365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1318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3450">
        <v>103</v>
      </c>
      <c r="B133" s="3448" t="s">
        <v>232</v>
      </c>
      <c r="C133" s="3450"/>
      <c r="D133" s="3503"/>
      <c r="E133" s="3442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3451"/>
      <c r="B134" s="3449"/>
      <c r="C134" s="3451"/>
      <c r="D134" s="3504"/>
      <c r="E134" s="3443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1853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3450">
        <v>111</v>
      </c>
      <c r="B142" s="3513" t="s">
        <v>240</v>
      </c>
      <c r="C142" s="3542" t="s">
        <v>493</v>
      </c>
      <c r="D142" s="3503"/>
      <c r="E142" s="3442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3451"/>
      <c r="B143" s="3514"/>
      <c r="C143" s="3543"/>
      <c r="D143" s="3504"/>
      <c r="E143" s="3443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3450">
        <v>121</v>
      </c>
      <c r="B152" s="3448" t="s">
        <v>249</v>
      </c>
      <c r="C152" s="3542" t="s">
        <v>379</v>
      </c>
      <c r="D152" s="3557"/>
      <c r="E152" s="3442"/>
      <c r="F152" s="3442">
        <v>617000000</v>
      </c>
      <c r="G152" s="3444">
        <v>7.0000000000000007E-2</v>
      </c>
      <c r="H152" s="3442">
        <v>43200000</v>
      </c>
      <c r="I152" s="3488"/>
      <c r="J152" s="3488"/>
      <c r="K152" s="3486"/>
      <c r="L152" s="3450"/>
    </row>
    <row r="153" spans="1:12" ht="30" customHeight="1" x14ac:dyDescent="0.2">
      <c r="A153" s="3456"/>
      <c r="B153" s="3476"/>
      <c r="C153" s="3556"/>
      <c r="D153" s="3558"/>
      <c r="E153" s="3461"/>
      <c r="F153" s="3461"/>
      <c r="G153" s="3474"/>
      <c r="H153" s="3461"/>
      <c r="I153" s="3489"/>
      <c r="J153" s="3489"/>
      <c r="K153" s="3491"/>
      <c r="L153" s="3456"/>
    </row>
    <row r="154" spans="1:12" ht="30" customHeight="1" x14ac:dyDescent="0.2">
      <c r="A154" s="3451"/>
      <c r="B154" s="3449"/>
      <c r="C154" s="3543"/>
      <c r="D154" s="3559"/>
      <c r="E154" s="3443"/>
      <c r="F154" s="3443"/>
      <c r="G154" s="3445"/>
      <c r="H154" s="3443"/>
      <c r="I154" s="3490"/>
      <c r="J154" s="3490"/>
      <c r="K154" s="3487"/>
      <c r="L154" s="3451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1775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3450">
        <v>124</v>
      </c>
      <c r="B157" s="3448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3451"/>
      <c r="B158" s="3449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1854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08">
        <v>180000000</v>
      </c>
      <c r="G161" s="517">
        <v>4.4999999999999998E-2</v>
      </c>
      <c r="H161" s="508">
        <f t="shared" si="3"/>
        <v>8100000</v>
      </c>
      <c r="I161" s="16"/>
      <c r="J161" s="16"/>
      <c r="K161" s="92" t="s">
        <v>1770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3450">
        <v>130</v>
      </c>
      <c r="B164" s="3448" t="s">
        <v>258</v>
      </c>
      <c r="C164" s="3450"/>
      <c r="D164" s="3503"/>
      <c r="E164" s="3442"/>
      <c r="F164" s="3505"/>
      <c r="G164" s="3507"/>
      <c r="H164" s="3505">
        <f t="shared" si="3"/>
        <v>0</v>
      </c>
      <c r="I164" s="16"/>
      <c r="J164" s="16"/>
      <c r="K164" s="3442" t="s">
        <v>1359</v>
      </c>
      <c r="L164" s="3450"/>
    </row>
    <row r="165" spans="1:12" ht="30" customHeight="1" x14ac:dyDescent="0.2">
      <c r="A165" s="3451"/>
      <c r="B165" s="3449"/>
      <c r="C165" s="3451"/>
      <c r="D165" s="3504"/>
      <c r="E165" s="3443"/>
      <c r="F165" s="3506"/>
      <c r="G165" s="3508"/>
      <c r="H165" s="3506"/>
      <c r="I165" s="16"/>
      <c r="J165" s="16"/>
      <c r="K165" s="3443"/>
      <c r="L165" s="3451"/>
    </row>
    <row r="166" spans="1:12" ht="30" customHeight="1" x14ac:dyDescent="0.2">
      <c r="A166" s="3450">
        <v>131</v>
      </c>
      <c r="B166" s="3448" t="s">
        <v>1213</v>
      </c>
      <c r="C166" s="52" t="s">
        <v>1219</v>
      </c>
      <c r="D166" s="3452" t="s">
        <v>1214</v>
      </c>
      <c r="E166" s="3442"/>
      <c r="F166" s="3442">
        <v>200000000</v>
      </c>
      <c r="G166" s="3444">
        <v>0.05</v>
      </c>
      <c r="H166" s="3442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3451"/>
      <c r="B167" s="3449"/>
      <c r="C167" s="52" t="s">
        <v>971</v>
      </c>
      <c r="D167" s="3453"/>
      <c r="E167" s="3443"/>
      <c r="F167" s="3443"/>
      <c r="G167" s="3445"/>
      <c r="H167" s="3443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3450">
        <v>133</v>
      </c>
      <c r="B169" s="3448" t="s">
        <v>1266</v>
      </c>
      <c r="C169" s="3450"/>
      <c r="D169" s="3503"/>
      <c r="E169" s="3442"/>
      <c r="F169" s="3505"/>
      <c r="G169" s="3507"/>
      <c r="H169" s="3505">
        <f t="shared" si="3"/>
        <v>0</v>
      </c>
      <c r="I169" s="16"/>
      <c r="J169" s="16"/>
      <c r="K169" s="92"/>
      <c r="L169" s="3"/>
    </row>
    <row r="170" spans="1:12" ht="30" customHeight="1" x14ac:dyDescent="0.2">
      <c r="A170" s="3456"/>
      <c r="B170" s="3476"/>
      <c r="C170" s="3456"/>
      <c r="D170" s="3534"/>
      <c r="E170" s="3461"/>
      <c r="F170" s="3549"/>
      <c r="G170" s="3550"/>
      <c r="H170" s="3549"/>
      <c r="I170" s="16"/>
      <c r="J170" s="16"/>
      <c r="K170" s="92"/>
      <c r="L170" s="3"/>
    </row>
    <row r="171" spans="1:12" ht="30" customHeight="1" x14ac:dyDescent="0.2">
      <c r="A171" s="3451"/>
      <c r="B171" s="3449"/>
      <c r="C171" s="3451"/>
      <c r="D171" s="3504"/>
      <c r="E171" s="3443"/>
      <c r="F171" s="3506"/>
      <c r="G171" s="3508"/>
      <c r="H171" s="3506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3450">
        <v>136</v>
      </c>
      <c r="B174" s="3448" t="s">
        <v>7</v>
      </c>
      <c r="C174" s="3450"/>
      <c r="D174" s="3503"/>
      <c r="E174" s="3442"/>
      <c r="F174" s="323">
        <v>100000000</v>
      </c>
      <c r="G174" s="20">
        <v>0.05</v>
      </c>
      <c r="H174" s="323">
        <f t="shared" si="3"/>
        <v>5000000</v>
      </c>
      <c r="I174" s="3488"/>
      <c r="J174" s="3488"/>
      <c r="K174" s="3486" t="s">
        <v>1774</v>
      </c>
      <c r="L174" s="3450"/>
    </row>
    <row r="175" spans="1:12" ht="30" customHeight="1" x14ac:dyDescent="0.2">
      <c r="A175" s="3451"/>
      <c r="B175" s="3449"/>
      <c r="C175" s="3451"/>
      <c r="D175" s="3504"/>
      <c r="E175" s="3443"/>
      <c r="F175" s="323">
        <v>100000000</v>
      </c>
      <c r="G175" s="20">
        <v>0.06</v>
      </c>
      <c r="H175" s="323">
        <f t="shared" si="3"/>
        <v>6000000</v>
      </c>
      <c r="I175" s="3490"/>
      <c r="J175" s="3490"/>
      <c r="K175" s="3487"/>
      <c r="L175" s="3451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1959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1358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2354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2357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3450">
        <v>157</v>
      </c>
      <c r="B196" s="3448" t="s">
        <v>21</v>
      </c>
      <c r="C196" s="3450"/>
      <c r="D196" s="3503"/>
      <c r="E196" s="3442"/>
      <c r="F196" s="3442">
        <v>50000000</v>
      </c>
      <c r="G196" s="3444">
        <v>0.04</v>
      </c>
      <c r="H196" s="3442">
        <f t="shared" si="3"/>
        <v>2000000</v>
      </c>
      <c r="I196" s="3488"/>
      <c r="J196" s="3488"/>
      <c r="K196" s="3486"/>
      <c r="L196" s="3450"/>
    </row>
    <row r="197" spans="1:12" ht="30" customHeight="1" x14ac:dyDescent="0.2">
      <c r="A197" s="3451"/>
      <c r="B197" s="3449"/>
      <c r="C197" s="3451"/>
      <c r="D197" s="3504"/>
      <c r="E197" s="3443"/>
      <c r="F197" s="3443"/>
      <c r="G197" s="3445"/>
      <c r="H197" s="3443"/>
      <c r="I197" s="3490"/>
      <c r="J197" s="3490"/>
      <c r="K197" s="3487"/>
      <c r="L197" s="3451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3450">
        <v>159</v>
      </c>
      <c r="B199" s="3450" t="s">
        <v>848</v>
      </c>
      <c r="C199" s="3450"/>
      <c r="D199" s="3503"/>
      <c r="E199" s="3442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3451"/>
      <c r="B200" s="3451"/>
      <c r="C200" s="3451"/>
      <c r="D200" s="3504"/>
      <c r="E200" s="3443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3450">
        <v>173</v>
      </c>
      <c r="B214" s="3513" t="s">
        <v>33</v>
      </c>
      <c r="C214" s="3515"/>
      <c r="D214" s="3517"/>
      <c r="E214" s="3505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3456"/>
      <c r="B215" s="3553"/>
      <c r="C215" s="3554"/>
      <c r="D215" s="3555"/>
      <c r="E215" s="3549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3451"/>
      <c r="B216" s="3514"/>
      <c r="C216" s="3516"/>
      <c r="D216" s="3518"/>
      <c r="E216" s="3506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3450">
        <v>175</v>
      </c>
      <c r="B218" s="3448" t="s">
        <v>1547</v>
      </c>
      <c r="C218" s="3450"/>
      <c r="D218" s="3503"/>
      <c r="E218" s="3442"/>
      <c r="F218" s="3505"/>
      <c r="G218" s="3507"/>
      <c r="H218" s="3505">
        <f t="shared" si="4"/>
        <v>0</v>
      </c>
      <c r="I218" s="3488"/>
      <c r="J218" s="3488"/>
      <c r="K218" s="3486" t="s">
        <v>1546</v>
      </c>
      <c r="L218" s="3450"/>
    </row>
    <row r="219" spans="1:12" ht="30" customHeight="1" x14ac:dyDescent="0.2">
      <c r="A219" s="3456"/>
      <c r="B219" s="3476"/>
      <c r="C219" s="3456"/>
      <c r="D219" s="3534"/>
      <c r="E219" s="3461"/>
      <c r="F219" s="3549"/>
      <c r="G219" s="3550"/>
      <c r="H219" s="3549"/>
      <c r="I219" s="3489"/>
      <c r="J219" s="3489"/>
      <c r="K219" s="3491"/>
      <c r="L219" s="3456"/>
    </row>
    <row r="220" spans="1:12" ht="30" customHeight="1" x14ac:dyDescent="0.2">
      <c r="A220" s="3451"/>
      <c r="B220" s="3449"/>
      <c r="C220" s="3451"/>
      <c r="D220" s="3504"/>
      <c r="E220" s="3443"/>
      <c r="F220" s="3506"/>
      <c r="G220" s="3508"/>
      <c r="H220" s="3506"/>
      <c r="I220" s="3490"/>
      <c r="J220" s="3490"/>
      <c r="K220" s="3487"/>
      <c r="L220" s="3451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3450">
        <v>191</v>
      </c>
      <c r="B236" s="3448" t="s">
        <v>52</v>
      </c>
      <c r="C236" s="43" t="s">
        <v>1131</v>
      </c>
      <c r="D236" s="53" t="s">
        <v>898</v>
      </c>
      <c r="E236" s="53" t="s">
        <v>1321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1256</v>
      </c>
      <c r="L236" s="3"/>
    </row>
    <row r="237" spans="1:12" ht="30" customHeight="1" x14ac:dyDescent="0.2">
      <c r="A237" s="3451"/>
      <c r="B237" s="3449"/>
      <c r="C237" s="43" t="s">
        <v>1131</v>
      </c>
      <c r="D237" s="53" t="s">
        <v>1319</v>
      </c>
      <c r="E237" s="53" t="s">
        <v>1320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3450">
        <v>192</v>
      </c>
      <c r="B238" s="3513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3451"/>
      <c r="B239" s="3514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2110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3450">
        <v>195</v>
      </c>
      <c r="B242" s="3448" t="s">
        <v>56</v>
      </c>
      <c r="C242" s="3450"/>
      <c r="D242" s="3503"/>
      <c r="E242" s="3442"/>
      <c r="F242" s="3505"/>
      <c r="G242" s="3551"/>
      <c r="H242" s="3505">
        <f t="shared" si="4"/>
        <v>0</v>
      </c>
      <c r="I242" s="16"/>
      <c r="J242" s="16"/>
      <c r="K242" s="92"/>
      <c r="L242" s="3"/>
    </row>
    <row r="243" spans="1:12" ht="30" customHeight="1" x14ac:dyDescent="0.2">
      <c r="A243" s="3451"/>
      <c r="B243" s="3449"/>
      <c r="C243" s="3451"/>
      <c r="D243" s="3504"/>
      <c r="E243" s="3443"/>
      <c r="F243" s="3506"/>
      <c r="G243" s="3552"/>
      <c r="H243" s="3506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2610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1371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1292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3450">
        <v>208</v>
      </c>
      <c r="B256" s="3448" t="s">
        <v>69</v>
      </c>
      <c r="C256" s="3450" t="s">
        <v>700</v>
      </c>
      <c r="D256" s="3452" t="s">
        <v>902</v>
      </c>
      <c r="E256" s="3442" t="s">
        <v>1218</v>
      </c>
      <c r="F256" s="323">
        <v>45000000</v>
      </c>
      <c r="G256" s="20">
        <v>0.04</v>
      </c>
      <c r="H256" s="323">
        <f t="shared" si="4"/>
        <v>1800000</v>
      </c>
      <c r="I256" s="3488"/>
      <c r="J256" s="3488"/>
      <c r="K256" s="3486" t="s">
        <v>1203</v>
      </c>
      <c r="L256" s="3450"/>
    </row>
    <row r="257" spans="1:12" ht="30" customHeight="1" x14ac:dyDescent="0.2">
      <c r="A257" s="3451"/>
      <c r="B257" s="3449"/>
      <c r="C257" s="3451"/>
      <c r="D257" s="3453"/>
      <c r="E257" s="3443"/>
      <c r="F257" s="323">
        <v>50000000</v>
      </c>
      <c r="G257" s="20">
        <v>0.04</v>
      </c>
      <c r="H257" s="323">
        <f t="shared" si="4"/>
        <v>2000000</v>
      </c>
      <c r="I257" s="3490"/>
      <c r="J257" s="3490"/>
      <c r="K257" s="3487"/>
      <c r="L257" s="3451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1538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3450">
        <v>221</v>
      </c>
      <c r="B270" s="3450" t="s">
        <v>83</v>
      </c>
      <c r="C270" s="3450"/>
      <c r="D270" s="3503"/>
      <c r="E270" s="3442"/>
      <c r="F270" s="3442">
        <v>203000000</v>
      </c>
      <c r="G270" s="3444">
        <v>0.05</v>
      </c>
      <c r="H270" s="3442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3451"/>
      <c r="B271" s="3451"/>
      <c r="C271" s="3451"/>
      <c r="D271" s="3504"/>
      <c r="E271" s="3443"/>
      <c r="F271" s="3443"/>
      <c r="G271" s="3445"/>
      <c r="H271" s="3443"/>
      <c r="I271" s="16"/>
      <c r="J271" s="16"/>
      <c r="K271" s="92"/>
      <c r="L271" s="3"/>
    </row>
    <row r="272" spans="1:12" ht="30" customHeight="1" x14ac:dyDescent="0.2">
      <c r="A272" s="3450">
        <v>222</v>
      </c>
      <c r="B272" s="3448" t="s">
        <v>332</v>
      </c>
      <c r="C272" s="3450"/>
      <c r="D272" s="3503"/>
      <c r="E272" s="3442"/>
      <c r="F272" s="3442">
        <v>275000000</v>
      </c>
      <c r="G272" s="3444">
        <v>4.2000000000000003E-2</v>
      </c>
      <c r="H272" s="3442">
        <f>F272*G272</f>
        <v>11550000</v>
      </c>
      <c r="I272" s="3488"/>
      <c r="J272" s="3488"/>
      <c r="K272" s="92">
        <v>9157054132</v>
      </c>
      <c r="L272" s="3450"/>
    </row>
    <row r="273" spans="1:12" ht="30" customHeight="1" x14ac:dyDescent="0.2">
      <c r="A273" s="3451"/>
      <c r="B273" s="3449"/>
      <c r="C273" s="3451"/>
      <c r="D273" s="3504"/>
      <c r="E273" s="3443"/>
      <c r="F273" s="3443"/>
      <c r="G273" s="3445"/>
      <c r="H273" s="3443"/>
      <c r="I273" s="3490"/>
      <c r="J273" s="3490"/>
      <c r="K273" s="92"/>
      <c r="L273" s="3451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1253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1746</v>
      </c>
      <c r="D275" s="9"/>
      <c r="E275" s="330"/>
      <c r="F275" s="508">
        <v>100000000</v>
      </c>
      <c r="G275" s="517">
        <v>0.05</v>
      </c>
      <c r="H275" s="508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3450">
        <v>227</v>
      </c>
      <c r="B278" s="3448" t="s">
        <v>88</v>
      </c>
      <c r="C278" s="3450"/>
      <c r="D278" s="3503"/>
      <c r="E278" s="3442"/>
      <c r="F278" s="174"/>
      <c r="G278" s="3538" t="s">
        <v>1284</v>
      </c>
      <c r="H278" s="3539"/>
      <c r="I278" s="16"/>
      <c r="J278" s="16"/>
      <c r="K278" s="92" t="s">
        <v>1171</v>
      </c>
      <c r="L278" s="3"/>
    </row>
    <row r="279" spans="1:12" ht="30" customHeight="1" x14ac:dyDescent="0.2">
      <c r="A279" s="3451"/>
      <c r="B279" s="3449"/>
      <c r="C279" s="3451"/>
      <c r="D279" s="3504"/>
      <c r="E279" s="3443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1857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3450">
        <v>235</v>
      </c>
      <c r="B287" s="3448" t="s">
        <v>95</v>
      </c>
      <c r="C287" s="3450"/>
      <c r="D287" s="3503"/>
      <c r="E287" s="3442"/>
      <c r="F287" s="3505"/>
      <c r="G287" s="3507"/>
      <c r="H287" s="3442">
        <v>21000000</v>
      </c>
      <c r="I287" s="3488"/>
      <c r="J287" s="3488"/>
      <c r="K287" s="3486"/>
      <c r="L287" s="3492" t="s">
        <v>667</v>
      </c>
    </row>
    <row r="288" spans="1:12" ht="30" customHeight="1" x14ac:dyDescent="0.2">
      <c r="A288" s="3456"/>
      <c r="B288" s="3476"/>
      <c r="C288" s="3456"/>
      <c r="D288" s="3534"/>
      <c r="E288" s="3461"/>
      <c r="F288" s="3549"/>
      <c r="G288" s="3550"/>
      <c r="H288" s="3443"/>
      <c r="I288" s="3489"/>
      <c r="J288" s="3489"/>
      <c r="K288" s="3491"/>
      <c r="L288" s="3493"/>
    </row>
    <row r="289" spans="1:12" ht="30" customHeight="1" x14ac:dyDescent="0.2">
      <c r="A289" s="3451"/>
      <c r="B289" s="3449"/>
      <c r="C289" s="3451"/>
      <c r="D289" s="3504"/>
      <c r="E289" s="3443"/>
      <c r="F289" s="3506"/>
      <c r="G289" s="3508"/>
      <c r="H289" s="323">
        <v>21000000</v>
      </c>
      <c r="I289" s="3490"/>
      <c r="J289" s="3490"/>
      <c r="K289" s="3487"/>
      <c r="L289" s="3494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3450">
        <v>242</v>
      </c>
      <c r="B296" s="3448" t="s">
        <v>573</v>
      </c>
      <c r="C296" s="3450"/>
      <c r="D296" s="3503"/>
      <c r="E296" s="3442"/>
      <c r="F296" s="3442">
        <v>30000000</v>
      </c>
      <c r="G296" s="3507"/>
      <c r="H296" s="3442">
        <v>2350000</v>
      </c>
      <c r="I296" s="3488"/>
      <c r="J296" s="3488"/>
      <c r="K296" s="3486"/>
      <c r="L296" s="3495" t="s">
        <v>673</v>
      </c>
    </row>
    <row r="297" spans="1:12" ht="30" customHeight="1" x14ac:dyDescent="0.2">
      <c r="A297" s="3451"/>
      <c r="B297" s="3449"/>
      <c r="C297" s="3451"/>
      <c r="D297" s="3504"/>
      <c r="E297" s="3443"/>
      <c r="F297" s="3443"/>
      <c r="G297" s="3508"/>
      <c r="H297" s="3443"/>
      <c r="I297" s="3490"/>
      <c r="J297" s="3490"/>
      <c r="K297" s="3487"/>
      <c r="L297" s="3496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3450">
        <v>244</v>
      </c>
      <c r="B299" s="3448" t="s">
        <v>519</v>
      </c>
      <c r="C299" s="3546" t="s">
        <v>379</v>
      </c>
      <c r="D299" s="3503"/>
      <c r="E299" s="3442"/>
      <c r="F299" s="330">
        <v>25000000</v>
      </c>
      <c r="G299" s="20">
        <v>0.04</v>
      </c>
      <c r="H299" s="330">
        <f t="shared" si="5"/>
        <v>1000000</v>
      </c>
      <c r="I299" s="3488"/>
      <c r="J299" s="3488"/>
      <c r="K299" s="3486" t="s">
        <v>2087</v>
      </c>
      <c r="L299" s="3450"/>
    </row>
    <row r="300" spans="1:12" ht="30" customHeight="1" x14ac:dyDescent="0.2">
      <c r="A300" s="3456"/>
      <c r="B300" s="3476"/>
      <c r="C300" s="3547"/>
      <c r="D300" s="3534"/>
      <c r="E300" s="3461"/>
      <c r="F300" s="3325" t="s">
        <v>1216</v>
      </c>
      <c r="G300" s="3340"/>
      <c r="H300" s="3341"/>
      <c r="I300" s="3489"/>
      <c r="J300" s="3489"/>
      <c r="K300" s="3491"/>
      <c r="L300" s="3456"/>
    </row>
    <row r="301" spans="1:12" ht="30" customHeight="1" x14ac:dyDescent="0.2">
      <c r="A301" s="3451"/>
      <c r="B301" s="3449"/>
      <c r="C301" s="3548"/>
      <c r="D301" s="3504"/>
      <c r="E301" s="3443"/>
      <c r="F301" s="330">
        <v>20000000</v>
      </c>
      <c r="G301" s="20">
        <v>0.04</v>
      </c>
      <c r="H301" s="330">
        <f>F301*G301</f>
        <v>800000</v>
      </c>
      <c r="I301" s="3490"/>
      <c r="J301" s="3490"/>
      <c r="K301" s="3487"/>
      <c r="L301" s="3451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1858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1958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2">
        <v>50000000</v>
      </c>
      <c r="G319" s="696">
        <v>0.05</v>
      </c>
      <c r="H319" s="692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2086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3450">
        <v>267</v>
      </c>
      <c r="B324" s="3448" t="s">
        <v>123</v>
      </c>
      <c r="C324" s="3450"/>
      <c r="D324" s="3503"/>
      <c r="E324" s="3442"/>
      <c r="F324" s="323">
        <v>190000000</v>
      </c>
      <c r="G324" s="20">
        <v>5.5E-2</v>
      </c>
      <c r="H324" s="323">
        <f t="shared" si="5"/>
        <v>10450000</v>
      </c>
      <c r="I324" s="3488"/>
      <c r="J324" s="3488"/>
      <c r="K324" s="3486"/>
      <c r="L324" s="3450"/>
    </row>
    <row r="325" spans="1:12" ht="30" customHeight="1" x14ac:dyDescent="0.2">
      <c r="A325" s="3456"/>
      <c r="B325" s="3476"/>
      <c r="C325" s="3456"/>
      <c r="D325" s="3534"/>
      <c r="E325" s="3461"/>
      <c r="F325" s="3442">
        <v>190000000</v>
      </c>
      <c r="G325" s="3538" t="s">
        <v>884</v>
      </c>
      <c r="H325" s="3539"/>
      <c r="I325" s="3490"/>
      <c r="J325" s="3490"/>
      <c r="K325" s="3487"/>
      <c r="L325" s="3451"/>
    </row>
    <row r="326" spans="1:12" ht="30" customHeight="1" x14ac:dyDescent="0.2">
      <c r="A326" s="3456"/>
      <c r="B326" s="3476"/>
      <c r="C326" s="3456"/>
      <c r="D326" s="3534"/>
      <c r="E326" s="3461"/>
      <c r="F326" s="3461"/>
      <c r="G326" s="3544"/>
      <c r="H326" s="3545"/>
      <c r="I326" s="16"/>
      <c r="J326" s="16"/>
      <c r="K326" s="92"/>
      <c r="L326" s="318"/>
    </row>
    <row r="327" spans="1:12" ht="30" customHeight="1" x14ac:dyDescent="0.2">
      <c r="A327" s="3456"/>
      <c r="B327" s="3476"/>
      <c r="C327" s="3456"/>
      <c r="D327" s="3534"/>
      <c r="E327" s="3461"/>
      <c r="F327" s="3461"/>
      <c r="G327" s="3544"/>
      <c r="H327" s="3545"/>
      <c r="I327" s="16"/>
      <c r="J327" s="16"/>
      <c r="K327" s="92"/>
      <c r="L327" s="318"/>
    </row>
    <row r="328" spans="1:12" ht="30" customHeight="1" x14ac:dyDescent="0.2">
      <c r="A328" s="3456"/>
      <c r="B328" s="3476"/>
      <c r="C328" s="3456"/>
      <c r="D328" s="3534"/>
      <c r="E328" s="3461"/>
      <c r="F328" s="3461"/>
      <c r="G328" s="3544"/>
      <c r="H328" s="3545"/>
      <c r="I328" s="16"/>
      <c r="J328" s="16"/>
      <c r="K328" s="92"/>
      <c r="L328" s="318"/>
    </row>
    <row r="329" spans="1:12" ht="30" customHeight="1" x14ac:dyDescent="0.2">
      <c r="A329" s="3456"/>
      <c r="B329" s="3476"/>
      <c r="C329" s="3456"/>
      <c r="D329" s="3534"/>
      <c r="E329" s="3461"/>
      <c r="F329" s="3461"/>
      <c r="G329" s="3544"/>
      <c r="H329" s="3545"/>
      <c r="I329" s="16"/>
      <c r="J329" s="16"/>
      <c r="K329" s="92"/>
      <c r="L329" s="318"/>
    </row>
    <row r="330" spans="1:12" ht="30" customHeight="1" x14ac:dyDescent="0.2">
      <c r="A330" s="3456"/>
      <c r="B330" s="3476"/>
      <c r="C330" s="3456"/>
      <c r="D330" s="3534"/>
      <c r="E330" s="3461"/>
      <c r="F330" s="3461"/>
      <c r="G330" s="3544"/>
      <c r="H330" s="3545"/>
      <c r="I330" s="16"/>
      <c r="J330" s="16"/>
      <c r="K330" s="92"/>
      <c r="L330" s="318"/>
    </row>
    <row r="331" spans="1:12" ht="30" customHeight="1" x14ac:dyDescent="0.2">
      <c r="A331" s="3451"/>
      <c r="B331" s="3449"/>
      <c r="C331" s="3451"/>
      <c r="D331" s="3504"/>
      <c r="E331" s="3443"/>
      <c r="F331" s="3443"/>
      <c r="G331" s="3540"/>
      <c r="H331" s="3541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2088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3450">
        <v>301</v>
      </c>
      <c r="B338" s="3448" t="s">
        <v>128</v>
      </c>
      <c r="C338" s="3542" t="s">
        <v>516</v>
      </c>
      <c r="D338" s="3503"/>
      <c r="E338" s="3442"/>
      <c r="F338" s="3442">
        <v>40000000</v>
      </c>
      <c r="G338" s="3444">
        <v>5.5E-2</v>
      </c>
      <c r="H338" s="3442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3451"/>
      <c r="B339" s="3449"/>
      <c r="C339" s="3543"/>
      <c r="D339" s="3504"/>
      <c r="E339" s="3443"/>
      <c r="F339" s="3443"/>
      <c r="G339" s="3445"/>
      <c r="H339" s="3443"/>
      <c r="I339" s="16"/>
      <c r="J339" s="16"/>
      <c r="K339" s="92"/>
      <c r="L339" s="3"/>
    </row>
    <row r="340" spans="1:12" ht="30" customHeight="1" x14ac:dyDescent="0.2">
      <c r="A340" s="3450">
        <v>302</v>
      </c>
      <c r="B340" s="3448" t="s">
        <v>129</v>
      </c>
      <c r="C340" s="3450"/>
      <c r="D340" s="3503"/>
      <c r="E340" s="3442"/>
      <c r="F340" s="323">
        <v>560000000</v>
      </c>
      <c r="G340" s="20">
        <v>5.5E-2</v>
      </c>
      <c r="H340" s="323">
        <f t="shared" si="6"/>
        <v>30800000</v>
      </c>
      <c r="I340" s="3488"/>
      <c r="J340" s="3488"/>
      <c r="K340" s="3486" t="s">
        <v>2098</v>
      </c>
      <c r="L340" s="3450"/>
    </row>
    <row r="341" spans="1:12" ht="30" customHeight="1" x14ac:dyDescent="0.2">
      <c r="A341" s="3451"/>
      <c r="B341" s="3449"/>
      <c r="C341" s="3451"/>
      <c r="D341" s="3504"/>
      <c r="E341" s="3443"/>
      <c r="F341" s="323">
        <v>105000000</v>
      </c>
      <c r="G341" s="324">
        <v>0.06</v>
      </c>
      <c r="H341" s="323">
        <f>F341*G341</f>
        <v>6300000</v>
      </c>
      <c r="I341" s="3490"/>
      <c r="J341" s="3490"/>
      <c r="K341" s="3487"/>
      <c r="L341" s="3451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3450">
        <v>311</v>
      </c>
      <c r="B350" s="3448" t="s">
        <v>136</v>
      </c>
      <c r="C350" s="3542" t="s">
        <v>568</v>
      </c>
      <c r="D350" s="3503"/>
      <c r="E350" s="3442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3451"/>
      <c r="B351" s="3449"/>
      <c r="C351" s="3543"/>
      <c r="D351" s="3504"/>
      <c r="E351" s="3443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3450">
        <v>313</v>
      </c>
      <c r="B353" s="3448" t="s">
        <v>137</v>
      </c>
      <c r="C353" s="3450"/>
      <c r="D353" s="3503"/>
      <c r="E353" s="3442"/>
      <c r="F353" s="3505"/>
      <c r="G353" s="3507"/>
      <c r="H353" s="3442">
        <v>1550000</v>
      </c>
      <c r="I353" s="3488"/>
      <c r="J353" s="3488"/>
      <c r="K353" s="3486"/>
      <c r="L353" s="3499" t="s">
        <v>642</v>
      </c>
    </row>
    <row r="354" spans="1:12" ht="30" customHeight="1" x14ac:dyDescent="0.2">
      <c r="A354" s="3451"/>
      <c r="B354" s="3449"/>
      <c r="C354" s="3451"/>
      <c r="D354" s="3504"/>
      <c r="E354" s="3443"/>
      <c r="F354" s="3506"/>
      <c r="G354" s="3508"/>
      <c r="H354" s="3443"/>
      <c r="I354" s="3490"/>
      <c r="J354" s="3490"/>
      <c r="K354" s="3487"/>
      <c r="L354" s="3500"/>
    </row>
    <row r="355" spans="1:12" ht="30" customHeight="1" x14ac:dyDescent="0.2">
      <c r="A355" s="3450">
        <v>314</v>
      </c>
      <c r="B355" s="3448" t="s">
        <v>1197</v>
      </c>
      <c r="C355" s="3542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3488"/>
      <c r="J355" s="3488"/>
      <c r="K355" s="3486" t="s">
        <v>1201</v>
      </c>
      <c r="L355" s="3499" t="s">
        <v>1200</v>
      </c>
    </row>
    <row r="356" spans="1:12" ht="30" customHeight="1" x14ac:dyDescent="0.2">
      <c r="A356" s="3451"/>
      <c r="B356" s="3449"/>
      <c r="C356" s="3543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3490"/>
      <c r="J356" s="3490"/>
      <c r="K356" s="3487"/>
      <c r="L356" s="3500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3450">
        <v>321</v>
      </c>
      <c r="B363" s="3448" t="s">
        <v>142</v>
      </c>
      <c r="C363" s="3450"/>
      <c r="D363" s="3503"/>
      <c r="E363" s="3442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3456"/>
      <c r="B364" s="3476"/>
      <c r="C364" s="3456"/>
      <c r="D364" s="3534"/>
      <c r="E364" s="3461"/>
      <c r="F364" s="3442">
        <v>20000000</v>
      </c>
      <c r="G364" s="3538" t="s">
        <v>668</v>
      </c>
      <c r="H364" s="3539"/>
      <c r="I364" s="16"/>
      <c r="J364" s="16"/>
      <c r="K364" s="92"/>
      <c r="L364" s="3"/>
    </row>
    <row r="365" spans="1:12" ht="30" customHeight="1" x14ac:dyDescent="0.2">
      <c r="A365" s="3451"/>
      <c r="B365" s="3449"/>
      <c r="C365" s="3451"/>
      <c r="D365" s="3504"/>
      <c r="E365" s="3443"/>
      <c r="F365" s="3443"/>
      <c r="G365" s="3540"/>
      <c r="H365" s="3541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2611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3450">
        <v>324</v>
      </c>
      <c r="B368" s="3448" t="s">
        <v>145</v>
      </c>
      <c r="C368" s="3450"/>
      <c r="D368" s="3503"/>
      <c r="E368" s="3442"/>
      <c r="F368" s="3442">
        <v>100000000</v>
      </c>
      <c r="G368" s="3538" t="s">
        <v>668</v>
      </c>
      <c r="H368" s="3539"/>
      <c r="I368" s="16"/>
      <c r="J368" s="16"/>
      <c r="K368" s="92"/>
      <c r="L368" s="3"/>
    </row>
    <row r="369" spans="1:12" ht="30" customHeight="1" x14ac:dyDescent="0.2">
      <c r="A369" s="3456"/>
      <c r="B369" s="3476"/>
      <c r="C369" s="3456"/>
      <c r="D369" s="3534"/>
      <c r="E369" s="3461"/>
      <c r="F369" s="3443"/>
      <c r="G369" s="3540"/>
      <c r="H369" s="3541"/>
      <c r="I369" s="16"/>
      <c r="J369" s="16"/>
      <c r="K369" s="92"/>
      <c r="L369" s="3"/>
    </row>
    <row r="370" spans="1:12" ht="30" customHeight="1" x14ac:dyDescent="0.2">
      <c r="A370" s="3451"/>
      <c r="B370" s="3449"/>
      <c r="C370" s="3451"/>
      <c r="D370" s="3504"/>
      <c r="E370" s="3443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3450">
        <v>329</v>
      </c>
      <c r="B375" s="3448" t="s">
        <v>851</v>
      </c>
      <c r="C375" s="3450"/>
      <c r="D375" s="3503"/>
      <c r="E375" s="3442"/>
      <c r="F375" s="3535">
        <v>200000000</v>
      </c>
      <c r="G375" s="3528" t="s">
        <v>884</v>
      </c>
      <c r="H375" s="3529"/>
      <c r="I375" s="3488"/>
      <c r="J375" s="3488"/>
      <c r="K375" s="3486"/>
      <c r="L375" s="3407"/>
    </row>
    <row r="376" spans="1:12" ht="30" customHeight="1" x14ac:dyDescent="0.2">
      <c r="A376" s="3456"/>
      <c r="B376" s="3476"/>
      <c r="C376" s="3456"/>
      <c r="D376" s="3534"/>
      <c r="E376" s="3461"/>
      <c r="F376" s="3536"/>
      <c r="G376" s="3530"/>
      <c r="H376" s="3531"/>
      <c r="I376" s="3489"/>
      <c r="J376" s="3489"/>
      <c r="K376" s="3491"/>
      <c r="L376" s="3527"/>
    </row>
    <row r="377" spans="1:12" ht="30" customHeight="1" x14ac:dyDescent="0.2">
      <c r="A377" s="3456"/>
      <c r="B377" s="3476"/>
      <c r="C377" s="3456"/>
      <c r="D377" s="3534"/>
      <c r="E377" s="3461"/>
      <c r="F377" s="3536"/>
      <c r="G377" s="3530"/>
      <c r="H377" s="3531"/>
      <c r="I377" s="3489"/>
      <c r="J377" s="3489"/>
      <c r="K377" s="3491"/>
      <c r="L377" s="3527"/>
    </row>
    <row r="378" spans="1:12" ht="30" customHeight="1" x14ac:dyDescent="0.2">
      <c r="A378" s="3456"/>
      <c r="B378" s="3476"/>
      <c r="C378" s="3456"/>
      <c r="D378" s="3534"/>
      <c r="E378" s="3461"/>
      <c r="F378" s="3536"/>
      <c r="G378" s="3530"/>
      <c r="H378" s="3531"/>
      <c r="I378" s="3489"/>
      <c r="J378" s="3489"/>
      <c r="K378" s="3491"/>
      <c r="L378" s="3527"/>
    </row>
    <row r="379" spans="1:12" ht="30" customHeight="1" x14ac:dyDescent="0.2">
      <c r="A379" s="3451"/>
      <c r="B379" s="3449"/>
      <c r="C379" s="3451"/>
      <c r="D379" s="3504"/>
      <c r="E379" s="3443"/>
      <c r="F379" s="3537"/>
      <c r="G379" s="3532"/>
      <c r="H379" s="3533"/>
      <c r="I379" s="3490"/>
      <c r="J379" s="3490"/>
      <c r="K379" s="3487"/>
      <c r="L379" s="3408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3450">
        <v>331</v>
      </c>
      <c r="B381" s="3448" t="s">
        <v>150</v>
      </c>
      <c r="C381" s="3450" t="s">
        <v>867</v>
      </c>
      <c r="D381" s="3503"/>
      <c r="E381" s="3442"/>
      <c r="F381" s="3442">
        <v>178000000</v>
      </c>
      <c r="G381" s="3444">
        <v>5.8999999999999997E-2</v>
      </c>
      <c r="H381" s="3442">
        <v>10200000</v>
      </c>
      <c r="I381" s="16"/>
      <c r="J381" s="16"/>
      <c r="K381" s="92"/>
      <c r="L381" s="3"/>
    </row>
    <row r="382" spans="1:12" ht="30" customHeight="1" x14ac:dyDescent="0.2">
      <c r="A382" s="3451"/>
      <c r="B382" s="3449"/>
      <c r="C382" s="3451"/>
      <c r="D382" s="3504"/>
      <c r="E382" s="3443"/>
      <c r="F382" s="3443"/>
      <c r="G382" s="3445"/>
      <c r="H382" s="3443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3450">
        <v>334</v>
      </c>
      <c r="B385" s="3448" t="s">
        <v>153</v>
      </c>
      <c r="C385" s="3450"/>
      <c r="D385" s="3503"/>
      <c r="E385" s="3442"/>
      <c r="F385" s="3505"/>
      <c r="G385" s="3507"/>
      <c r="H385" s="3505">
        <f t="shared" si="6"/>
        <v>0</v>
      </c>
      <c r="I385" s="16"/>
      <c r="J385" s="16"/>
      <c r="K385" s="92"/>
      <c r="L385" s="3"/>
    </row>
    <row r="386" spans="1:12" ht="30" customHeight="1" x14ac:dyDescent="0.2">
      <c r="A386" s="3451"/>
      <c r="B386" s="3449"/>
      <c r="C386" s="3451"/>
      <c r="D386" s="3504"/>
      <c r="E386" s="3443"/>
      <c r="F386" s="3506"/>
      <c r="G386" s="3508"/>
      <c r="H386" s="3506"/>
      <c r="I386" s="16"/>
      <c r="J386" s="16"/>
      <c r="K386" s="92"/>
      <c r="L386" s="3"/>
    </row>
    <row r="387" spans="1:12" ht="30" customHeight="1" x14ac:dyDescent="0.2">
      <c r="A387" s="3450">
        <v>335</v>
      </c>
      <c r="B387" s="3457" t="s">
        <v>154</v>
      </c>
      <c r="C387" s="3525"/>
      <c r="D387" s="3503"/>
      <c r="E387" s="3442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3451"/>
      <c r="B388" s="3458"/>
      <c r="C388" s="3526"/>
      <c r="D388" s="3504"/>
      <c r="E388" s="3443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3450">
        <v>336</v>
      </c>
      <c r="B389" s="3448" t="s">
        <v>155</v>
      </c>
      <c r="C389" s="3450"/>
      <c r="D389" s="3503"/>
      <c r="E389" s="3442"/>
      <c r="F389" s="3505"/>
      <c r="G389" s="3519"/>
      <c r="H389" s="3428">
        <f t="shared" si="6"/>
        <v>0</v>
      </c>
      <c r="I389" s="16"/>
      <c r="J389" s="16"/>
      <c r="K389" s="383" t="s">
        <v>1362</v>
      </c>
      <c r="L389" s="3"/>
    </row>
    <row r="390" spans="1:12" ht="30" customHeight="1" x14ac:dyDescent="0.2">
      <c r="A390" s="3451"/>
      <c r="B390" s="3449"/>
      <c r="C390" s="3451"/>
      <c r="D390" s="3504"/>
      <c r="E390" s="3443"/>
      <c r="F390" s="3506"/>
      <c r="G390" s="3520"/>
      <c r="H390" s="3428"/>
      <c r="I390" s="16"/>
      <c r="J390" s="16"/>
      <c r="K390" s="383" t="s">
        <v>1363</v>
      </c>
      <c r="L390" s="3"/>
    </row>
    <row r="391" spans="1:12" ht="30" customHeight="1" x14ac:dyDescent="0.2">
      <c r="A391" s="3450">
        <v>337</v>
      </c>
      <c r="B391" s="3448" t="s">
        <v>156</v>
      </c>
      <c r="C391" s="3450"/>
      <c r="D391" s="3503"/>
      <c r="E391" s="3442"/>
      <c r="F391" s="3442">
        <v>70000000</v>
      </c>
      <c r="G391" s="3521" t="s">
        <v>668</v>
      </c>
      <c r="H391" s="3522"/>
      <c r="I391" s="16"/>
      <c r="J391" s="16"/>
      <c r="K391" s="3486" t="s">
        <v>1364</v>
      </c>
      <c r="L391" s="3"/>
    </row>
    <row r="392" spans="1:12" ht="30" customHeight="1" x14ac:dyDescent="0.2">
      <c r="A392" s="3451"/>
      <c r="B392" s="3449"/>
      <c r="C392" s="3451"/>
      <c r="D392" s="3504"/>
      <c r="E392" s="3443"/>
      <c r="F392" s="3443"/>
      <c r="G392" s="3523"/>
      <c r="H392" s="3524"/>
      <c r="I392" s="16"/>
      <c r="J392" s="16"/>
      <c r="K392" s="3487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3450">
        <v>339</v>
      </c>
      <c r="B394" s="3448" t="s">
        <v>158</v>
      </c>
      <c r="C394" s="3450"/>
      <c r="D394" s="3503"/>
      <c r="E394" s="3442"/>
      <c r="F394" s="3442">
        <v>300000000</v>
      </c>
      <c r="G394" s="3444">
        <v>0.05</v>
      </c>
      <c r="H394" s="3442">
        <f t="shared" si="6"/>
        <v>15000000</v>
      </c>
      <c r="I394" s="16"/>
      <c r="J394" s="16"/>
      <c r="K394" s="3486" t="s">
        <v>1957</v>
      </c>
      <c r="L394" s="3450"/>
    </row>
    <row r="395" spans="1:12" ht="30" customHeight="1" x14ac:dyDescent="0.2">
      <c r="A395" s="3451"/>
      <c r="B395" s="3449"/>
      <c r="C395" s="3451"/>
      <c r="D395" s="3504"/>
      <c r="E395" s="3443"/>
      <c r="F395" s="3443"/>
      <c r="G395" s="3445"/>
      <c r="H395" s="3443"/>
      <c r="I395" s="16"/>
      <c r="J395" s="16"/>
      <c r="K395" s="3487"/>
      <c r="L395" s="3451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1857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3450">
        <v>343</v>
      </c>
      <c r="B399" s="3448" t="s">
        <v>164</v>
      </c>
      <c r="C399" s="3450"/>
      <c r="D399" s="3503"/>
      <c r="E399" s="3442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3451"/>
      <c r="B400" s="3449"/>
      <c r="C400" s="3451"/>
      <c r="D400" s="3504"/>
      <c r="E400" s="3443"/>
      <c r="F400" s="3325" t="s">
        <v>1333</v>
      </c>
      <c r="G400" s="3340"/>
      <c r="H400" s="3341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3">
        <v>400000000</v>
      </c>
      <c r="G402" s="583">
        <v>6.3E-2</v>
      </c>
      <c r="H402" s="573">
        <v>25000000</v>
      </c>
      <c r="I402" s="16"/>
      <c r="J402" s="16"/>
      <c r="K402" s="92" t="s">
        <v>1956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1451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1526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1527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3450">
        <v>355</v>
      </c>
      <c r="B413" s="3457" t="s">
        <v>273</v>
      </c>
      <c r="C413" s="319"/>
      <c r="D413" s="3503"/>
      <c r="E413" s="3442"/>
      <c r="F413" s="323">
        <v>300000000</v>
      </c>
      <c r="G413" s="47"/>
      <c r="H413" s="323">
        <v>30750000</v>
      </c>
      <c r="I413" s="3454" t="s">
        <v>276</v>
      </c>
      <c r="J413" s="3454">
        <v>440000000</v>
      </c>
      <c r="K413" s="3486" t="s">
        <v>1885</v>
      </c>
      <c r="L413" s="3497"/>
    </row>
    <row r="414" spans="1:12" ht="30" customHeight="1" x14ac:dyDescent="0.2">
      <c r="A414" s="3451"/>
      <c r="B414" s="3458"/>
      <c r="C414" s="320"/>
      <c r="D414" s="3504"/>
      <c r="E414" s="3443"/>
      <c r="F414" s="323">
        <v>140000000</v>
      </c>
      <c r="G414" s="48"/>
      <c r="H414" s="323">
        <v>9800000</v>
      </c>
      <c r="I414" s="3455"/>
      <c r="J414" s="3455"/>
      <c r="K414" s="3487"/>
      <c r="L414" s="3498"/>
    </row>
    <row r="415" spans="1:12" ht="30" customHeight="1" x14ac:dyDescent="0.2">
      <c r="A415" s="3450">
        <v>356</v>
      </c>
      <c r="B415" s="3513" t="s">
        <v>179</v>
      </c>
      <c r="C415" s="3515"/>
      <c r="D415" s="3517"/>
      <c r="E415" s="3505"/>
      <c r="F415" s="3505"/>
      <c r="G415" s="3507"/>
      <c r="H415" s="3505">
        <v>25000000</v>
      </c>
      <c r="I415" s="3509"/>
      <c r="J415" s="3509"/>
      <c r="K415" s="3511"/>
      <c r="L415" s="3501" t="s">
        <v>765</v>
      </c>
    </row>
    <row r="416" spans="1:12" ht="30" customHeight="1" x14ac:dyDescent="0.2">
      <c r="A416" s="3451"/>
      <c r="B416" s="3514"/>
      <c r="C416" s="3516"/>
      <c r="D416" s="3518"/>
      <c r="E416" s="3506"/>
      <c r="F416" s="3506"/>
      <c r="G416" s="3508"/>
      <c r="H416" s="3506"/>
      <c r="I416" s="3510"/>
      <c r="J416" s="3510"/>
      <c r="K416" s="3512"/>
      <c r="L416" s="3502"/>
    </row>
    <row r="417" spans="1:12" ht="30" customHeight="1" x14ac:dyDescent="0.2">
      <c r="A417" s="4">
        <v>357</v>
      </c>
      <c r="B417" s="3" t="s">
        <v>1280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1372</v>
      </c>
      <c r="L417" s="82" t="s">
        <v>1281</v>
      </c>
    </row>
    <row r="418" spans="1:12" ht="30" customHeight="1" x14ac:dyDescent="0.2">
      <c r="A418" s="4">
        <v>358</v>
      </c>
      <c r="B418" s="3" t="s">
        <v>1257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1525</v>
      </c>
      <c r="L418" s="82"/>
    </row>
    <row r="419" spans="1:12" ht="30" customHeight="1" x14ac:dyDescent="0.2">
      <c r="A419" s="3450">
        <v>359</v>
      </c>
      <c r="B419" s="3448" t="s">
        <v>184</v>
      </c>
      <c r="C419" s="3450"/>
      <c r="D419" s="3503"/>
      <c r="E419" s="3442"/>
      <c r="F419" s="3505"/>
      <c r="G419" s="3507"/>
      <c r="H419" s="3505">
        <f t="shared" si="8"/>
        <v>0</v>
      </c>
      <c r="I419" s="3488"/>
      <c r="J419" s="3488"/>
      <c r="K419" s="3486"/>
      <c r="L419" s="3450"/>
    </row>
    <row r="420" spans="1:12" ht="30" customHeight="1" x14ac:dyDescent="0.2">
      <c r="A420" s="3451"/>
      <c r="B420" s="3449"/>
      <c r="C420" s="3451"/>
      <c r="D420" s="3504"/>
      <c r="E420" s="3443"/>
      <c r="F420" s="3506"/>
      <c r="G420" s="3508"/>
      <c r="H420" s="3506"/>
      <c r="I420" s="3490"/>
      <c r="J420" s="3490"/>
      <c r="K420" s="3487"/>
      <c r="L420" s="3451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3450">
        <v>363</v>
      </c>
      <c r="B424" s="3448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3451"/>
      <c r="B425" s="3449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1312</v>
      </c>
      <c r="C426" s="52" t="s">
        <v>916</v>
      </c>
      <c r="D426" s="37" t="s">
        <v>926</v>
      </c>
      <c r="E426" s="330" t="s">
        <v>1313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1567</v>
      </c>
      <c r="L426" s="3"/>
    </row>
    <row r="427" spans="1:12" ht="30" customHeight="1" x14ac:dyDescent="0.2">
      <c r="A427" s="4">
        <v>365</v>
      </c>
      <c r="B427" s="326" t="s">
        <v>1328</v>
      </c>
      <c r="C427" s="52" t="s">
        <v>916</v>
      </c>
      <c r="D427" s="37" t="s">
        <v>926</v>
      </c>
      <c r="E427" s="330" t="s">
        <v>1313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1339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1340</v>
      </c>
      <c r="L428" s="3"/>
    </row>
    <row r="429" spans="1:12" ht="30" customHeight="1" x14ac:dyDescent="0.2">
      <c r="A429" s="4"/>
      <c r="B429" s="349" t="s">
        <v>1356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1357</v>
      </c>
      <c r="L429" s="3"/>
    </row>
    <row r="430" spans="1:12" ht="30" customHeight="1" x14ac:dyDescent="0.2">
      <c r="A430" s="4"/>
      <c r="B430" s="414" t="s">
        <v>1523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1522</v>
      </c>
      <c r="L430" s="3"/>
    </row>
    <row r="431" spans="1:12" ht="30" customHeight="1" x14ac:dyDescent="0.2">
      <c r="A431" s="4"/>
      <c r="B431" s="414" t="s">
        <v>1543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1544</v>
      </c>
      <c r="L431" s="3"/>
    </row>
    <row r="432" spans="1:12" ht="30" customHeight="1" x14ac:dyDescent="0.2">
      <c r="A432" s="4"/>
      <c r="B432" s="546" t="s">
        <v>1851</v>
      </c>
      <c r="C432" s="52"/>
      <c r="D432" s="37"/>
      <c r="E432" s="550"/>
      <c r="F432" s="544"/>
      <c r="G432" s="553"/>
      <c r="H432" s="544"/>
      <c r="I432" s="16"/>
      <c r="J432" s="16"/>
      <c r="K432" s="92" t="s">
        <v>1852</v>
      </c>
      <c r="L432" s="3"/>
    </row>
    <row r="433" spans="1:12" ht="30" customHeight="1" x14ac:dyDescent="0.2">
      <c r="A433" s="4"/>
      <c r="B433" s="546" t="s">
        <v>1712</v>
      </c>
      <c r="C433" s="52"/>
      <c r="D433" s="37"/>
      <c r="E433" s="550"/>
      <c r="F433" s="544"/>
      <c r="G433" s="553"/>
      <c r="H433" s="544"/>
      <c r="I433" s="16"/>
      <c r="J433" s="16"/>
      <c r="K433" s="92" t="s">
        <v>1856</v>
      </c>
      <c r="L433" s="3"/>
    </row>
    <row r="434" spans="1:12" ht="30" customHeight="1" x14ac:dyDescent="0.2">
      <c r="A434" s="4"/>
      <c r="B434" s="546" t="s">
        <v>1860</v>
      </c>
      <c r="C434" s="52"/>
      <c r="D434" s="37"/>
      <c r="E434" s="550"/>
      <c r="F434" s="544"/>
      <c r="G434" s="553"/>
      <c r="H434" s="544"/>
      <c r="I434" s="16"/>
      <c r="J434" s="16"/>
      <c r="K434" s="92" t="s">
        <v>1859</v>
      </c>
      <c r="L434" s="3"/>
    </row>
    <row r="435" spans="1:12" ht="30" customHeight="1" x14ac:dyDescent="0.2">
      <c r="A435" s="4"/>
      <c r="B435" s="546" t="s">
        <v>1861</v>
      </c>
      <c r="C435" s="52"/>
      <c r="D435" s="37"/>
      <c r="E435" s="550"/>
      <c r="F435" s="544"/>
      <c r="G435" s="553"/>
      <c r="H435" s="544"/>
      <c r="I435" s="16"/>
      <c r="J435" s="16"/>
      <c r="K435" s="92" t="s">
        <v>1862</v>
      </c>
      <c r="L435" s="3"/>
    </row>
    <row r="436" spans="1:12" ht="30" customHeight="1" x14ac:dyDescent="0.2">
      <c r="A436" s="4"/>
      <c r="B436" s="570" t="s">
        <v>1907</v>
      </c>
      <c r="C436" s="52" t="s">
        <v>1131</v>
      </c>
      <c r="D436" s="37" t="s">
        <v>1908</v>
      </c>
      <c r="E436" s="581"/>
      <c r="F436" s="573"/>
      <c r="G436" s="583"/>
      <c r="H436" s="573"/>
      <c r="I436" s="16"/>
      <c r="J436" s="16"/>
      <c r="K436" s="92" t="s">
        <v>2091</v>
      </c>
      <c r="L436" s="3"/>
    </row>
    <row r="437" spans="1:12" ht="30" customHeight="1" x14ac:dyDescent="0.2">
      <c r="A437" s="4"/>
      <c r="B437" s="570" t="s">
        <v>1936</v>
      </c>
      <c r="C437" s="52" t="s">
        <v>265</v>
      </c>
      <c r="D437" s="37" t="s">
        <v>294</v>
      </c>
      <c r="E437" s="581"/>
      <c r="F437" s="573"/>
      <c r="G437" s="583"/>
      <c r="H437" s="573"/>
      <c r="I437" s="16"/>
      <c r="J437" s="16"/>
      <c r="K437" s="92"/>
      <c r="L437" s="82" t="s">
        <v>1937</v>
      </c>
    </row>
    <row r="438" spans="1:12" ht="30" customHeight="1" x14ac:dyDescent="0.2">
      <c r="A438" s="4"/>
      <c r="B438" s="591" t="s">
        <v>1981</v>
      </c>
      <c r="C438" s="52" t="s">
        <v>265</v>
      </c>
      <c r="D438" s="37" t="s">
        <v>1831</v>
      </c>
      <c r="E438" s="601"/>
      <c r="F438" s="594">
        <v>150000000</v>
      </c>
      <c r="G438" s="605">
        <v>0.08</v>
      </c>
      <c r="H438" s="594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78"/>
      <c r="B439" s="769" t="s">
        <v>2355</v>
      </c>
      <c r="C439" s="52"/>
      <c r="D439" s="776"/>
      <c r="E439" s="774"/>
      <c r="F439" s="770"/>
      <c r="G439" s="777"/>
      <c r="H439" s="770"/>
      <c r="I439" s="16"/>
      <c r="J439" s="16"/>
      <c r="K439" s="92" t="s">
        <v>2356</v>
      </c>
      <c r="L439" s="82"/>
    </row>
    <row r="440" spans="1:12" ht="30" customHeight="1" x14ac:dyDescent="0.2">
      <c r="A440" s="907"/>
      <c r="B440" s="901" t="s">
        <v>2043</v>
      </c>
      <c r="C440" s="52"/>
      <c r="D440" s="909"/>
      <c r="E440" s="905"/>
      <c r="F440" s="902"/>
      <c r="G440" s="906"/>
      <c r="H440" s="902"/>
      <c r="I440" s="16"/>
      <c r="J440" s="16"/>
      <c r="K440" s="92" t="s">
        <v>2561</v>
      </c>
      <c r="L440" s="82"/>
    </row>
    <row r="441" spans="1:12" ht="28.5" customHeight="1" x14ac:dyDescent="0.2">
      <c r="A441" s="4">
        <v>366</v>
      </c>
      <c r="B441" s="3" t="s">
        <v>1341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rightToLeft="1" zoomScale="60" zoomScaleNormal="60" workbookViewId="0">
      <pane ySplit="1" topLeftCell="A410" activePane="bottomLeft" state="frozen"/>
      <selection activeCell="H1" sqref="H1"/>
      <selection pane="bottomLeft" activeCell="B419" sqref="B419:B420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3450">
        <v>10</v>
      </c>
      <c r="B11" s="3457" t="s">
        <v>1029</v>
      </c>
      <c r="C11" s="3570"/>
      <c r="D11" s="3505">
        <v>160000000</v>
      </c>
      <c r="E11" s="3444">
        <v>6.3E-2</v>
      </c>
      <c r="F11" s="3442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3442">
        <f>G11</f>
        <v>7500000</v>
      </c>
      <c r="L11" s="3442">
        <f>F11-K11</f>
        <v>2500000</v>
      </c>
      <c r="M11" s="192"/>
    </row>
    <row r="12" spans="1:13" ht="30" customHeight="1" x14ac:dyDescent="0.2">
      <c r="A12" s="3451"/>
      <c r="B12" s="3458"/>
      <c r="C12" s="3571"/>
      <c r="D12" s="3506"/>
      <c r="E12" s="3445"/>
      <c r="F12" s="3443"/>
      <c r="G12" s="287">
        <v>2500000</v>
      </c>
      <c r="H12" s="287"/>
      <c r="I12" s="290"/>
      <c r="J12" s="28"/>
      <c r="K12" s="3443"/>
      <c r="L12" s="3443"/>
      <c r="M12" s="192"/>
    </row>
    <row r="13" spans="1:13" ht="30" customHeight="1" x14ac:dyDescent="0.2">
      <c r="A13" s="3450">
        <v>11</v>
      </c>
      <c r="B13" s="3457" t="s">
        <v>402</v>
      </c>
      <c r="C13" s="3570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3442">
        <f>F13-K13</f>
        <v>0</v>
      </c>
      <c r="M13" s="3568" t="s">
        <v>404</v>
      </c>
    </row>
    <row r="14" spans="1:13" ht="30" customHeight="1" x14ac:dyDescent="0.2">
      <c r="A14" s="3451"/>
      <c r="B14" s="3458"/>
      <c r="C14" s="3571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3443"/>
      <c r="M14" s="3569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1355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1355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1255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3450">
        <v>21</v>
      </c>
      <c r="B24" s="3457" t="s">
        <v>674</v>
      </c>
      <c r="C24" s="3570"/>
      <c r="D24" s="3442">
        <v>300000000</v>
      </c>
      <c r="E24" s="3444">
        <v>0.05</v>
      </c>
      <c r="F24" s="3442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3442">
        <f>G24+G25</f>
        <v>15000000</v>
      </c>
      <c r="L24" s="3442">
        <f>F24-K24</f>
        <v>0</v>
      </c>
      <c r="M24" s="3568"/>
    </row>
    <row r="25" spans="1:13" ht="30" customHeight="1" x14ac:dyDescent="0.2">
      <c r="A25" s="3451"/>
      <c r="B25" s="3458"/>
      <c r="C25" s="3571"/>
      <c r="D25" s="3443"/>
      <c r="E25" s="3445"/>
      <c r="F25" s="3443"/>
      <c r="G25" s="98">
        <v>5000000</v>
      </c>
      <c r="H25" s="3325" t="s">
        <v>675</v>
      </c>
      <c r="I25" s="3341"/>
      <c r="J25" s="69"/>
      <c r="K25" s="3443"/>
      <c r="L25" s="3443"/>
      <c r="M25" s="3569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1351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3450">
        <v>26</v>
      </c>
      <c r="B30" s="3457" t="s">
        <v>832</v>
      </c>
      <c r="C30" s="3570" t="s">
        <v>1354</v>
      </c>
      <c r="D30" s="3442">
        <v>500000000</v>
      </c>
      <c r="E30" s="3444">
        <v>7.0000000000000007E-2</v>
      </c>
      <c r="F30" s="3442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3442">
        <f>G30+G31</f>
        <v>35000000</v>
      </c>
      <c r="L30" s="3442">
        <f>(G30+G31)-K30</f>
        <v>0</v>
      </c>
      <c r="M30" s="115"/>
    </row>
    <row r="31" spans="1:13" ht="30" customHeight="1" x14ac:dyDescent="0.2">
      <c r="A31" s="3451"/>
      <c r="B31" s="3458"/>
      <c r="C31" s="3571"/>
      <c r="D31" s="3443"/>
      <c r="E31" s="3445"/>
      <c r="F31" s="3443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3443"/>
      <c r="L31" s="3443"/>
      <c r="M31" s="279"/>
    </row>
    <row r="32" spans="1:13" ht="30" customHeight="1" x14ac:dyDescent="0.2">
      <c r="A32" s="3450">
        <v>27</v>
      </c>
      <c r="B32" s="3457" t="s">
        <v>845</v>
      </c>
      <c r="C32" s="3570"/>
      <c r="D32" s="3442">
        <v>590000000</v>
      </c>
      <c r="E32" s="3444"/>
      <c r="F32" s="3442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3442">
        <f>G32+G33</f>
        <v>30000000</v>
      </c>
      <c r="L32" s="3442">
        <f>F32-K32</f>
        <v>0</v>
      </c>
      <c r="M32" s="115"/>
    </row>
    <row r="33" spans="1:13" ht="30" customHeight="1" x14ac:dyDescent="0.2">
      <c r="A33" s="3451"/>
      <c r="B33" s="3458"/>
      <c r="C33" s="3571"/>
      <c r="D33" s="3443"/>
      <c r="E33" s="3445"/>
      <c r="F33" s="3443"/>
      <c r="G33" s="129">
        <v>10000000</v>
      </c>
      <c r="H33" s="104" t="s">
        <v>676</v>
      </c>
      <c r="I33" s="27">
        <v>558135</v>
      </c>
      <c r="J33" s="69" t="s">
        <v>847</v>
      </c>
      <c r="K33" s="3443"/>
      <c r="L33" s="3443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3450">
        <v>31</v>
      </c>
      <c r="B37" s="3457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3442">
        <v>10000000</v>
      </c>
      <c r="H37" s="3442" t="s">
        <v>933</v>
      </c>
      <c r="I37" s="3584">
        <v>375599</v>
      </c>
      <c r="J37" s="3582" t="s">
        <v>1012</v>
      </c>
      <c r="K37" s="3442">
        <f>G37</f>
        <v>10000000</v>
      </c>
      <c r="L37" s="3505">
        <f>(F37+F38)-K37</f>
        <v>-2550000</v>
      </c>
      <c r="M37" s="3468" t="s">
        <v>1020</v>
      </c>
    </row>
    <row r="38" spans="1:13" ht="30" customHeight="1" x14ac:dyDescent="0.2">
      <c r="A38" s="3451"/>
      <c r="B38" s="3458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3443"/>
      <c r="H38" s="3443"/>
      <c r="I38" s="3585"/>
      <c r="J38" s="3583"/>
      <c r="K38" s="3443"/>
      <c r="L38" s="3506"/>
      <c r="M38" s="3469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1269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1264</v>
      </c>
      <c r="I43" s="272" t="s">
        <v>1270</v>
      </c>
      <c r="J43" s="69" t="s">
        <v>1271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1302</v>
      </c>
      <c r="C44" s="352"/>
      <c r="D44" s="315"/>
      <c r="E44" s="316"/>
      <c r="F44" s="315"/>
      <c r="G44" s="295">
        <v>500000</v>
      </c>
      <c r="H44" s="295" t="s">
        <v>1297</v>
      </c>
      <c r="I44" s="299" t="s">
        <v>1303</v>
      </c>
      <c r="J44" s="69" t="s">
        <v>1304</v>
      </c>
      <c r="K44" s="295">
        <f t="shared" si="6"/>
        <v>500000</v>
      </c>
      <c r="L44" s="297">
        <f>F44-K44</f>
        <v>-500000</v>
      </c>
      <c r="M44" s="300" t="s">
        <v>1405</v>
      </c>
    </row>
    <row r="45" spans="1:13" ht="30" customHeight="1" x14ac:dyDescent="0.2">
      <c r="A45" s="318">
        <v>38</v>
      </c>
      <c r="B45" s="294" t="s">
        <v>1261</v>
      </c>
      <c r="C45" s="352"/>
      <c r="D45" s="315"/>
      <c r="E45" s="316"/>
      <c r="F45" s="315"/>
      <c r="G45" s="295">
        <v>25000000</v>
      </c>
      <c r="H45" s="295" t="s">
        <v>1297</v>
      </c>
      <c r="I45" s="299" t="s">
        <v>1306</v>
      </c>
      <c r="J45" s="69" t="s">
        <v>1307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1314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1315</v>
      </c>
      <c r="I46" s="299" t="s">
        <v>1316</v>
      </c>
      <c r="J46" s="69" t="s">
        <v>1317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1337</v>
      </c>
      <c r="C47" s="352"/>
      <c r="D47" s="315"/>
      <c r="E47" s="316"/>
      <c r="F47" s="315"/>
      <c r="G47" s="323">
        <v>20000000</v>
      </c>
      <c r="H47" s="323" t="s">
        <v>1315</v>
      </c>
      <c r="I47" s="36" t="s">
        <v>1335</v>
      </c>
      <c r="J47" s="69" t="s">
        <v>1336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1293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3450">
        <v>44</v>
      </c>
      <c r="B51" s="3448" t="s">
        <v>188</v>
      </c>
      <c r="C51" s="3570" t="s">
        <v>1350</v>
      </c>
      <c r="D51" s="3442">
        <v>1190000000</v>
      </c>
      <c r="E51" s="3444">
        <v>7.0000000000000007E-2</v>
      </c>
      <c r="F51" s="3442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3442">
        <f>G51+G52</f>
        <v>80900000</v>
      </c>
      <c r="L51" s="3442">
        <f>F51-K51</f>
        <v>2400000.0000000149</v>
      </c>
      <c r="M51" s="3"/>
    </row>
    <row r="52" spans="1:13" ht="30" customHeight="1" x14ac:dyDescent="0.2">
      <c r="A52" s="3451"/>
      <c r="B52" s="3449"/>
      <c r="C52" s="3571"/>
      <c r="D52" s="3443"/>
      <c r="E52" s="3445"/>
      <c r="F52" s="3443"/>
      <c r="G52" s="357">
        <v>36300000</v>
      </c>
      <c r="H52" s="357" t="s">
        <v>703</v>
      </c>
      <c r="I52" s="360" t="s">
        <v>1074</v>
      </c>
      <c r="J52" s="24" t="s">
        <v>949</v>
      </c>
      <c r="K52" s="3443"/>
      <c r="L52" s="3443"/>
      <c r="M52" s="3"/>
    </row>
    <row r="53" spans="1:13" ht="30" customHeight="1" x14ac:dyDescent="0.2">
      <c r="A53" s="3450">
        <v>45</v>
      </c>
      <c r="B53" s="3448" t="s">
        <v>189</v>
      </c>
      <c r="C53" s="3570" t="s">
        <v>1112</v>
      </c>
      <c r="D53" s="3325" t="s">
        <v>1247</v>
      </c>
      <c r="E53" s="3340"/>
      <c r="F53" s="3341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1245</v>
      </c>
    </row>
    <row r="54" spans="1:13" ht="30" customHeight="1" x14ac:dyDescent="0.2">
      <c r="A54" s="3456"/>
      <c r="B54" s="3476"/>
      <c r="C54" s="3576"/>
      <c r="D54" s="3442">
        <v>1300000000</v>
      </c>
      <c r="E54" s="3444">
        <v>0.08</v>
      </c>
      <c r="F54" s="3442">
        <f>D54*E54</f>
        <v>104000000</v>
      </c>
      <c r="G54" s="259">
        <v>25000000</v>
      </c>
      <c r="H54" s="259" t="s">
        <v>1264</v>
      </c>
      <c r="I54" s="36" t="s">
        <v>1282</v>
      </c>
      <c r="J54" s="24" t="s">
        <v>1106</v>
      </c>
      <c r="K54" s="3442">
        <f>G54+G55+G56</f>
        <v>95000000</v>
      </c>
      <c r="L54" s="3442">
        <f>F54-K54</f>
        <v>9000000</v>
      </c>
      <c r="M54" s="263"/>
    </row>
    <row r="55" spans="1:13" ht="30" customHeight="1" x14ac:dyDescent="0.2">
      <c r="A55" s="3456"/>
      <c r="B55" s="3476"/>
      <c r="C55" s="3576"/>
      <c r="D55" s="3461"/>
      <c r="E55" s="3474"/>
      <c r="F55" s="3461"/>
      <c r="G55" s="323">
        <v>70000000</v>
      </c>
      <c r="H55" s="323" t="s">
        <v>1297</v>
      </c>
      <c r="I55" s="36" t="s">
        <v>1332</v>
      </c>
      <c r="J55" s="24" t="s">
        <v>1106</v>
      </c>
      <c r="K55" s="3461"/>
      <c r="L55" s="3461"/>
      <c r="M55" s="263"/>
    </row>
    <row r="56" spans="1:13" ht="30" customHeight="1" x14ac:dyDescent="0.2">
      <c r="A56" s="3456"/>
      <c r="B56" s="3476"/>
      <c r="C56" s="3576"/>
      <c r="D56" s="3443"/>
      <c r="E56" s="3445"/>
      <c r="F56" s="3443"/>
      <c r="G56" s="323"/>
      <c r="H56" s="323"/>
      <c r="I56" s="36"/>
      <c r="J56" s="24"/>
      <c r="K56" s="3443"/>
      <c r="L56" s="3443"/>
      <c r="M56" s="263"/>
    </row>
    <row r="57" spans="1:13" ht="30" customHeight="1" x14ac:dyDescent="0.2">
      <c r="A57" s="3451"/>
      <c r="B57" s="3449"/>
      <c r="C57" s="3571"/>
      <c r="D57" s="259">
        <v>1200000000</v>
      </c>
      <c r="E57" s="20">
        <v>0.08</v>
      </c>
      <c r="F57" s="259">
        <f>D57*E57</f>
        <v>96000000</v>
      </c>
      <c r="G57" s="3478" t="s">
        <v>1246</v>
      </c>
      <c r="H57" s="3479"/>
      <c r="I57" s="3479"/>
      <c r="J57" s="3479"/>
      <c r="K57" s="3479"/>
      <c r="L57" s="3480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1350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3450">
        <v>50</v>
      </c>
      <c r="B62" s="3448" t="s">
        <v>194</v>
      </c>
      <c r="C62" s="3570"/>
      <c r="D62" s="3538" t="s">
        <v>1294</v>
      </c>
      <c r="E62" s="3563"/>
      <c r="F62" s="3539"/>
      <c r="G62" s="11">
        <v>3000000</v>
      </c>
      <c r="H62" s="11" t="s">
        <v>703</v>
      </c>
      <c r="I62" s="23" t="s">
        <v>1085</v>
      </c>
      <c r="J62" s="24" t="s">
        <v>1086</v>
      </c>
      <c r="K62" s="3325"/>
      <c r="L62" s="3341"/>
      <c r="M62" s="3"/>
    </row>
    <row r="63" spans="1:13" ht="30" customHeight="1" x14ac:dyDescent="0.2">
      <c r="A63" s="3451"/>
      <c r="B63" s="3449"/>
      <c r="C63" s="3571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3450">
        <v>52</v>
      </c>
      <c r="B65" s="3448" t="s">
        <v>196</v>
      </c>
      <c r="C65" s="3570"/>
      <c r="D65" s="3442">
        <v>350000000</v>
      </c>
      <c r="E65" s="3444">
        <v>7.0000000000000007E-2</v>
      </c>
      <c r="F65" s="3442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3442">
        <f>G65+G66</f>
        <v>24500000</v>
      </c>
      <c r="L65" s="3442">
        <f>F65-K65</f>
        <v>0</v>
      </c>
      <c r="M65" s="3450"/>
    </row>
    <row r="66" spans="1:13" ht="30" customHeight="1" x14ac:dyDescent="0.2">
      <c r="A66" s="3456"/>
      <c r="B66" s="3476"/>
      <c r="C66" s="3576"/>
      <c r="D66" s="3443"/>
      <c r="E66" s="3445"/>
      <c r="F66" s="3443"/>
      <c r="G66" s="105">
        <v>14500000</v>
      </c>
      <c r="H66" s="105" t="s">
        <v>676</v>
      </c>
      <c r="I66" s="292" t="s">
        <v>713</v>
      </c>
      <c r="J66" s="24" t="s">
        <v>714</v>
      </c>
      <c r="K66" s="3443"/>
      <c r="L66" s="3443"/>
      <c r="M66" s="3451"/>
    </row>
    <row r="67" spans="1:13" ht="30" customHeight="1" x14ac:dyDescent="0.2">
      <c r="A67" s="3456"/>
      <c r="B67" s="3476"/>
      <c r="C67" s="3576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3451"/>
      <c r="B68" s="3449"/>
      <c r="C68" s="3571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3450">
        <v>53</v>
      </c>
      <c r="B69" s="3448" t="s">
        <v>1090</v>
      </c>
      <c r="C69" s="3570"/>
      <c r="D69" s="11">
        <v>35000000</v>
      </c>
      <c r="E69" s="20">
        <v>7.1999999999999995E-2</v>
      </c>
      <c r="F69" s="11">
        <v>2500000</v>
      </c>
      <c r="G69" s="3442">
        <v>3500000</v>
      </c>
      <c r="H69" s="3442" t="s">
        <v>703</v>
      </c>
      <c r="I69" s="3577" t="s">
        <v>1091</v>
      </c>
      <c r="J69" s="3452" t="s">
        <v>975</v>
      </c>
      <c r="K69" s="3442">
        <f t="shared" si="8"/>
        <v>3500000</v>
      </c>
      <c r="L69" s="3442">
        <f>(F69+F70)-K69</f>
        <v>0</v>
      </c>
      <c r="M69" s="3"/>
    </row>
    <row r="70" spans="1:13" ht="30" customHeight="1" x14ac:dyDescent="0.2">
      <c r="A70" s="3451"/>
      <c r="B70" s="3449"/>
      <c r="C70" s="3571"/>
      <c r="D70" s="217">
        <v>13000000</v>
      </c>
      <c r="E70" s="20">
        <v>7.6999999999999999E-2</v>
      </c>
      <c r="F70" s="217">
        <v>1000000</v>
      </c>
      <c r="G70" s="3443"/>
      <c r="H70" s="3443"/>
      <c r="I70" s="3578"/>
      <c r="J70" s="3453"/>
      <c r="K70" s="3443"/>
      <c r="L70" s="3443"/>
      <c r="M70" s="3"/>
    </row>
    <row r="71" spans="1:13" ht="30" customHeight="1" x14ac:dyDescent="0.2">
      <c r="A71" s="3450">
        <v>54</v>
      </c>
      <c r="B71" s="3448" t="s">
        <v>1295</v>
      </c>
      <c r="C71" s="3570" t="s">
        <v>1350</v>
      </c>
      <c r="D71" s="287">
        <v>175000000</v>
      </c>
      <c r="E71" s="3444">
        <f>F71/(D71+D72)</f>
        <v>6.3461538461538458E-2</v>
      </c>
      <c r="F71" s="3442">
        <v>16500000</v>
      </c>
      <c r="G71" s="3442">
        <v>12600000</v>
      </c>
      <c r="H71" s="3442" t="s">
        <v>703</v>
      </c>
      <c r="I71" s="3577" t="s">
        <v>1092</v>
      </c>
      <c r="J71" s="3452" t="s">
        <v>1093</v>
      </c>
      <c r="K71" s="3442">
        <f t="shared" si="8"/>
        <v>12600000</v>
      </c>
      <c r="L71" s="3442">
        <f t="shared" si="9"/>
        <v>3900000</v>
      </c>
      <c r="M71" s="82" t="s">
        <v>1113</v>
      </c>
    </row>
    <row r="72" spans="1:13" ht="30" customHeight="1" x14ac:dyDescent="0.2">
      <c r="A72" s="3451"/>
      <c r="B72" s="3449"/>
      <c r="C72" s="3571"/>
      <c r="D72" s="289">
        <v>85000000</v>
      </c>
      <c r="E72" s="3445"/>
      <c r="F72" s="3443"/>
      <c r="G72" s="3443"/>
      <c r="H72" s="3443"/>
      <c r="I72" s="3578"/>
      <c r="J72" s="3453"/>
      <c r="K72" s="3443"/>
      <c r="L72" s="3443"/>
      <c r="M72" s="305"/>
    </row>
    <row r="73" spans="1:13" ht="30" customHeight="1" x14ac:dyDescent="0.2">
      <c r="A73" s="3450">
        <v>55</v>
      </c>
      <c r="B73" s="3448" t="s">
        <v>36</v>
      </c>
      <c r="C73" s="3570" t="s">
        <v>1350</v>
      </c>
      <c r="D73" s="3442">
        <v>3284000000</v>
      </c>
      <c r="E73" s="3444">
        <v>7.0000000000000007E-2</v>
      </c>
      <c r="F73" s="3442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3442">
        <f>G73+G74+G75+G76+G77</f>
        <v>225000000</v>
      </c>
      <c r="L73" s="3442">
        <f>F73-K73</f>
        <v>4880000</v>
      </c>
      <c r="M73" s="3488"/>
    </row>
    <row r="74" spans="1:13" ht="30" customHeight="1" x14ac:dyDescent="0.2">
      <c r="A74" s="3456"/>
      <c r="B74" s="3476"/>
      <c r="C74" s="3576"/>
      <c r="D74" s="3461"/>
      <c r="E74" s="3474"/>
      <c r="F74" s="3461"/>
      <c r="G74" s="217">
        <v>50000000</v>
      </c>
      <c r="H74" s="217" t="s">
        <v>587</v>
      </c>
      <c r="I74" s="36" t="s">
        <v>704</v>
      </c>
      <c r="J74" s="24">
        <v>4730093049</v>
      </c>
      <c r="K74" s="3461"/>
      <c r="L74" s="3461"/>
      <c r="M74" s="3456"/>
    </row>
    <row r="75" spans="1:13" ht="30" customHeight="1" x14ac:dyDescent="0.2">
      <c r="A75" s="3456"/>
      <c r="B75" s="3476"/>
      <c r="C75" s="3576"/>
      <c r="D75" s="3461"/>
      <c r="E75" s="3474"/>
      <c r="F75" s="3461"/>
      <c r="G75" s="217">
        <v>45000000</v>
      </c>
      <c r="H75" s="217" t="s">
        <v>702</v>
      </c>
      <c r="I75" s="36" t="s">
        <v>705</v>
      </c>
      <c r="J75" s="24" t="s">
        <v>707</v>
      </c>
      <c r="K75" s="3461"/>
      <c r="L75" s="3461"/>
      <c r="M75" s="3456"/>
    </row>
    <row r="76" spans="1:13" ht="30" customHeight="1" x14ac:dyDescent="0.2">
      <c r="A76" s="3456"/>
      <c r="B76" s="3476"/>
      <c r="C76" s="3576"/>
      <c r="D76" s="3461"/>
      <c r="E76" s="3474"/>
      <c r="F76" s="3461"/>
      <c r="G76" s="217">
        <v>50000000</v>
      </c>
      <c r="H76" s="217" t="s">
        <v>703</v>
      </c>
      <c r="I76" s="36" t="s">
        <v>706</v>
      </c>
      <c r="J76" s="24">
        <v>4730093049</v>
      </c>
      <c r="K76" s="3461"/>
      <c r="L76" s="3461"/>
      <c r="M76" s="3451"/>
    </row>
    <row r="77" spans="1:13" ht="30" customHeight="1" x14ac:dyDescent="0.2">
      <c r="A77" s="3451"/>
      <c r="B77" s="3449"/>
      <c r="C77" s="3571"/>
      <c r="D77" s="3443"/>
      <c r="E77" s="3445"/>
      <c r="F77" s="3443"/>
      <c r="G77" s="217">
        <v>50000000</v>
      </c>
      <c r="H77" s="217" t="s">
        <v>1013</v>
      </c>
      <c r="I77" s="36" t="s">
        <v>1024</v>
      </c>
      <c r="J77" s="241">
        <v>110727081002</v>
      </c>
      <c r="K77" s="3443"/>
      <c r="L77" s="3443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1353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3450">
        <v>58</v>
      </c>
      <c r="B80" s="3448" t="s">
        <v>197</v>
      </c>
      <c r="C80" s="3570" t="s">
        <v>1350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3442">
        <f t="shared" si="8"/>
        <v>4850000</v>
      </c>
      <c r="L80" s="3442">
        <f t="shared" si="9"/>
        <v>-350000</v>
      </c>
      <c r="M80" s="3579" t="s">
        <v>1374</v>
      </c>
    </row>
    <row r="81" spans="1:13" ht="30" customHeight="1" x14ac:dyDescent="0.2">
      <c r="A81" s="3451"/>
      <c r="B81" s="3449"/>
      <c r="C81" s="3571"/>
      <c r="D81" s="355">
        <v>10000000</v>
      </c>
      <c r="E81" s="20">
        <v>7.0000000000000007E-2</v>
      </c>
      <c r="F81" s="355">
        <f t="shared" si="7"/>
        <v>700000.00000000012</v>
      </c>
      <c r="G81" s="3478" t="s">
        <v>1373</v>
      </c>
      <c r="H81" s="3479"/>
      <c r="I81" s="3479"/>
      <c r="J81" s="3480"/>
      <c r="K81" s="3443"/>
      <c r="L81" s="3443"/>
      <c r="M81" s="3580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1297</v>
      </c>
      <c r="I84" s="23" t="s">
        <v>1298</v>
      </c>
      <c r="J84" s="310" t="s">
        <v>1299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3450">
        <v>62</v>
      </c>
      <c r="B85" s="3448" t="s">
        <v>201</v>
      </c>
      <c r="C85" s="3570" t="s">
        <v>1350</v>
      </c>
      <c r="D85" s="3442">
        <v>1250000000</v>
      </c>
      <c r="E85" s="3507"/>
      <c r="F85" s="3442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3442">
        <f>G85+G86</f>
        <v>62500000</v>
      </c>
      <c r="L85" s="3442">
        <f t="shared" si="9"/>
        <v>18750000</v>
      </c>
      <c r="M85" s="3579" t="s">
        <v>1587</v>
      </c>
    </row>
    <row r="86" spans="1:13" ht="30" customHeight="1" x14ac:dyDescent="0.2">
      <c r="A86" s="3451"/>
      <c r="B86" s="3449"/>
      <c r="C86" s="3571"/>
      <c r="D86" s="3443"/>
      <c r="E86" s="3508"/>
      <c r="F86" s="3443"/>
      <c r="G86" s="144">
        <v>40000000</v>
      </c>
      <c r="H86" s="144" t="s">
        <v>702</v>
      </c>
      <c r="I86" s="152" t="s">
        <v>951</v>
      </c>
      <c r="J86" s="148" t="s">
        <v>950</v>
      </c>
      <c r="K86" s="3443"/>
      <c r="L86" s="3443"/>
      <c r="M86" s="3580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1348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3450">
        <v>76</v>
      </c>
      <c r="B100" s="3448" t="s">
        <v>213</v>
      </c>
      <c r="C100" s="3570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3442" t="s">
        <v>769</v>
      </c>
      <c r="I100" s="3577" t="s">
        <v>980</v>
      </c>
      <c r="J100" s="3542" t="s">
        <v>981</v>
      </c>
      <c r="K100" s="3442">
        <f t="shared" si="8"/>
        <v>1900000</v>
      </c>
      <c r="L100" s="3505">
        <f>F100-K100</f>
        <v>200000</v>
      </c>
      <c r="M100" s="3"/>
    </row>
    <row r="101" spans="1:13" ht="30" customHeight="1" x14ac:dyDescent="0.2">
      <c r="A101" s="3451"/>
      <c r="B101" s="3449"/>
      <c r="C101" s="3571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3443"/>
      <c r="I101" s="3578"/>
      <c r="J101" s="3543"/>
      <c r="K101" s="3443"/>
      <c r="L101" s="3506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1534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3450">
        <v>84</v>
      </c>
      <c r="B109" s="3448" t="s">
        <v>1004</v>
      </c>
      <c r="C109" s="3570"/>
      <c r="D109" s="144">
        <v>200000000</v>
      </c>
      <c r="E109" s="20">
        <v>0.06</v>
      </c>
      <c r="F109" s="144">
        <f t="shared" si="7"/>
        <v>12000000</v>
      </c>
      <c r="G109" s="3442">
        <v>35600000</v>
      </c>
      <c r="H109" s="3442" t="s">
        <v>769</v>
      </c>
      <c r="I109" s="3577" t="s">
        <v>998</v>
      </c>
      <c r="J109" s="3589" t="s">
        <v>999</v>
      </c>
      <c r="K109" s="3442">
        <f t="shared" si="8"/>
        <v>35600000</v>
      </c>
      <c r="L109" s="3442">
        <f>(F109+F110+F111)-K109</f>
        <v>0</v>
      </c>
      <c r="M109" s="3457" t="s">
        <v>79</v>
      </c>
    </row>
    <row r="110" spans="1:13" ht="30" customHeight="1" x14ac:dyDescent="0.2">
      <c r="A110" s="3456"/>
      <c r="B110" s="3476"/>
      <c r="C110" s="3576"/>
      <c r="D110" s="144">
        <v>458000000</v>
      </c>
      <c r="E110" s="20">
        <v>0.05</v>
      </c>
      <c r="F110" s="144">
        <f t="shared" si="7"/>
        <v>22900000</v>
      </c>
      <c r="G110" s="3461"/>
      <c r="H110" s="3461"/>
      <c r="I110" s="3588"/>
      <c r="J110" s="3590"/>
      <c r="K110" s="3461"/>
      <c r="L110" s="3461"/>
      <c r="M110" s="3459"/>
    </row>
    <row r="111" spans="1:13" ht="30" customHeight="1" x14ac:dyDescent="0.2">
      <c r="A111" s="3451"/>
      <c r="B111" s="3449"/>
      <c r="C111" s="3571"/>
      <c r="D111" s="1605">
        <v>10000000</v>
      </c>
      <c r="E111" s="1608">
        <v>7.0000000000000007E-2</v>
      </c>
      <c r="F111" s="1605">
        <f t="shared" si="7"/>
        <v>700000.00000000012</v>
      </c>
      <c r="G111" s="3443"/>
      <c r="H111" s="3443"/>
      <c r="I111" s="3578"/>
      <c r="J111" s="3591"/>
      <c r="K111" s="3443"/>
      <c r="L111" s="3443"/>
      <c r="M111" s="3458"/>
    </row>
    <row r="112" spans="1:13" ht="30" customHeight="1" x14ac:dyDescent="0.2">
      <c r="A112" s="4">
        <v>85</v>
      </c>
      <c r="B112" s="3" t="s">
        <v>220</v>
      </c>
      <c r="C112" s="352"/>
      <c r="D112" s="1605">
        <v>100000000</v>
      </c>
      <c r="E112" s="1608">
        <v>0.05</v>
      </c>
      <c r="F112" s="1605">
        <f t="shared" si="7"/>
        <v>5000000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0</v>
      </c>
      <c r="M112" s="3"/>
    </row>
    <row r="113" spans="1:13" ht="30" customHeight="1" x14ac:dyDescent="0.2">
      <c r="A113" s="3450">
        <v>86</v>
      </c>
      <c r="B113" s="3448" t="s">
        <v>177</v>
      </c>
      <c r="C113" s="3570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3442">
        <f>G113+G114</f>
        <v>21500000</v>
      </c>
      <c r="L113" s="3505">
        <f>(F113+F114)-K113</f>
        <v>500000</v>
      </c>
      <c r="M113" s="91" t="s">
        <v>633</v>
      </c>
    </row>
    <row r="114" spans="1:13" ht="30" customHeight="1" x14ac:dyDescent="0.2">
      <c r="A114" s="3451"/>
      <c r="B114" s="3449"/>
      <c r="C114" s="3571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3443"/>
      <c r="L114" s="3506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1350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3450">
        <v>88</v>
      </c>
      <c r="B116" s="3448" t="s">
        <v>222</v>
      </c>
      <c r="C116" s="3570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3442">
        <f>G116+G117</f>
        <v>22500000</v>
      </c>
      <c r="L116" s="3442">
        <f>(F116+F117)-K116</f>
        <v>0</v>
      </c>
      <c r="M116" s="3"/>
    </row>
    <row r="117" spans="1:13" ht="30" customHeight="1" x14ac:dyDescent="0.2">
      <c r="A117" s="3451"/>
      <c r="B117" s="3449"/>
      <c r="C117" s="3571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3443"/>
      <c r="L117" s="3443"/>
      <c r="M117" s="3"/>
    </row>
    <row r="118" spans="1:13" ht="30" customHeight="1" x14ac:dyDescent="0.2">
      <c r="A118" s="3450">
        <v>89</v>
      </c>
      <c r="B118" s="3448" t="s">
        <v>223</v>
      </c>
      <c r="C118" s="3570"/>
      <c r="D118" s="123">
        <v>130000000</v>
      </c>
      <c r="E118" s="20">
        <v>7.0000000000000007E-2</v>
      </c>
      <c r="F118" s="11">
        <f>D118*E118</f>
        <v>9100000</v>
      </c>
      <c r="G118" s="3442">
        <v>14460000</v>
      </c>
      <c r="H118" s="3442" t="s">
        <v>777</v>
      </c>
      <c r="I118" s="3593" t="s">
        <v>784</v>
      </c>
      <c r="J118" s="3452" t="s">
        <v>785</v>
      </c>
      <c r="K118" s="3442">
        <f t="shared" si="8"/>
        <v>14460000</v>
      </c>
      <c r="L118" s="3442">
        <f>(F118+F119)-K118</f>
        <v>0</v>
      </c>
      <c r="M118" s="3450"/>
    </row>
    <row r="119" spans="1:13" ht="30" customHeight="1" x14ac:dyDescent="0.2">
      <c r="A119" s="3451"/>
      <c r="B119" s="3449"/>
      <c r="C119" s="3571"/>
      <c r="D119" s="123">
        <v>100000000</v>
      </c>
      <c r="E119" s="20">
        <v>5.3999999999999999E-2</v>
      </c>
      <c r="F119" s="123">
        <v>5360000</v>
      </c>
      <c r="G119" s="3443"/>
      <c r="H119" s="3443"/>
      <c r="I119" s="3594"/>
      <c r="J119" s="3453"/>
      <c r="K119" s="3443"/>
      <c r="L119" s="3443"/>
      <c r="M119" s="3451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3450">
        <v>91</v>
      </c>
      <c r="B121" s="3448" t="s">
        <v>770</v>
      </c>
      <c r="C121" s="3570"/>
      <c r="D121" s="3505"/>
      <c r="E121" s="3507"/>
      <c r="F121" s="3505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3442">
        <f>G121+G122</f>
        <v>38470000</v>
      </c>
      <c r="L121" s="3505">
        <f t="shared" si="9"/>
        <v>-38470000</v>
      </c>
      <c r="M121" s="3"/>
    </row>
    <row r="122" spans="1:13" ht="30" customHeight="1" x14ac:dyDescent="0.2">
      <c r="A122" s="3451"/>
      <c r="B122" s="3449"/>
      <c r="C122" s="3571"/>
      <c r="D122" s="3506"/>
      <c r="E122" s="3508"/>
      <c r="F122" s="3506"/>
      <c r="G122" s="123">
        <v>23560000</v>
      </c>
      <c r="H122" s="123" t="s">
        <v>824</v>
      </c>
      <c r="I122" s="125" t="s">
        <v>825</v>
      </c>
      <c r="J122" s="24" t="s">
        <v>826</v>
      </c>
      <c r="K122" s="3443"/>
      <c r="L122" s="3506"/>
      <c r="M122" s="3"/>
    </row>
    <row r="123" spans="1:13" ht="30" customHeight="1" x14ac:dyDescent="0.2">
      <c r="A123" s="3450">
        <v>92</v>
      </c>
      <c r="B123" s="3448" t="s">
        <v>225</v>
      </c>
      <c r="C123" s="3570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3451"/>
      <c r="B124" s="3449"/>
      <c r="C124" s="3571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1297</v>
      </c>
      <c r="I124" s="313" t="s">
        <v>1300</v>
      </c>
      <c r="J124" s="314" t="s">
        <v>1301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1352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3450">
        <v>101</v>
      </c>
      <c r="B133" s="3448" t="s">
        <v>232</v>
      </c>
      <c r="C133" s="3570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3451"/>
      <c r="B134" s="3449"/>
      <c r="C134" s="3571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3450">
        <v>109</v>
      </c>
      <c r="B142" s="3513" t="s">
        <v>240</v>
      </c>
      <c r="C142" s="3570" t="s">
        <v>1347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3442">
        <f>G142+G143</f>
        <v>1500000</v>
      </c>
      <c r="L142" s="3442">
        <f>(F142+F143)-K142</f>
        <v>0</v>
      </c>
      <c r="M142" s="3"/>
    </row>
    <row r="143" spans="1:13" ht="30" customHeight="1" x14ac:dyDescent="0.2">
      <c r="A143" s="3451"/>
      <c r="B143" s="3514"/>
      <c r="C143" s="3571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3443"/>
      <c r="L143" s="3443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3450">
        <v>118</v>
      </c>
      <c r="B152" s="3448" t="s">
        <v>249</v>
      </c>
      <c r="C152" s="3570" t="s">
        <v>379</v>
      </c>
      <c r="D152" s="3442">
        <v>617000000</v>
      </c>
      <c r="E152" s="3444">
        <v>7.0000000000000007E-2</v>
      </c>
      <c r="F152" s="3442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3442">
        <f>F152-K153</f>
        <v>200000</v>
      </c>
      <c r="M152" s="3450"/>
    </row>
    <row r="153" spans="1:13" ht="30" customHeight="1" x14ac:dyDescent="0.2">
      <c r="A153" s="3456"/>
      <c r="B153" s="3476"/>
      <c r="C153" s="3576"/>
      <c r="D153" s="3461"/>
      <c r="E153" s="3474"/>
      <c r="F153" s="3461"/>
      <c r="G153" s="129">
        <v>23000000</v>
      </c>
      <c r="H153" s="129" t="s">
        <v>453</v>
      </c>
      <c r="I153" s="134" t="s">
        <v>463</v>
      </c>
      <c r="J153" s="24" t="s">
        <v>464</v>
      </c>
      <c r="K153" s="3442">
        <f>G153+G154</f>
        <v>43000000</v>
      </c>
      <c r="L153" s="3461"/>
      <c r="M153" s="3456"/>
    </row>
    <row r="154" spans="1:13" ht="30" customHeight="1" x14ac:dyDescent="0.2">
      <c r="A154" s="3451"/>
      <c r="B154" s="3449"/>
      <c r="C154" s="3571"/>
      <c r="D154" s="3443"/>
      <c r="E154" s="3445"/>
      <c r="F154" s="3443"/>
      <c r="G154" s="129">
        <v>20000000</v>
      </c>
      <c r="H154" s="129" t="s">
        <v>839</v>
      </c>
      <c r="I154" s="36" t="s">
        <v>840</v>
      </c>
      <c r="J154" s="24" t="s">
        <v>841</v>
      </c>
      <c r="K154" s="3443"/>
      <c r="L154" s="3443"/>
      <c r="M154" s="3451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3450">
        <v>121</v>
      </c>
      <c r="B157" s="3448" t="s">
        <v>252</v>
      </c>
      <c r="C157" s="352" t="s">
        <v>1350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3442">
        <f>F157+F158</f>
        <v>4400000</v>
      </c>
      <c r="L157" s="3442">
        <f>(F157+F158)-K157</f>
        <v>0</v>
      </c>
      <c r="M157" s="3"/>
    </row>
    <row r="158" spans="1:13" ht="30" customHeight="1" x14ac:dyDescent="0.2">
      <c r="A158" s="3451"/>
      <c r="B158" s="3449"/>
      <c r="C158" s="352" t="s">
        <v>1351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3443"/>
      <c r="L158" s="3443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3450">
        <v>127</v>
      </c>
      <c r="B164" s="3448" t="s">
        <v>258</v>
      </c>
      <c r="C164" s="3570" t="s">
        <v>1018</v>
      </c>
      <c r="D164" s="3442">
        <v>200000000</v>
      </c>
      <c r="E164" s="3444">
        <v>0.06</v>
      </c>
      <c r="F164" s="3442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3451"/>
      <c r="B165" s="3449"/>
      <c r="C165" s="3571"/>
      <c r="D165" s="3443"/>
      <c r="E165" s="3445"/>
      <c r="F165" s="3443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1375</v>
      </c>
    </row>
    <row r="166" spans="1:13" ht="30" customHeight="1" x14ac:dyDescent="0.2">
      <c r="A166" s="3450">
        <v>128</v>
      </c>
      <c r="B166" s="3448" t="s">
        <v>1213</v>
      </c>
      <c r="C166" s="352" t="s">
        <v>1219</v>
      </c>
      <c r="D166" s="3442">
        <v>200000000</v>
      </c>
      <c r="E166" s="3444">
        <v>0.05</v>
      </c>
      <c r="F166" s="3442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3442">
        <f>G166+G167</f>
        <v>10000000</v>
      </c>
      <c r="L166" s="3442">
        <f t="shared" si="12"/>
        <v>0</v>
      </c>
      <c r="M166" s="3"/>
    </row>
    <row r="167" spans="1:13" ht="30" customHeight="1" x14ac:dyDescent="0.2">
      <c r="A167" s="3451"/>
      <c r="B167" s="3449"/>
      <c r="C167" s="352" t="s">
        <v>971</v>
      </c>
      <c r="D167" s="3443"/>
      <c r="E167" s="3445"/>
      <c r="F167" s="3443"/>
      <c r="G167" s="259">
        <v>5000000</v>
      </c>
      <c r="H167" s="259" t="s">
        <v>1208</v>
      </c>
      <c r="I167" s="261" t="s">
        <v>1249</v>
      </c>
      <c r="J167" s="24" t="s">
        <v>606</v>
      </c>
      <c r="K167" s="3443"/>
      <c r="L167" s="3443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3450">
        <v>130</v>
      </c>
      <c r="B169" s="3448" t="s">
        <v>1266</v>
      </c>
      <c r="C169" s="3570" t="s">
        <v>1746</v>
      </c>
      <c r="D169" s="3442">
        <v>490000000</v>
      </c>
      <c r="E169" s="3444">
        <v>0.05</v>
      </c>
      <c r="F169" s="3442">
        <f t="shared" si="10"/>
        <v>24500000</v>
      </c>
      <c r="G169" s="607">
        <v>17500000</v>
      </c>
      <c r="H169" s="594" t="s">
        <v>557</v>
      </c>
      <c r="I169" s="604" t="s">
        <v>560</v>
      </c>
      <c r="J169" s="24" t="s">
        <v>561</v>
      </c>
      <c r="K169" s="3442">
        <f>G169+G170+G171</f>
        <v>33000000</v>
      </c>
      <c r="L169" s="3442">
        <f t="shared" si="12"/>
        <v>-8500000</v>
      </c>
      <c r="M169" s="3579" t="s">
        <v>2004</v>
      </c>
    </row>
    <row r="170" spans="1:13" ht="30" customHeight="1" x14ac:dyDescent="0.2">
      <c r="A170" s="3456"/>
      <c r="B170" s="3476"/>
      <c r="C170" s="3576"/>
      <c r="D170" s="3461"/>
      <c r="E170" s="3474"/>
      <c r="F170" s="3461"/>
      <c r="G170" s="594">
        <v>5500000</v>
      </c>
      <c r="H170" s="594" t="s">
        <v>1264</v>
      </c>
      <c r="I170" s="603" t="s">
        <v>1265</v>
      </c>
      <c r="J170" s="24" t="s">
        <v>561</v>
      </c>
      <c r="K170" s="3461"/>
      <c r="L170" s="3461"/>
      <c r="M170" s="3581"/>
    </row>
    <row r="171" spans="1:13" ht="30" customHeight="1" x14ac:dyDescent="0.2">
      <c r="A171" s="3451"/>
      <c r="B171" s="3449"/>
      <c r="C171" s="3571"/>
      <c r="D171" s="3443"/>
      <c r="E171" s="3445"/>
      <c r="F171" s="3443"/>
      <c r="G171" s="594">
        <v>10000000</v>
      </c>
      <c r="H171" s="594" t="s">
        <v>1264</v>
      </c>
      <c r="I171" s="603" t="s">
        <v>1267</v>
      </c>
      <c r="J171" s="24" t="s">
        <v>1268</v>
      </c>
      <c r="K171" s="3443"/>
      <c r="L171" s="3443"/>
      <c r="M171" s="3580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3450">
        <v>133</v>
      </c>
      <c r="B174" s="3448" t="s">
        <v>7</v>
      </c>
      <c r="C174" s="3570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3451"/>
      <c r="B175" s="3449"/>
      <c r="C175" s="3571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4">
        <v>700000000</v>
      </c>
      <c r="E182" s="553">
        <v>0.06</v>
      </c>
      <c r="F182" s="544">
        <f t="shared" si="10"/>
        <v>42000000</v>
      </c>
      <c r="G182" s="544">
        <v>42000000</v>
      </c>
      <c r="H182" s="544" t="s">
        <v>520</v>
      </c>
      <c r="I182" s="552" t="s">
        <v>549</v>
      </c>
      <c r="J182" s="24" t="s">
        <v>550</v>
      </c>
      <c r="K182" s="544">
        <f t="shared" si="11"/>
        <v>42000000</v>
      </c>
      <c r="L182" s="544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1350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1346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1315</v>
      </c>
      <c r="I194" s="23" t="s">
        <v>1329</v>
      </c>
      <c r="J194" s="24" t="s">
        <v>1330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3450">
        <v>154</v>
      </c>
      <c r="B196" s="3448" t="s">
        <v>21</v>
      </c>
      <c r="C196" s="3570"/>
      <c r="D196" s="3442">
        <v>50000000</v>
      </c>
      <c r="E196" s="3444">
        <v>0.04</v>
      </c>
      <c r="F196" s="3442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3575">
        <f>G196+G198</f>
        <v>2000000</v>
      </c>
      <c r="L196" s="3592">
        <f t="shared" si="12"/>
        <v>0</v>
      </c>
      <c r="M196" s="3450"/>
    </row>
    <row r="197" spans="1:13" ht="30" customHeight="1" x14ac:dyDescent="0.2">
      <c r="A197" s="3456"/>
      <c r="B197" s="3476"/>
      <c r="C197" s="3576"/>
      <c r="D197" s="3461"/>
      <c r="E197" s="3474"/>
      <c r="F197" s="3461"/>
      <c r="G197" s="460">
        <v>500000</v>
      </c>
      <c r="H197" s="460" t="s">
        <v>473</v>
      </c>
      <c r="I197" s="471" t="s">
        <v>474</v>
      </c>
      <c r="J197" s="21" t="s">
        <v>472</v>
      </c>
      <c r="K197" s="3575"/>
      <c r="L197" s="3592"/>
      <c r="M197" s="3456"/>
    </row>
    <row r="198" spans="1:13" ht="30" customHeight="1" x14ac:dyDescent="0.2">
      <c r="A198" s="3451"/>
      <c r="B198" s="3449"/>
      <c r="C198" s="3571"/>
      <c r="D198" s="3443"/>
      <c r="E198" s="3445"/>
      <c r="F198" s="3443"/>
      <c r="G198" s="460">
        <v>500000</v>
      </c>
      <c r="H198" s="460" t="s">
        <v>1013</v>
      </c>
      <c r="I198" s="471" t="s">
        <v>1028</v>
      </c>
      <c r="J198" s="21" t="s">
        <v>472</v>
      </c>
      <c r="K198" s="3325" t="s">
        <v>1611</v>
      </c>
      <c r="L198" s="3341"/>
      <c r="M198" s="3451"/>
    </row>
    <row r="199" spans="1:13" ht="30" customHeight="1" x14ac:dyDescent="0.2">
      <c r="A199" s="4">
        <v>155</v>
      </c>
      <c r="B199" s="3" t="s">
        <v>22</v>
      </c>
      <c r="C199" s="352" t="s">
        <v>1349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3450">
        <v>156</v>
      </c>
      <c r="B200" s="3450" t="s">
        <v>848</v>
      </c>
      <c r="C200" s="352"/>
      <c r="D200" s="11">
        <v>120000000</v>
      </c>
      <c r="E200" s="20"/>
      <c r="F200" s="11">
        <v>5400000</v>
      </c>
      <c r="G200" s="3442">
        <v>6600000</v>
      </c>
      <c r="H200" s="3442" t="s">
        <v>839</v>
      </c>
      <c r="I200" s="3577" t="s">
        <v>849</v>
      </c>
      <c r="J200" s="3452" t="s">
        <v>850</v>
      </c>
      <c r="K200" s="3442">
        <f t="shared" si="11"/>
        <v>6600000</v>
      </c>
      <c r="L200" s="3442">
        <f>(F200+F201)-K200</f>
        <v>0</v>
      </c>
      <c r="M200" s="3"/>
    </row>
    <row r="201" spans="1:13" ht="30" customHeight="1" x14ac:dyDescent="0.2">
      <c r="A201" s="3451"/>
      <c r="B201" s="3451"/>
      <c r="C201" s="352"/>
      <c r="D201" s="129">
        <v>22000000</v>
      </c>
      <c r="E201" s="20"/>
      <c r="F201" s="129">
        <v>1200000</v>
      </c>
      <c r="G201" s="3443"/>
      <c r="H201" s="3443"/>
      <c r="I201" s="3578"/>
      <c r="J201" s="3453"/>
      <c r="K201" s="3443"/>
      <c r="L201" s="3443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1348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3450">
        <v>170</v>
      </c>
      <c r="B215" s="3513" t="s">
        <v>33</v>
      </c>
      <c r="C215" s="3570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3456"/>
      <c r="B216" s="3553"/>
      <c r="C216" s="3576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3451"/>
      <c r="B217" s="3514"/>
      <c r="C217" s="3571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3450">
        <v>172</v>
      </c>
      <c r="B219" s="3448" t="s">
        <v>35</v>
      </c>
      <c r="C219" s="3570"/>
      <c r="D219" s="3505"/>
      <c r="E219" s="3507"/>
      <c r="F219" s="3505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3442">
        <f>G219+G220+G221</f>
        <v>111000000</v>
      </c>
      <c r="L219" s="3505">
        <f t="shared" si="15"/>
        <v>-111000000</v>
      </c>
      <c r="M219" s="3"/>
    </row>
    <row r="220" spans="1:13" ht="30" customHeight="1" x14ac:dyDescent="0.2">
      <c r="A220" s="3456"/>
      <c r="B220" s="3476"/>
      <c r="C220" s="3576"/>
      <c r="D220" s="3549"/>
      <c r="E220" s="3550"/>
      <c r="F220" s="3549"/>
      <c r="G220" s="95">
        <v>50000000</v>
      </c>
      <c r="H220" s="95" t="s">
        <v>329</v>
      </c>
      <c r="I220" s="23" t="s">
        <v>658</v>
      </c>
      <c r="J220" s="24" t="s">
        <v>659</v>
      </c>
      <c r="K220" s="3461"/>
      <c r="L220" s="3549"/>
      <c r="M220" s="3"/>
    </row>
    <row r="221" spans="1:13" ht="30" customHeight="1" x14ac:dyDescent="0.2">
      <c r="A221" s="3451"/>
      <c r="B221" s="3449"/>
      <c r="C221" s="3571"/>
      <c r="D221" s="3506"/>
      <c r="E221" s="3508"/>
      <c r="F221" s="3506"/>
      <c r="G221" s="135">
        <v>31000000</v>
      </c>
      <c r="H221" s="135" t="s">
        <v>839</v>
      </c>
      <c r="I221" s="142" t="s">
        <v>885</v>
      </c>
      <c r="J221" s="24" t="s">
        <v>886</v>
      </c>
      <c r="K221" s="3443"/>
      <c r="L221" s="3506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3450">
        <v>188</v>
      </c>
      <c r="B237" s="3448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3451"/>
      <c r="B238" s="3449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1248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3450">
        <v>189</v>
      </c>
      <c r="B239" s="3513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3451"/>
      <c r="B240" s="3514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3450">
        <v>192</v>
      </c>
      <c r="B243" s="3448" t="s">
        <v>56</v>
      </c>
      <c r="C243" s="3570"/>
      <c r="D243" s="3505"/>
      <c r="E243" s="3551"/>
      <c r="F243" s="3505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3442">
        <f>G243+G244</f>
        <v>6500000</v>
      </c>
      <c r="L243" s="3505">
        <f t="shared" si="15"/>
        <v>-6500000</v>
      </c>
      <c r="M243" s="3"/>
    </row>
    <row r="244" spans="1:13" ht="30" customHeight="1" x14ac:dyDescent="0.2">
      <c r="A244" s="3451"/>
      <c r="B244" s="3449"/>
      <c r="C244" s="3571"/>
      <c r="D244" s="3506"/>
      <c r="E244" s="3552"/>
      <c r="F244" s="3506"/>
      <c r="G244" s="232">
        <v>500000</v>
      </c>
      <c r="H244" s="232" t="s">
        <v>1132</v>
      </c>
      <c r="I244" s="235" t="s">
        <v>1159</v>
      </c>
      <c r="J244" s="6" t="s">
        <v>1160</v>
      </c>
      <c r="K244" s="3443"/>
      <c r="L244" s="3506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1250</v>
      </c>
      <c r="J250" s="24" t="s">
        <v>1251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1258</v>
      </c>
      <c r="J251" s="273" t="s">
        <v>1259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1297</v>
      </c>
      <c r="I252" s="23" t="s">
        <v>1308</v>
      </c>
      <c r="J252" s="24" t="s">
        <v>1309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1292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1264</v>
      </c>
      <c r="I254" s="23" t="s">
        <v>1272</v>
      </c>
      <c r="J254" s="24" t="s">
        <v>1273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3450">
        <v>205</v>
      </c>
      <c r="B257" s="3448" t="s">
        <v>69</v>
      </c>
      <c r="C257" s="3570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3452" t="s">
        <v>1150</v>
      </c>
      <c r="K257" s="3442">
        <f>G257+G258</f>
        <v>3800000</v>
      </c>
      <c r="L257" s="3442">
        <f>(F257+F258)-K257</f>
        <v>0</v>
      </c>
      <c r="M257" s="3450"/>
    </row>
    <row r="258" spans="1:13" ht="30" customHeight="1" x14ac:dyDescent="0.2">
      <c r="A258" s="3451"/>
      <c r="B258" s="3449"/>
      <c r="C258" s="3571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3453"/>
      <c r="K258" s="3443"/>
      <c r="L258" s="3443"/>
      <c r="M258" s="3451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1264</v>
      </c>
      <c r="I260" s="23" t="s">
        <v>1276</v>
      </c>
      <c r="J260" s="88" t="s">
        <v>1277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1325</v>
      </c>
      <c r="I263" s="23" t="s">
        <v>1326</v>
      </c>
      <c r="J263" s="24" t="s">
        <v>1327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1901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3450">
        <v>218</v>
      </c>
      <c r="B271" s="3448" t="s">
        <v>83</v>
      </c>
      <c r="C271" s="3570"/>
      <c r="D271" s="3442">
        <v>203000000</v>
      </c>
      <c r="E271" s="3444">
        <v>0.05</v>
      </c>
      <c r="F271" s="3442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3442">
        <f>G271+G272</f>
        <v>10150000</v>
      </c>
      <c r="L271" s="3442">
        <f t="shared" si="18"/>
        <v>0</v>
      </c>
      <c r="M271" s="3"/>
    </row>
    <row r="272" spans="1:13" ht="30" customHeight="1" x14ac:dyDescent="0.2">
      <c r="A272" s="3451"/>
      <c r="B272" s="3449"/>
      <c r="C272" s="3571"/>
      <c r="D272" s="3443"/>
      <c r="E272" s="3445"/>
      <c r="F272" s="3443"/>
      <c r="G272" s="11">
        <v>10000000</v>
      </c>
      <c r="H272" s="11" t="s">
        <v>294</v>
      </c>
      <c r="I272" s="23" t="s">
        <v>299</v>
      </c>
      <c r="J272" s="24" t="s">
        <v>298</v>
      </c>
      <c r="K272" s="3443"/>
      <c r="L272" s="3443"/>
      <c r="M272" s="3"/>
    </row>
    <row r="273" spans="1:13" ht="30" customHeight="1" x14ac:dyDescent="0.2">
      <c r="A273" s="3450">
        <v>219</v>
      </c>
      <c r="B273" s="3448" t="s">
        <v>332</v>
      </c>
      <c r="C273" s="3570"/>
      <c r="D273" s="3442">
        <v>275000000</v>
      </c>
      <c r="E273" s="3444">
        <v>4.2000000000000003E-2</v>
      </c>
      <c r="F273" s="3442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3442">
        <f>G273+G274</f>
        <v>11550000</v>
      </c>
      <c r="L273" s="3442">
        <f t="shared" si="18"/>
        <v>0</v>
      </c>
      <c r="M273" s="3450"/>
    </row>
    <row r="274" spans="1:13" ht="30" customHeight="1" x14ac:dyDescent="0.2">
      <c r="A274" s="3451"/>
      <c r="B274" s="3449"/>
      <c r="C274" s="3571"/>
      <c r="D274" s="3443"/>
      <c r="E274" s="3445"/>
      <c r="F274" s="3443"/>
      <c r="G274" s="19">
        <v>1550000</v>
      </c>
      <c r="H274" s="19" t="s">
        <v>329</v>
      </c>
      <c r="I274" s="23" t="s">
        <v>334</v>
      </c>
      <c r="J274" s="24" t="s">
        <v>335</v>
      </c>
      <c r="K274" s="3443"/>
      <c r="L274" s="3443"/>
      <c r="M274" s="3451"/>
    </row>
    <row r="275" spans="1:13" ht="30" customHeight="1" x14ac:dyDescent="0.2">
      <c r="A275" s="3450">
        <v>220</v>
      </c>
      <c r="B275" s="3448" t="s">
        <v>84</v>
      </c>
      <c r="C275" s="3570" t="s">
        <v>1342</v>
      </c>
      <c r="D275" s="3575">
        <v>730000000</v>
      </c>
      <c r="E275" s="3575" t="s">
        <v>1252</v>
      </c>
      <c r="F275" s="3575"/>
      <c r="G275" s="11">
        <v>25000000</v>
      </c>
      <c r="H275" s="11" t="s">
        <v>388</v>
      </c>
      <c r="I275" s="36" t="s">
        <v>424</v>
      </c>
      <c r="J275" s="24" t="s">
        <v>1417</v>
      </c>
      <c r="K275" s="3442">
        <f>G275+G276</f>
        <v>30000000</v>
      </c>
      <c r="L275" s="3442"/>
      <c r="M275" s="3450"/>
    </row>
    <row r="276" spans="1:13" ht="30" customHeight="1" x14ac:dyDescent="0.2">
      <c r="A276" s="3456"/>
      <c r="B276" s="3476"/>
      <c r="C276" s="3576"/>
      <c r="D276" s="3575"/>
      <c r="E276" s="3575"/>
      <c r="F276" s="3575"/>
      <c r="G276" s="75">
        <v>5000000</v>
      </c>
      <c r="H276" s="75" t="s">
        <v>557</v>
      </c>
      <c r="I276" s="36" t="s">
        <v>579</v>
      </c>
      <c r="J276" s="24" t="s">
        <v>1417</v>
      </c>
      <c r="K276" s="3443"/>
      <c r="L276" s="3443"/>
      <c r="M276" s="3451"/>
    </row>
    <row r="277" spans="1:13" ht="30" customHeight="1" x14ac:dyDescent="0.2">
      <c r="A277" s="3456"/>
      <c r="B277" s="3476"/>
      <c r="C277" s="3576"/>
      <c r="D277" s="3442">
        <v>700000000</v>
      </c>
      <c r="E277" s="3444">
        <v>5.5E-2</v>
      </c>
      <c r="F277" s="3442">
        <f>D277*E277</f>
        <v>38500000</v>
      </c>
      <c r="G277" s="368">
        <v>20000000</v>
      </c>
      <c r="H277" s="368" t="s">
        <v>1208</v>
      </c>
      <c r="I277" s="36"/>
      <c r="J277" s="24"/>
      <c r="K277" s="3442">
        <f>G277+G278</f>
        <v>35000000</v>
      </c>
      <c r="L277" s="3442">
        <f>F277-K277</f>
        <v>3500000</v>
      </c>
      <c r="M277" s="3579" t="s">
        <v>1419</v>
      </c>
    </row>
    <row r="278" spans="1:13" ht="30" customHeight="1" x14ac:dyDescent="0.2">
      <c r="A278" s="3451"/>
      <c r="B278" s="3449"/>
      <c r="C278" s="3571"/>
      <c r="D278" s="3443"/>
      <c r="E278" s="3445"/>
      <c r="F278" s="3443"/>
      <c r="G278" s="269">
        <v>15000000</v>
      </c>
      <c r="H278" s="269" t="s">
        <v>1297</v>
      </c>
      <c r="I278" s="36" t="s">
        <v>1305</v>
      </c>
      <c r="J278" s="24" t="s">
        <v>1417</v>
      </c>
      <c r="K278" s="3443"/>
      <c r="L278" s="3443"/>
      <c r="M278" s="3580"/>
    </row>
    <row r="279" spans="1:13" ht="30" customHeight="1" x14ac:dyDescent="0.2">
      <c r="A279" s="4">
        <v>221</v>
      </c>
      <c r="B279" s="3" t="s">
        <v>85</v>
      </c>
      <c r="C279" s="352" t="s">
        <v>1746</v>
      </c>
      <c r="D279" s="508">
        <v>100000000</v>
      </c>
      <c r="E279" s="517">
        <v>0.05</v>
      </c>
      <c r="F279" s="508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08">
        <f t="shared" si="18"/>
        <v>-5000000</v>
      </c>
      <c r="M279" s="82" t="s">
        <v>1745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3450">
        <v>224</v>
      </c>
      <c r="B282" s="3448" t="s">
        <v>88</v>
      </c>
      <c r="C282" s="3570"/>
      <c r="D282" s="174"/>
      <c r="E282" s="3538" t="s">
        <v>1284</v>
      </c>
      <c r="F282" s="3539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3451"/>
      <c r="B283" s="3449"/>
      <c r="C283" s="3571"/>
      <c r="D283" s="280">
        <v>500000000</v>
      </c>
      <c r="E283" s="20">
        <v>0.06</v>
      </c>
      <c r="F283" s="20">
        <f>D283*E283</f>
        <v>30000000</v>
      </c>
      <c r="G283" s="3325" t="s">
        <v>1285</v>
      </c>
      <c r="H283" s="3340"/>
      <c r="I283" s="3340"/>
      <c r="J283" s="3340"/>
      <c r="K283" s="3341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3450">
        <v>232</v>
      </c>
      <c r="B291" s="3448" t="s">
        <v>95</v>
      </c>
      <c r="C291" s="3570"/>
      <c r="D291" s="3505"/>
      <c r="E291" s="3507"/>
      <c r="F291" s="3442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3442">
        <f>G291+G292+G293</f>
        <v>42000000</v>
      </c>
      <c r="L291" s="3442">
        <f>(F291+F293)-K291</f>
        <v>0</v>
      </c>
      <c r="M291" s="3492" t="s">
        <v>667</v>
      </c>
    </row>
    <row r="292" spans="1:13" ht="30" customHeight="1" x14ac:dyDescent="0.2">
      <c r="A292" s="3456"/>
      <c r="B292" s="3476"/>
      <c r="C292" s="3576"/>
      <c r="D292" s="3549"/>
      <c r="E292" s="3550"/>
      <c r="F292" s="3443"/>
      <c r="G292" s="72">
        <v>20000000</v>
      </c>
      <c r="H292" s="72" t="s">
        <v>649</v>
      </c>
      <c r="I292" s="36" t="s">
        <v>665</v>
      </c>
      <c r="J292" s="24" t="s">
        <v>666</v>
      </c>
      <c r="K292" s="3461"/>
      <c r="L292" s="3461"/>
      <c r="M292" s="3493"/>
    </row>
    <row r="293" spans="1:13" ht="30" customHeight="1" x14ac:dyDescent="0.2">
      <c r="A293" s="3451"/>
      <c r="B293" s="3449"/>
      <c r="C293" s="3571"/>
      <c r="D293" s="3506"/>
      <c r="E293" s="3508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3443"/>
      <c r="L293" s="3443"/>
      <c r="M293" s="3494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3450">
        <v>239</v>
      </c>
      <c r="B300" s="3448" t="s">
        <v>573</v>
      </c>
      <c r="C300" s="3570"/>
      <c r="D300" s="3442">
        <v>30000000</v>
      </c>
      <c r="E300" s="3507"/>
      <c r="F300" s="3442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3442">
        <f>G300+G301</f>
        <v>2400000</v>
      </c>
      <c r="L300" s="3442">
        <f>F300-K300</f>
        <v>-50000</v>
      </c>
      <c r="M300" s="3495" t="s">
        <v>673</v>
      </c>
    </row>
    <row r="301" spans="1:13" ht="30" customHeight="1" x14ac:dyDescent="0.2">
      <c r="A301" s="3451"/>
      <c r="B301" s="3449"/>
      <c r="C301" s="3571"/>
      <c r="D301" s="3443"/>
      <c r="E301" s="3508"/>
      <c r="F301" s="3443"/>
      <c r="G301" s="98">
        <v>1400000</v>
      </c>
      <c r="H301" s="98" t="s">
        <v>649</v>
      </c>
      <c r="I301" s="23" t="s">
        <v>671</v>
      </c>
      <c r="J301" s="102" t="s">
        <v>672</v>
      </c>
      <c r="K301" s="3443"/>
      <c r="L301" s="3443"/>
      <c r="M301" s="3496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3450">
        <v>241</v>
      </c>
      <c r="B303" s="3448" t="s">
        <v>519</v>
      </c>
      <c r="C303" s="3570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3456"/>
      <c r="B304" s="3476"/>
      <c r="C304" s="3576"/>
      <c r="D304" s="3325" t="s">
        <v>1216</v>
      </c>
      <c r="E304" s="3340"/>
      <c r="F304" s="3341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3451"/>
      <c r="B305" s="3449"/>
      <c r="C305" s="3571"/>
      <c r="D305" s="6">
        <v>20000000</v>
      </c>
      <c r="E305" s="20">
        <v>0.04</v>
      </c>
      <c r="F305" s="6">
        <f>D305*E305</f>
        <v>800000</v>
      </c>
      <c r="G305" s="3325" t="s">
        <v>1217</v>
      </c>
      <c r="H305" s="3340"/>
      <c r="I305" s="3340"/>
      <c r="J305" s="3340"/>
      <c r="K305" s="3340"/>
      <c r="L305" s="3341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4198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 t="s">
        <v>379</v>
      </c>
      <c r="D313" s="3092">
        <v>90000000</v>
      </c>
      <c r="E313" s="3101">
        <v>0.06</v>
      </c>
      <c r="F313" s="3092">
        <f t="shared" si="19"/>
        <v>5400000</v>
      </c>
      <c r="G313" s="3092">
        <v>5400000</v>
      </c>
      <c r="H313" s="3092" t="s">
        <v>432</v>
      </c>
      <c r="I313" s="3096" t="s">
        <v>442</v>
      </c>
      <c r="J313" s="24" t="s">
        <v>443</v>
      </c>
      <c r="K313" s="3092">
        <f t="shared" si="20"/>
        <v>5400000</v>
      </c>
      <c r="L313" s="3092">
        <f t="shared" si="21"/>
        <v>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3450">
        <v>253</v>
      </c>
      <c r="B317" s="3448" t="s">
        <v>2013</v>
      </c>
      <c r="C317" s="3570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3451"/>
      <c r="B318" s="3449"/>
      <c r="C318" s="3571"/>
      <c r="D318" s="594">
        <v>295000000</v>
      </c>
      <c r="E318" s="605">
        <v>0.05</v>
      </c>
      <c r="F318" s="594">
        <f t="shared" si="19"/>
        <v>14750000</v>
      </c>
      <c r="G318" s="3478" t="s">
        <v>2015</v>
      </c>
      <c r="H318" s="3479"/>
      <c r="I318" s="3479"/>
      <c r="J318" s="3479"/>
      <c r="K318" s="3480"/>
      <c r="L318" s="594"/>
      <c r="M318" s="3" t="s">
        <v>2016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1347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3442">
        <v>1600000</v>
      </c>
      <c r="H322" s="3442" t="s">
        <v>453</v>
      </c>
      <c r="I322" s="3577" t="s">
        <v>486</v>
      </c>
      <c r="J322" s="3586" t="s">
        <v>485</v>
      </c>
      <c r="K322" s="3442">
        <f t="shared" si="20"/>
        <v>1600000</v>
      </c>
      <c r="L322" s="3442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3443"/>
      <c r="H323" s="3443"/>
      <c r="I323" s="3578"/>
      <c r="J323" s="3587"/>
      <c r="K323" s="3443"/>
      <c r="L323" s="3443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2">
        <v>50000000</v>
      </c>
      <c r="E324" s="696">
        <v>0.05</v>
      </c>
      <c r="F324" s="692">
        <f t="shared" si="19"/>
        <v>2500000</v>
      </c>
      <c r="G324" s="692">
        <v>2500000</v>
      </c>
      <c r="H324" s="692" t="s">
        <v>453</v>
      </c>
      <c r="I324" s="694" t="s">
        <v>465</v>
      </c>
      <c r="J324" s="24" t="s">
        <v>466</v>
      </c>
      <c r="K324" s="692">
        <f t="shared" si="20"/>
        <v>2500000</v>
      </c>
      <c r="L324" s="692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3450">
        <v>264</v>
      </c>
      <c r="B329" s="3448" t="s">
        <v>123</v>
      </c>
      <c r="C329" s="3570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3450"/>
    </row>
    <row r="330" spans="1:13" ht="30" customHeight="1" x14ac:dyDescent="0.2">
      <c r="A330" s="3456"/>
      <c r="B330" s="3476"/>
      <c r="C330" s="3576"/>
      <c r="D330" s="3442">
        <v>190000000</v>
      </c>
      <c r="E330" s="3538" t="s">
        <v>884</v>
      </c>
      <c r="F330" s="3539"/>
      <c r="G330" s="98">
        <v>8000000</v>
      </c>
      <c r="H330" s="98" t="s">
        <v>649</v>
      </c>
      <c r="I330" s="23" t="s">
        <v>669</v>
      </c>
      <c r="J330" s="30" t="s">
        <v>670</v>
      </c>
      <c r="K330" s="3442">
        <f>G330+G331+G332+G333+G334+G335+G336</f>
        <v>190000000</v>
      </c>
      <c r="L330" s="3442">
        <f>D330-K330</f>
        <v>0</v>
      </c>
      <c r="M330" s="3451"/>
    </row>
    <row r="331" spans="1:13" ht="30" customHeight="1" x14ac:dyDescent="0.2">
      <c r="A331" s="3456"/>
      <c r="B331" s="3476"/>
      <c r="C331" s="3576"/>
      <c r="D331" s="3461"/>
      <c r="E331" s="3544"/>
      <c r="F331" s="3545"/>
      <c r="G331" s="98">
        <v>20000000</v>
      </c>
      <c r="H331" s="98" t="s">
        <v>676</v>
      </c>
      <c r="I331" s="36" t="s">
        <v>681</v>
      </c>
      <c r="J331" s="57" t="s">
        <v>682</v>
      </c>
      <c r="K331" s="3461"/>
      <c r="L331" s="3461"/>
      <c r="M331" s="99"/>
    </row>
    <row r="332" spans="1:13" ht="30" customHeight="1" x14ac:dyDescent="0.2">
      <c r="A332" s="3456"/>
      <c r="B332" s="3476"/>
      <c r="C332" s="3576"/>
      <c r="D332" s="3461"/>
      <c r="E332" s="3544"/>
      <c r="F332" s="3545"/>
      <c r="G332" s="144">
        <v>80000000</v>
      </c>
      <c r="H332" s="147"/>
      <c r="I332" s="118"/>
      <c r="J332" s="172"/>
      <c r="K332" s="3461"/>
      <c r="L332" s="3461"/>
      <c r="M332" s="145"/>
    </row>
    <row r="333" spans="1:13" ht="30" customHeight="1" x14ac:dyDescent="0.2">
      <c r="A333" s="3456"/>
      <c r="B333" s="3476"/>
      <c r="C333" s="3576"/>
      <c r="D333" s="3461"/>
      <c r="E333" s="3544"/>
      <c r="F333" s="3545"/>
      <c r="G333" s="217">
        <v>40000000</v>
      </c>
      <c r="H333" s="242" t="s">
        <v>1013</v>
      </c>
      <c r="I333" s="244" t="s">
        <v>1108</v>
      </c>
      <c r="J333" s="245" t="s">
        <v>682</v>
      </c>
      <c r="K333" s="3461"/>
      <c r="L333" s="3461"/>
      <c r="M333" s="216"/>
    </row>
    <row r="334" spans="1:13" ht="30" customHeight="1" x14ac:dyDescent="0.2">
      <c r="A334" s="3456"/>
      <c r="B334" s="3476"/>
      <c r="C334" s="3576"/>
      <c r="D334" s="3461"/>
      <c r="E334" s="3544"/>
      <c r="F334" s="3545"/>
      <c r="G334" s="232">
        <v>9000000</v>
      </c>
      <c r="H334" s="242" t="s">
        <v>1032</v>
      </c>
      <c r="I334" s="244" t="s">
        <v>1122</v>
      </c>
      <c r="J334" s="245" t="s">
        <v>682</v>
      </c>
      <c r="K334" s="3461"/>
      <c r="L334" s="3461"/>
      <c r="M334" s="229"/>
    </row>
    <row r="335" spans="1:13" ht="30" customHeight="1" x14ac:dyDescent="0.2">
      <c r="A335" s="3456"/>
      <c r="B335" s="3476"/>
      <c r="C335" s="3576"/>
      <c r="D335" s="3461"/>
      <c r="E335" s="3544"/>
      <c r="F335" s="3545"/>
      <c r="G335" s="232">
        <v>25000000</v>
      </c>
      <c r="H335" s="242" t="s">
        <v>1132</v>
      </c>
      <c r="I335" s="244" t="s">
        <v>1133</v>
      </c>
      <c r="J335" s="245" t="s">
        <v>682</v>
      </c>
      <c r="K335" s="3461"/>
      <c r="L335" s="3461"/>
      <c r="M335" s="229"/>
    </row>
    <row r="336" spans="1:13" ht="30" customHeight="1" x14ac:dyDescent="0.2">
      <c r="A336" s="3451"/>
      <c r="B336" s="3449"/>
      <c r="C336" s="3571"/>
      <c r="D336" s="3443"/>
      <c r="E336" s="3540"/>
      <c r="F336" s="3541"/>
      <c r="G336" s="307">
        <v>8000000</v>
      </c>
      <c r="H336" s="242" t="s">
        <v>1315</v>
      </c>
      <c r="I336" s="347" t="s">
        <v>1322</v>
      </c>
      <c r="J336" s="245" t="s">
        <v>682</v>
      </c>
      <c r="K336" s="3443"/>
      <c r="L336" s="3443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3450">
        <v>271</v>
      </c>
      <c r="B343" s="3448" t="s">
        <v>128</v>
      </c>
      <c r="C343" s="3570" t="s">
        <v>367</v>
      </c>
      <c r="D343" s="3442">
        <v>40000000</v>
      </c>
      <c r="E343" s="3444">
        <v>5.5E-2</v>
      </c>
      <c r="F343" s="3442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3442">
        <f>G343+G344</f>
        <v>2200000</v>
      </c>
      <c r="L343" s="3442">
        <f t="shared" si="21"/>
        <v>0</v>
      </c>
      <c r="M343" s="3"/>
    </row>
    <row r="344" spans="1:13" ht="30" customHeight="1" x14ac:dyDescent="0.2">
      <c r="A344" s="3451"/>
      <c r="B344" s="3449"/>
      <c r="C344" s="3571"/>
      <c r="D344" s="3443"/>
      <c r="E344" s="3445"/>
      <c r="F344" s="3443"/>
      <c r="G344" s="62">
        <v>400000</v>
      </c>
      <c r="H344" s="62" t="s">
        <v>501</v>
      </c>
      <c r="I344" s="23" t="s">
        <v>515</v>
      </c>
      <c r="J344" s="21" t="s">
        <v>514</v>
      </c>
      <c r="K344" s="3443"/>
      <c r="L344" s="3443"/>
      <c r="M344" s="3"/>
    </row>
    <row r="345" spans="1:13" ht="30" customHeight="1" x14ac:dyDescent="0.2">
      <c r="A345" s="3450">
        <v>272</v>
      </c>
      <c r="B345" s="3448" t="s">
        <v>129</v>
      </c>
      <c r="C345" s="3570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3442">
        <f>G345+G346</f>
        <v>37100000</v>
      </c>
      <c r="L345" s="3442">
        <f>(F345+F346)-K345</f>
        <v>0</v>
      </c>
      <c r="M345" s="3450"/>
    </row>
    <row r="346" spans="1:13" ht="30" customHeight="1" x14ac:dyDescent="0.2">
      <c r="A346" s="3451"/>
      <c r="B346" s="3449"/>
      <c r="C346" s="3571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3443"/>
      <c r="L346" s="3443"/>
      <c r="M346" s="3451"/>
    </row>
    <row r="347" spans="1:13" ht="30" customHeight="1" x14ac:dyDescent="0.2">
      <c r="A347" s="4">
        <v>273</v>
      </c>
      <c r="B347" s="3" t="s">
        <v>130</v>
      </c>
      <c r="C347" s="352" t="s">
        <v>1346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1346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3450">
        <v>281</v>
      </c>
      <c r="B355" s="3448" t="s">
        <v>136</v>
      </c>
      <c r="C355" s="3570" t="s">
        <v>1345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3451"/>
      <c r="B356" s="3449"/>
      <c r="C356" s="3571"/>
      <c r="D356" s="295">
        <v>40000000</v>
      </c>
      <c r="E356" s="20">
        <v>0.05</v>
      </c>
      <c r="F356" s="295">
        <f t="shared" si="19"/>
        <v>2000000</v>
      </c>
      <c r="G356" s="3478" t="s">
        <v>1296</v>
      </c>
      <c r="H356" s="3479"/>
      <c r="I356" s="3479"/>
      <c r="J356" s="3479"/>
      <c r="K356" s="3480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3450">
        <v>283</v>
      </c>
      <c r="B358" s="3448" t="s">
        <v>137</v>
      </c>
      <c r="C358" s="3570"/>
      <c r="D358" s="3505"/>
      <c r="E358" s="3507"/>
      <c r="F358" s="3442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3442">
        <f>G358+G359</f>
        <v>1550000</v>
      </c>
      <c r="L358" s="3442">
        <f>F358-K358</f>
        <v>0</v>
      </c>
      <c r="M358" s="3499" t="s">
        <v>642</v>
      </c>
    </row>
    <row r="359" spans="1:13" ht="30" customHeight="1" x14ac:dyDescent="0.2">
      <c r="A359" s="3451"/>
      <c r="B359" s="3449"/>
      <c r="C359" s="3571"/>
      <c r="D359" s="3506"/>
      <c r="E359" s="3508"/>
      <c r="F359" s="3443"/>
      <c r="G359" s="90">
        <v>45000</v>
      </c>
      <c r="H359" s="90" t="s">
        <v>557</v>
      </c>
      <c r="I359" s="23" t="s">
        <v>645</v>
      </c>
      <c r="J359" s="24" t="s">
        <v>646</v>
      </c>
      <c r="K359" s="3443"/>
      <c r="L359" s="3443"/>
      <c r="M359" s="3500"/>
    </row>
    <row r="360" spans="1:13" ht="30" customHeight="1" x14ac:dyDescent="0.2">
      <c r="A360" s="3450">
        <v>284</v>
      </c>
      <c r="B360" s="3448" t="s">
        <v>1197</v>
      </c>
      <c r="C360" s="3570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3442">
        <v>6675000</v>
      </c>
      <c r="H360" s="3442" t="s">
        <v>1177</v>
      </c>
      <c r="I360" s="3577" t="s">
        <v>1198</v>
      </c>
      <c r="J360" s="3452" t="s">
        <v>1199</v>
      </c>
      <c r="K360" s="3442">
        <f t="shared" si="20"/>
        <v>6675000</v>
      </c>
      <c r="L360" s="3442">
        <f>(F360+1500000)-K360</f>
        <v>0</v>
      </c>
      <c r="M360" s="3499" t="s">
        <v>1200</v>
      </c>
    </row>
    <row r="361" spans="1:13" ht="30" customHeight="1" x14ac:dyDescent="0.2">
      <c r="A361" s="3451"/>
      <c r="B361" s="3449"/>
      <c r="C361" s="3571"/>
      <c r="D361" s="250">
        <v>60000000</v>
      </c>
      <c r="E361" s="20">
        <v>0.05</v>
      </c>
      <c r="F361" s="250">
        <f t="shared" si="19"/>
        <v>3000000</v>
      </c>
      <c r="G361" s="3443"/>
      <c r="H361" s="3443"/>
      <c r="I361" s="3578"/>
      <c r="J361" s="3453"/>
      <c r="K361" s="3443"/>
      <c r="L361" s="3443"/>
      <c r="M361" s="3500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1344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1343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3450">
        <v>291</v>
      </c>
      <c r="B368" s="3448" t="s">
        <v>142</v>
      </c>
      <c r="C368" s="3570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3450"/>
    </row>
    <row r="369" spans="1:13" ht="30" customHeight="1" x14ac:dyDescent="0.2">
      <c r="A369" s="3456"/>
      <c r="B369" s="3476"/>
      <c r="C369" s="3576"/>
      <c r="D369" s="3442">
        <v>20000000</v>
      </c>
      <c r="E369" s="3538" t="s">
        <v>668</v>
      </c>
      <c r="F369" s="3539"/>
      <c r="G369" s="250">
        <v>3000000</v>
      </c>
      <c r="H369" s="250" t="s">
        <v>1177</v>
      </c>
      <c r="I369" s="254" t="s">
        <v>1206</v>
      </c>
      <c r="J369" s="3452" t="s">
        <v>457</v>
      </c>
      <c r="K369" s="3442">
        <f>G369+G370</f>
        <v>5000000</v>
      </c>
      <c r="L369" s="3442">
        <f>D369-K369</f>
        <v>15000000</v>
      </c>
      <c r="M369" s="3456"/>
    </row>
    <row r="370" spans="1:13" ht="30" customHeight="1" x14ac:dyDescent="0.2">
      <c r="A370" s="3451"/>
      <c r="B370" s="3449"/>
      <c r="C370" s="3571"/>
      <c r="D370" s="3443"/>
      <c r="E370" s="3540"/>
      <c r="F370" s="3541"/>
      <c r="G370" s="250">
        <v>2000000</v>
      </c>
      <c r="H370" s="250" t="s">
        <v>1177</v>
      </c>
      <c r="I370" s="254" t="s">
        <v>1207</v>
      </c>
      <c r="J370" s="3453"/>
      <c r="K370" s="3443"/>
      <c r="L370" s="3443"/>
      <c r="M370" s="3451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3450">
        <v>294</v>
      </c>
      <c r="B373" s="3448" t="s">
        <v>145</v>
      </c>
      <c r="C373" s="3570"/>
      <c r="D373" s="3442">
        <v>100000000</v>
      </c>
      <c r="E373" s="3538" t="s">
        <v>668</v>
      </c>
      <c r="F373" s="3539"/>
      <c r="G373" s="3325" t="s">
        <v>2646</v>
      </c>
      <c r="H373" s="3340"/>
      <c r="I373" s="3340"/>
      <c r="J373" s="3341"/>
      <c r="K373" s="3442" t="e">
        <f>G374+G373</f>
        <v>#VALUE!</v>
      </c>
      <c r="L373" s="3442" t="e">
        <f>D373-K373</f>
        <v>#VALUE!</v>
      </c>
      <c r="M373" s="3"/>
    </row>
    <row r="374" spans="1:13" ht="30" customHeight="1" x14ac:dyDescent="0.2">
      <c r="A374" s="3456"/>
      <c r="B374" s="3476"/>
      <c r="C374" s="3576"/>
      <c r="D374" s="3443"/>
      <c r="E374" s="3540"/>
      <c r="F374" s="3541"/>
      <c r="G374" s="6">
        <v>20000000</v>
      </c>
      <c r="H374" s="6" t="s">
        <v>1264</v>
      </c>
      <c r="I374" s="281" t="s">
        <v>1274</v>
      </c>
      <c r="J374" s="21" t="s">
        <v>1275</v>
      </c>
      <c r="K374" s="3443"/>
      <c r="L374" s="3443"/>
      <c r="M374" s="3" t="s">
        <v>2645</v>
      </c>
    </row>
    <row r="375" spans="1:13" ht="30" customHeight="1" x14ac:dyDescent="0.2">
      <c r="A375" s="3451"/>
      <c r="B375" s="3449"/>
      <c r="C375" s="3571"/>
      <c r="D375" s="11">
        <v>100000000</v>
      </c>
      <c r="E375" s="20">
        <v>0.05</v>
      </c>
      <c r="F375" s="11">
        <f t="shared" si="22"/>
        <v>5000000</v>
      </c>
      <c r="G375" s="3442">
        <v>5500000</v>
      </c>
      <c r="H375" s="3442" t="s">
        <v>728</v>
      </c>
      <c r="I375" s="3577" t="s">
        <v>729</v>
      </c>
      <c r="J375" s="3452" t="s">
        <v>730</v>
      </c>
      <c r="K375" s="3442">
        <f t="shared" si="23"/>
        <v>5500000</v>
      </c>
      <c r="L375" s="3442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3443"/>
      <c r="H376" s="3443"/>
      <c r="I376" s="3578"/>
      <c r="J376" s="3453"/>
      <c r="K376" s="3443"/>
      <c r="L376" s="3443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1297</v>
      </c>
      <c r="I378" s="23" t="s">
        <v>1310</v>
      </c>
      <c r="J378" s="298" t="s">
        <v>1311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3450">
        <v>299</v>
      </c>
      <c r="B380" s="3448" t="s">
        <v>851</v>
      </c>
      <c r="C380" s="3570"/>
      <c r="D380" s="3535">
        <v>200000000</v>
      </c>
      <c r="E380" s="3528" t="s">
        <v>884</v>
      </c>
      <c r="F380" s="3529"/>
      <c r="G380" s="11">
        <v>20000000</v>
      </c>
      <c r="H380" s="11" t="s">
        <v>388</v>
      </c>
      <c r="I380" s="36" t="s">
        <v>427</v>
      </c>
      <c r="J380" s="24" t="s">
        <v>428</v>
      </c>
      <c r="K380" s="3442">
        <f>G380+G381+G382+G383+G384</f>
        <v>200000000</v>
      </c>
      <c r="L380" s="3535">
        <f>D380-K380</f>
        <v>0</v>
      </c>
      <c r="M380" s="3407"/>
    </row>
    <row r="381" spans="1:13" ht="30" customHeight="1" x14ac:dyDescent="0.2">
      <c r="A381" s="3456"/>
      <c r="B381" s="3476"/>
      <c r="C381" s="3576"/>
      <c r="D381" s="3536"/>
      <c r="E381" s="3530"/>
      <c r="F381" s="3531"/>
      <c r="G381" s="75">
        <v>50000000</v>
      </c>
      <c r="H381" s="75" t="s">
        <v>557</v>
      </c>
      <c r="I381" s="36" t="s">
        <v>580</v>
      </c>
      <c r="J381" s="24" t="s">
        <v>581</v>
      </c>
      <c r="K381" s="3461"/>
      <c r="L381" s="3536"/>
      <c r="M381" s="3527"/>
    </row>
    <row r="382" spans="1:13" ht="30" customHeight="1" x14ac:dyDescent="0.2">
      <c r="A382" s="3456"/>
      <c r="B382" s="3476"/>
      <c r="C382" s="3576"/>
      <c r="D382" s="3536"/>
      <c r="E382" s="3530"/>
      <c r="F382" s="3531"/>
      <c r="G382" s="95">
        <v>50000000</v>
      </c>
      <c r="H382" s="95" t="s">
        <v>557</v>
      </c>
      <c r="I382" s="36" t="s">
        <v>664</v>
      </c>
      <c r="J382" s="24" t="s">
        <v>581</v>
      </c>
      <c r="K382" s="3461"/>
      <c r="L382" s="3536"/>
      <c r="M382" s="3527"/>
    </row>
    <row r="383" spans="1:13" ht="30" customHeight="1" x14ac:dyDescent="0.2">
      <c r="A383" s="3456"/>
      <c r="B383" s="3476"/>
      <c r="C383" s="3576"/>
      <c r="D383" s="3536"/>
      <c r="E383" s="3530"/>
      <c r="F383" s="3531"/>
      <c r="G383" s="129">
        <v>50000000</v>
      </c>
      <c r="H383" s="129" t="s">
        <v>839</v>
      </c>
      <c r="I383" s="138" t="s">
        <v>852</v>
      </c>
      <c r="J383" s="24" t="s">
        <v>853</v>
      </c>
      <c r="K383" s="3461"/>
      <c r="L383" s="3536"/>
      <c r="M383" s="3527"/>
    </row>
    <row r="384" spans="1:13" ht="30" customHeight="1" x14ac:dyDescent="0.2">
      <c r="A384" s="3451"/>
      <c r="B384" s="3449"/>
      <c r="C384" s="3571"/>
      <c r="D384" s="3537"/>
      <c r="E384" s="3532"/>
      <c r="F384" s="3533"/>
      <c r="G384" s="135">
        <v>30000000</v>
      </c>
      <c r="H384" s="135" t="s">
        <v>839</v>
      </c>
      <c r="I384" s="36" t="s">
        <v>883</v>
      </c>
      <c r="J384" s="36" t="s">
        <v>882</v>
      </c>
      <c r="K384" s="3443"/>
      <c r="L384" s="3537"/>
      <c r="M384" s="3408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3450">
        <v>301</v>
      </c>
      <c r="B386" s="3448" t="s">
        <v>150</v>
      </c>
      <c r="C386" s="3570" t="s">
        <v>917</v>
      </c>
      <c r="D386" s="3442">
        <v>178000000</v>
      </c>
      <c r="E386" s="3444">
        <v>5.8999999999999997E-2</v>
      </c>
      <c r="F386" s="3442">
        <v>10500000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3442">
        <f>G386+G387</f>
        <v>10500000</v>
      </c>
      <c r="L386" s="3505">
        <f>F386-K386</f>
        <v>0</v>
      </c>
      <c r="M386" s="3"/>
    </row>
    <row r="387" spans="1:13" ht="30" customHeight="1" x14ac:dyDescent="0.2">
      <c r="A387" s="3451"/>
      <c r="B387" s="3449"/>
      <c r="C387" s="3571"/>
      <c r="D387" s="3443"/>
      <c r="E387" s="3445"/>
      <c r="F387" s="3443"/>
      <c r="G387" s="129">
        <v>500000</v>
      </c>
      <c r="H387" s="129" t="s">
        <v>1013</v>
      </c>
      <c r="I387" s="132" t="s">
        <v>1023</v>
      </c>
      <c r="J387" s="24" t="s">
        <v>869</v>
      </c>
      <c r="K387" s="3443"/>
      <c r="L387" s="3506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3450">
        <v>304</v>
      </c>
      <c r="B390" s="3448" t="s">
        <v>153</v>
      </c>
      <c r="C390" s="3570"/>
      <c r="D390" s="3505"/>
      <c r="E390" s="3507"/>
      <c r="F390" s="3505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3505">
        <f t="shared" si="24"/>
        <v>-50000000</v>
      </c>
      <c r="M390" s="3"/>
    </row>
    <row r="391" spans="1:13" ht="30" customHeight="1" x14ac:dyDescent="0.2">
      <c r="A391" s="3451"/>
      <c r="B391" s="3449"/>
      <c r="C391" s="3571"/>
      <c r="D391" s="3506"/>
      <c r="E391" s="3508"/>
      <c r="F391" s="3506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3506"/>
      <c r="M391" s="3"/>
    </row>
    <row r="392" spans="1:13" ht="30" customHeight="1" x14ac:dyDescent="0.2">
      <c r="A392" s="3450">
        <v>305</v>
      </c>
      <c r="B392" s="3457" t="s">
        <v>154</v>
      </c>
      <c r="C392" s="3570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3451"/>
      <c r="B393" s="3458"/>
      <c r="C393" s="3571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3450">
        <v>306</v>
      </c>
      <c r="B394" s="3448" t="s">
        <v>155</v>
      </c>
      <c r="C394" s="3570"/>
      <c r="D394" s="3442">
        <v>650000000</v>
      </c>
      <c r="E394" s="3538">
        <f>F394/D394</f>
        <v>5.7692307692307696E-2</v>
      </c>
      <c r="F394" s="3575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3442">
        <f>G394+G395</f>
        <v>36000000</v>
      </c>
      <c r="L394" s="3442">
        <f t="shared" si="24"/>
        <v>1500000</v>
      </c>
      <c r="M394" s="3450"/>
    </row>
    <row r="395" spans="1:13" ht="30" customHeight="1" x14ac:dyDescent="0.2">
      <c r="A395" s="3451"/>
      <c r="B395" s="3449"/>
      <c r="C395" s="3571"/>
      <c r="D395" s="3443"/>
      <c r="E395" s="3540"/>
      <c r="F395" s="3575"/>
      <c r="G395" s="323">
        <v>26000000</v>
      </c>
      <c r="H395" s="323" t="s">
        <v>1315</v>
      </c>
      <c r="I395" s="336" t="s">
        <v>1331</v>
      </c>
      <c r="J395" s="24" t="s">
        <v>448</v>
      </c>
      <c r="K395" s="3443"/>
      <c r="L395" s="3443"/>
      <c r="M395" s="3451"/>
    </row>
    <row r="396" spans="1:13" ht="30" customHeight="1" x14ac:dyDescent="0.2">
      <c r="A396" s="3450">
        <v>307</v>
      </c>
      <c r="B396" s="3448" t="s">
        <v>156</v>
      </c>
      <c r="C396" s="3570"/>
      <c r="D396" s="3442">
        <v>70000000</v>
      </c>
      <c r="E396" s="3521" t="s">
        <v>668</v>
      </c>
      <c r="F396" s="3522"/>
      <c r="G396" s="11">
        <v>40000000</v>
      </c>
      <c r="H396" s="11" t="s">
        <v>1315</v>
      </c>
      <c r="I396" s="309" t="s">
        <v>1324</v>
      </c>
      <c r="J396" s="308" t="s">
        <v>1323</v>
      </c>
      <c r="K396" s="3442">
        <f>G396+G397</f>
        <v>40000000</v>
      </c>
      <c r="L396" s="3442">
        <f>D396-K396</f>
        <v>30000000</v>
      </c>
      <c r="M396" s="3"/>
    </row>
    <row r="397" spans="1:13" ht="30" customHeight="1" x14ac:dyDescent="0.2">
      <c r="A397" s="3451"/>
      <c r="B397" s="3449"/>
      <c r="C397" s="3571"/>
      <c r="D397" s="3443"/>
      <c r="E397" s="3523"/>
      <c r="F397" s="3524"/>
      <c r="G397" s="307"/>
      <c r="H397" s="307"/>
      <c r="I397" s="308"/>
      <c r="J397" s="24"/>
      <c r="K397" s="3443"/>
      <c r="L397" s="3443"/>
      <c r="M397" s="3"/>
    </row>
    <row r="398" spans="1:13" ht="30" customHeight="1" x14ac:dyDescent="0.2">
      <c r="A398" s="3450">
        <v>308</v>
      </c>
      <c r="B398" s="3448" t="s">
        <v>157</v>
      </c>
      <c r="C398" s="3570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3442">
        <f>G398+G399:G399</f>
        <v>11000000</v>
      </c>
      <c r="L398" s="3442">
        <f>(G398+G399)-K398</f>
        <v>0</v>
      </c>
      <c r="M398" s="3450"/>
    </row>
    <row r="399" spans="1:13" ht="30" customHeight="1" x14ac:dyDescent="0.2">
      <c r="A399" s="3451"/>
      <c r="B399" s="3449"/>
      <c r="C399" s="3571"/>
      <c r="D399" s="806">
        <v>120000000</v>
      </c>
      <c r="E399" s="804">
        <v>0.06</v>
      </c>
      <c r="F399" s="806">
        <v>7000000</v>
      </c>
      <c r="G399" s="807">
        <v>7000000</v>
      </c>
      <c r="H399" s="807" t="s">
        <v>1264</v>
      </c>
      <c r="I399" s="3595" t="s">
        <v>2406</v>
      </c>
      <c r="J399" s="3596"/>
      <c r="K399" s="3443"/>
      <c r="L399" s="3443"/>
      <c r="M399" s="3451"/>
    </row>
    <row r="400" spans="1:13" ht="30" customHeight="1" x14ac:dyDescent="0.2">
      <c r="A400" s="3450">
        <v>309</v>
      </c>
      <c r="B400" s="3448" t="s">
        <v>158</v>
      </c>
      <c r="C400" s="3570"/>
      <c r="D400" s="3442">
        <v>300000000</v>
      </c>
      <c r="E400" s="3444">
        <v>0.05</v>
      </c>
      <c r="F400" s="3442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3442">
        <f>G400+G401</f>
        <v>3000000</v>
      </c>
      <c r="L400" s="3505">
        <f t="shared" si="24"/>
        <v>12000000</v>
      </c>
      <c r="M400" s="3"/>
    </row>
    <row r="401" spans="1:13" ht="30" customHeight="1" x14ac:dyDescent="0.2">
      <c r="A401" s="3451"/>
      <c r="B401" s="3449"/>
      <c r="C401" s="3571"/>
      <c r="D401" s="3443"/>
      <c r="E401" s="3445"/>
      <c r="F401" s="3443"/>
      <c r="G401" s="29"/>
      <c r="H401" s="29"/>
      <c r="I401" s="60"/>
      <c r="J401" s="61"/>
      <c r="K401" s="3443"/>
      <c r="L401" s="3506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3450">
        <v>313</v>
      </c>
      <c r="B405" s="3448" t="s">
        <v>164</v>
      </c>
      <c r="C405" s="3570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3451"/>
      <c r="B406" s="3449"/>
      <c r="C406" s="3571"/>
      <c r="D406" s="3325" t="s">
        <v>1333</v>
      </c>
      <c r="E406" s="3340"/>
      <c r="F406" s="3341"/>
      <c r="G406" s="323">
        <v>15000000</v>
      </c>
      <c r="H406" s="323" t="s">
        <v>1315</v>
      </c>
      <c r="I406" s="336" t="s">
        <v>1334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03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3448" t="s">
        <v>171</v>
      </c>
      <c r="C412" s="3570" t="s">
        <v>1342</v>
      </c>
      <c r="D412" s="3442">
        <v>200000000</v>
      </c>
      <c r="E412" s="3444">
        <v>5.5E-2</v>
      </c>
      <c r="F412" s="3442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3449"/>
      <c r="C413" s="3571"/>
      <c r="D413" s="3443"/>
      <c r="E413" s="3445"/>
      <c r="F413" s="3443"/>
      <c r="G413" s="460">
        <v>10000000</v>
      </c>
      <c r="H413" s="460" t="s">
        <v>933</v>
      </c>
      <c r="I413" s="472" t="s">
        <v>940</v>
      </c>
      <c r="J413" s="24" t="s">
        <v>694</v>
      </c>
      <c r="K413" s="460">
        <f>G413</f>
        <v>10000000</v>
      </c>
      <c r="L413" s="460"/>
      <c r="M413" s="82" t="s">
        <v>1612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1451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3450">
        <v>325</v>
      </c>
      <c r="B419" s="3457" t="s">
        <v>273</v>
      </c>
      <c r="C419" s="3570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3442">
        <f>G419+G420</f>
        <v>40550000</v>
      </c>
      <c r="L419" s="3442">
        <f>(F419+F420)-K419</f>
        <v>0</v>
      </c>
      <c r="M419" s="3497"/>
    </row>
    <row r="420" spans="1:13" ht="30" customHeight="1" x14ac:dyDescent="0.2">
      <c r="A420" s="3451"/>
      <c r="B420" s="3458"/>
      <c r="C420" s="3571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3443"/>
      <c r="L420" s="3443"/>
      <c r="M420" s="3498"/>
    </row>
    <row r="421" spans="1:13" ht="30" customHeight="1" x14ac:dyDescent="0.2">
      <c r="A421" s="3450">
        <v>326</v>
      </c>
      <c r="B421" s="3513" t="s">
        <v>179</v>
      </c>
      <c r="C421" s="3570"/>
      <c r="D421" s="3505"/>
      <c r="E421" s="3507"/>
      <c r="F421" s="3505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3505">
        <f>G421+G422</f>
        <v>25000000</v>
      </c>
      <c r="L421" s="3505">
        <f>F421-K421</f>
        <v>0</v>
      </c>
      <c r="M421" s="3501" t="s">
        <v>765</v>
      </c>
    </row>
    <row r="422" spans="1:13" ht="30" customHeight="1" x14ac:dyDescent="0.2">
      <c r="A422" s="3451"/>
      <c r="B422" s="3514"/>
      <c r="C422" s="3571"/>
      <c r="D422" s="3506"/>
      <c r="E422" s="3508"/>
      <c r="F422" s="3506"/>
      <c r="G422" s="108">
        <v>5000000</v>
      </c>
      <c r="H422" s="108" t="s">
        <v>755</v>
      </c>
      <c r="I422" s="60" t="s">
        <v>756</v>
      </c>
      <c r="J422" s="61" t="s">
        <v>757</v>
      </c>
      <c r="K422" s="3506"/>
      <c r="L422" s="3506"/>
      <c r="M422" s="3502"/>
    </row>
    <row r="423" spans="1:13" ht="30" customHeight="1" x14ac:dyDescent="0.2">
      <c r="A423" s="4">
        <v>327</v>
      </c>
      <c r="B423" s="3" t="s">
        <v>1280</v>
      </c>
      <c r="C423" s="352"/>
      <c r="D423" s="11">
        <v>60000000</v>
      </c>
      <c r="E423" s="20">
        <v>0.05</v>
      </c>
      <c r="F423" s="11">
        <f t="shared" ref="F423:F426" si="31">D423*E423</f>
        <v>3000000</v>
      </c>
      <c r="G423" s="269">
        <v>6067000</v>
      </c>
      <c r="H423" s="269" t="s">
        <v>1264</v>
      </c>
      <c r="I423" s="276" t="s">
        <v>1278</v>
      </c>
      <c r="J423" s="24" t="s">
        <v>1279</v>
      </c>
      <c r="K423" s="11">
        <f t="shared" ref="K423" si="32">G423</f>
        <v>6067000</v>
      </c>
      <c r="L423" s="269">
        <f t="shared" ref="L423:L426" si="33">F423-K423</f>
        <v>-3067000</v>
      </c>
      <c r="M423" s="82" t="s">
        <v>1281</v>
      </c>
    </row>
    <row r="424" spans="1:13" ht="30" customHeight="1" x14ac:dyDescent="0.2">
      <c r="A424" s="3450">
        <v>328</v>
      </c>
      <c r="B424" s="3448" t="s">
        <v>2809</v>
      </c>
      <c r="C424" s="3570" t="s">
        <v>971</v>
      </c>
      <c r="D424" s="269">
        <v>670000000</v>
      </c>
      <c r="E424" s="20">
        <v>5.5E-2</v>
      </c>
      <c r="F424" s="269">
        <f>D424*E424</f>
        <v>36850000</v>
      </c>
      <c r="G424" s="3478" t="s">
        <v>4826</v>
      </c>
      <c r="H424" s="3479"/>
      <c r="I424" s="3479"/>
      <c r="J424" s="3479"/>
      <c r="K424" s="3480"/>
      <c r="L424" s="269"/>
      <c r="M424" s="82"/>
    </row>
    <row r="425" spans="1:13" ht="30" customHeight="1" x14ac:dyDescent="0.2">
      <c r="A425" s="3451"/>
      <c r="B425" s="3449"/>
      <c r="C425" s="3571"/>
      <c r="D425" s="3148">
        <v>685000000</v>
      </c>
      <c r="E425" s="3145">
        <v>0.06</v>
      </c>
      <c r="F425" s="3148">
        <f>D425*E425</f>
        <v>41100000</v>
      </c>
      <c r="G425" s="3478" t="s">
        <v>4827</v>
      </c>
      <c r="H425" s="3479"/>
      <c r="I425" s="3479"/>
      <c r="J425" s="3479"/>
      <c r="K425" s="3480"/>
      <c r="L425" s="3127"/>
      <c r="M425" s="3130"/>
    </row>
    <row r="426" spans="1:13" ht="30" customHeight="1" x14ac:dyDescent="0.2">
      <c r="A426" s="3450">
        <v>329</v>
      </c>
      <c r="B426" s="3448" t="s">
        <v>184</v>
      </c>
      <c r="C426" s="3570"/>
      <c r="D426" s="3505"/>
      <c r="E426" s="3507"/>
      <c r="F426" s="3505">
        <f t="shared" si="31"/>
        <v>0</v>
      </c>
      <c r="G426" s="11">
        <v>20000000</v>
      </c>
      <c r="H426" s="11" t="s">
        <v>587</v>
      </c>
      <c r="I426" s="23" t="s">
        <v>609</v>
      </c>
      <c r="J426" s="24" t="s">
        <v>610</v>
      </c>
      <c r="K426" s="3442">
        <f>G426+G427</f>
        <v>32000000</v>
      </c>
      <c r="L426" s="3505">
        <f t="shared" si="33"/>
        <v>-32000000</v>
      </c>
      <c r="M426" s="3450"/>
    </row>
    <row r="427" spans="1:13" ht="30" customHeight="1" x14ac:dyDescent="0.2">
      <c r="A427" s="3451"/>
      <c r="B427" s="3449"/>
      <c r="C427" s="3571"/>
      <c r="D427" s="3506"/>
      <c r="E427" s="3508"/>
      <c r="F427" s="3506"/>
      <c r="G427" s="98">
        <v>12000000</v>
      </c>
      <c r="H427" s="98" t="s">
        <v>676</v>
      </c>
      <c r="I427" s="23" t="s">
        <v>683</v>
      </c>
      <c r="J427" s="24" t="s">
        <v>684</v>
      </c>
      <c r="K427" s="3443"/>
      <c r="L427" s="3506"/>
      <c r="M427" s="3451"/>
    </row>
    <row r="428" spans="1:13" ht="30" customHeight="1" x14ac:dyDescent="0.2">
      <c r="A428" s="4">
        <v>330</v>
      </c>
      <c r="B428" s="3" t="s">
        <v>1211</v>
      </c>
      <c r="C428" s="352" t="s">
        <v>1175</v>
      </c>
      <c r="D428" s="250">
        <v>35000000</v>
      </c>
      <c r="E428" s="20">
        <v>4.2999999999999997E-2</v>
      </c>
      <c r="F428" s="250">
        <v>1500000</v>
      </c>
      <c r="G428" s="250"/>
      <c r="H428" s="250"/>
      <c r="I428" s="254"/>
      <c r="J428" s="24"/>
      <c r="K428" s="250"/>
      <c r="L428" s="250"/>
      <c r="M428" s="3"/>
    </row>
    <row r="429" spans="1:13" ht="30" customHeight="1" x14ac:dyDescent="0.2">
      <c r="A429" s="4">
        <v>331</v>
      </c>
      <c r="B429" s="3" t="s">
        <v>345</v>
      </c>
      <c r="C429" s="352"/>
      <c r="D429" s="34">
        <v>150000000</v>
      </c>
      <c r="E429" s="20">
        <v>0.05</v>
      </c>
      <c r="F429" s="34">
        <v>7500000</v>
      </c>
      <c r="G429" s="34"/>
      <c r="H429" s="34"/>
      <c r="I429" s="23"/>
      <c r="J429" s="24"/>
      <c r="K429" s="34"/>
      <c r="L429" s="34"/>
      <c r="M429" s="3"/>
    </row>
    <row r="430" spans="1:13" ht="30" customHeight="1" x14ac:dyDescent="0.2">
      <c r="A430" s="4">
        <v>332</v>
      </c>
      <c r="B430" s="3" t="s">
        <v>378</v>
      </c>
      <c r="C430" s="352" t="s">
        <v>379</v>
      </c>
      <c r="D430" s="40">
        <v>30000000</v>
      </c>
      <c r="E430" s="20">
        <v>0.05</v>
      </c>
      <c r="F430" s="40">
        <f>D430*E430</f>
        <v>1500000</v>
      </c>
      <c r="G430" s="40"/>
      <c r="H430" s="40"/>
      <c r="I430" s="23"/>
      <c r="J430" s="24"/>
      <c r="K430" s="40"/>
      <c r="L430" s="40"/>
      <c r="M430" s="3"/>
    </row>
    <row r="431" spans="1:13" ht="30" customHeight="1" x14ac:dyDescent="0.2">
      <c r="A431" s="3450">
        <v>333</v>
      </c>
      <c r="B431" s="3448" t="s">
        <v>915</v>
      </c>
      <c r="C431" s="352" t="s">
        <v>916</v>
      </c>
      <c r="D431" s="135">
        <v>320000000</v>
      </c>
      <c r="E431" s="20">
        <v>0.05</v>
      </c>
      <c r="F431" s="277">
        <f>D431*E431</f>
        <v>16000000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3451"/>
      <c r="B432" s="3449"/>
      <c r="C432" s="352" t="s">
        <v>917</v>
      </c>
      <c r="D432" s="135">
        <v>100000000</v>
      </c>
      <c r="E432" s="20">
        <v>0.05</v>
      </c>
      <c r="F432" s="277">
        <f>D432*E432</f>
        <v>5000000</v>
      </c>
      <c r="G432" s="135"/>
      <c r="H432" s="135"/>
      <c r="I432" s="142"/>
      <c r="J432" s="24"/>
      <c r="K432" s="135"/>
      <c r="L432" s="135"/>
      <c r="M432" s="3"/>
    </row>
    <row r="433" spans="1:13" ht="30" customHeight="1" x14ac:dyDescent="0.2">
      <c r="A433" s="4">
        <v>334</v>
      </c>
      <c r="B433" s="296" t="s">
        <v>1312</v>
      </c>
      <c r="C433" s="352" t="s">
        <v>916</v>
      </c>
      <c r="D433" s="295">
        <v>100000000</v>
      </c>
      <c r="E433" s="20">
        <v>0.05</v>
      </c>
      <c r="F433" s="295">
        <f>D433*E433</f>
        <v>5000000</v>
      </c>
      <c r="G433" s="295"/>
      <c r="H433" s="295"/>
      <c r="I433" s="299"/>
      <c r="J433" s="24"/>
      <c r="K433" s="295"/>
      <c r="L433" s="295"/>
      <c r="M433" s="3"/>
    </row>
    <row r="434" spans="1:13" ht="30" customHeight="1" x14ac:dyDescent="0.2">
      <c r="A434" s="4">
        <v>335</v>
      </c>
      <c r="B434" s="326" t="s">
        <v>1328</v>
      </c>
      <c r="C434" s="352" t="s">
        <v>916</v>
      </c>
      <c r="D434" s="323">
        <v>10000000</v>
      </c>
      <c r="E434" s="20">
        <v>0.05</v>
      </c>
      <c r="F434" s="323">
        <f>D434*E434</f>
        <v>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4">
        <v>336</v>
      </c>
      <c r="B435" s="326" t="s">
        <v>1339</v>
      </c>
      <c r="C435" s="352"/>
      <c r="D435" s="323"/>
      <c r="E435" s="20"/>
      <c r="F435" s="323">
        <v>10500000</v>
      </c>
      <c r="G435" s="323"/>
      <c r="H435" s="323"/>
      <c r="I435" s="332"/>
      <c r="J435" s="24"/>
      <c r="K435" s="323"/>
      <c r="L435" s="323"/>
      <c r="M435" s="3"/>
    </row>
    <row r="436" spans="1:13" ht="30" customHeight="1" x14ac:dyDescent="0.2">
      <c r="A436" s="3450"/>
      <c r="B436" s="3448" t="s">
        <v>2168</v>
      </c>
      <c r="C436" s="3570"/>
      <c r="D436" s="3442">
        <v>20000000</v>
      </c>
      <c r="E436" s="3444">
        <v>0.05</v>
      </c>
      <c r="F436" s="3442">
        <f>D436*E436</f>
        <v>1000000</v>
      </c>
      <c r="G436" s="700">
        <v>10000000</v>
      </c>
      <c r="H436" s="700" t="s">
        <v>388</v>
      </c>
      <c r="I436" s="703" t="s">
        <v>2169</v>
      </c>
      <c r="J436" s="24" t="s">
        <v>2170</v>
      </c>
      <c r="K436" s="3442">
        <f>G436+G437</f>
        <v>20000000</v>
      </c>
      <c r="L436" s="3442">
        <f>D436-K436</f>
        <v>0</v>
      </c>
      <c r="M436" s="3579" t="s">
        <v>2171</v>
      </c>
    </row>
    <row r="437" spans="1:13" ht="30" customHeight="1" x14ac:dyDescent="0.2">
      <c r="A437" s="3451"/>
      <c r="B437" s="3449"/>
      <c r="C437" s="3571"/>
      <c r="D437" s="3443"/>
      <c r="E437" s="3445"/>
      <c r="F437" s="3443"/>
      <c r="G437" s="700">
        <v>10000000</v>
      </c>
      <c r="H437" s="700" t="s">
        <v>432</v>
      </c>
      <c r="I437" s="703" t="s">
        <v>432</v>
      </c>
      <c r="J437" s="24" t="s">
        <v>2170</v>
      </c>
      <c r="K437" s="3443"/>
      <c r="L437" s="3443"/>
      <c r="M437" s="3580"/>
    </row>
    <row r="438" spans="1:13" ht="30" customHeight="1" x14ac:dyDescent="0.2">
      <c r="A438" s="4"/>
      <c r="B438" s="580" t="s">
        <v>1902</v>
      </c>
      <c r="C438" s="577"/>
      <c r="D438" s="573">
        <v>300000000</v>
      </c>
      <c r="E438" s="583">
        <v>5.1999999999999998E-2</v>
      </c>
      <c r="F438" s="573">
        <v>15500000</v>
      </c>
      <c r="G438" s="573">
        <v>15500000</v>
      </c>
      <c r="H438" s="573" t="s">
        <v>432</v>
      </c>
      <c r="I438" s="582"/>
      <c r="J438" s="24"/>
      <c r="K438" s="573">
        <f>G438</f>
        <v>15500000</v>
      </c>
      <c r="L438" s="573">
        <f>F438-K438</f>
        <v>0</v>
      </c>
      <c r="M438" s="3"/>
    </row>
    <row r="439" spans="1:13" ht="30" customHeight="1" x14ac:dyDescent="0.2">
      <c r="A439" s="3450"/>
      <c r="B439" s="3448" t="s">
        <v>1861</v>
      </c>
      <c r="C439" s="584"/>
      <c r="D439" s="573">
        <v>40000000</v>
      </c>
      <c r="E439" s="583">
        <v>0.04</v>
      </c>
      <c r="F439" s="573">
        <f t="shared" ref="F439:F445" si="34">D439*E439</f>
        <v>1600000</v>
      </c>
      <c r="G439" s="573"/>
      <c r="H439" s="573"/>
      <c r="I439" s="582"/>
      <c r="J439" s="24"/>
      <c r="K439" s="573"/>
      <c r="L439" s="573"/>
      <c r="M439" s="3"/>
    </row>
    <row r="440" spans="1:13" ht="30" customHeight="1" x14ac:dyDescent="0.2">
      <c r="A440" s="3451"/>
      <c r="B440" s="3449"/>
      <c r="C440" s="584" t="s">
        <v>1603</v>
      </c>
      <c r="D440" s="573">
        <v>10000000</v>
      </c>
      <c r="E440" s="583">
        <v>0.04</v>
      </c>
      <c r="F440" s="573">
        <f t="shared" si="34"/>
        <v>400000</v>
      </c>
      <c r="G440" s="3603" t="s">
        <v>1904</v>
      </c>
      <c r="H440" s="3604"/>
      <c r="I440" s="3604"/>
      <c r="J440" s="3604"/>
      <c r="K440" s="3604"/>
      <c r="L440" s="3605"/>
      <c r="M440" s="3"/>
    </row>
    <row r="441" spans="1:13" ht="30" customHeight="1" x14ac:dyDescent="0.2">
      <c r="A441" s="4"/>
      <c r="B441" s="356" t="s">
        <v>1376</v>
      </c>
      <c r="C441" s="361" t="s">
        <v>916</v>
      </c>
      <c r="D441" s="357">
        <v>80000000</v>
      </c>
      <c r="E441" s="20">
        <v>7.0000000000000007E-2</v>
      </c>
      <c r="F441" s="357">
        <f t="shared" si="34"/>
        <v>5600000.0000000009</v>
      </c>
      <c r="G441" s="357"/>
      <c r="H441" s="357"/>
      <c r="I441" s="359"/>
      <c r="J441" s="24"/>
      <c r="K441" s="357"/>
      <c r="L441" s="357"/>
      <c r="M441" s="3"/>
    </row>
    <row r="442" spans="1:13" ht="30" customHeight="1" x14ac:dyDescent="0.2">
      <c r="A442" s="3450"/>
      <c r="B442" s="3470" t="s">
        <v>1377</v>
      </c>
      <c r="C442" s="3598" t="s">
        <v>916</v>
      </c>
      <c r="D442" s="470">
        <v>235500000</v>
      </c>
      <c r="E442" s="479">
        <v>0.05</v>
      </c>
      <c r="F442" s="470">
        <f t="shared" si="34"/>
        <v>11775000</v>
      </c>
      <c r="G442" s="470"/>
      <c r="H442" s="470"/>
      <c r="I442" s="480"/>
      <c r="J442" s="481"/>
      <c r="K442" s="470"/>
      <c r="L442" s="470"/>
      <c r="M442" s="3"/>
    </row>
    <row r="443" spans="1:13" ht="30" customHeight="1" x14ac:dyDescent="0.2">
      <c r="A443" s="3451"/>
      <c r="B443" s="3597"/>
      <c r="C443" s="3599"/>
      <c r="D443" s="470">
        <v>300000000</v>
      </c>
      <c r="E443" s="479">
        <v>7.0000000000000007E-2</v>
      </c>
      <c r="F443" s="470">
        <f t="shared" si="34"/>
        <v>21000000.000000004</v>
      </c>
      <c r="G443" s="3600" t="s">
        <v>1568</v>
      </c>
      <c r="H443" s="3601"/>
      <c r="I443" s="3601"/>
      <c r="J443" s="3601"/>
      <c r="K443" s="3601"/>
      <c r="L443" s="3602"/>
      <c r="M443" s="3"/>
    </row>
    <row r="444" spans="1:13" ht="30" customHeight="1" x14ac:dyDescent="0.2">
      <c r="A444" s="3450"/>
      <c r="B444" s="3448" t="s">
        <v>173</v>
      </c>
      <c r="C444" s="3570" t="s">
        <v>1378</v>
      </c>
      <c r="D444" s="357">
        <v>300000000</v>
      </c>
      <c r="E444" s="20">
        <v>7.0000000000000007E-2</v>
      </c>
      <c r="F444" s="357">
        <f t="shared" si="34"/>
        <v>21000000.000000004</v>
      </c>
      <c r="G444" s="3478" t="s">
        <v>1380</v>
      </c>
      <c r="H444" s="3479"/>
      <c r="I444" s="3479"/>
      <c r="J444" s="3479"/>
      <c r="K444" s="3479"/>
      <c r="L444" s="3480"/>
      <c r="M444" s="82" t="s">
        <v>1381</v>
      </c>
    </row>
    <row r="445" spans="1:13" ht="30" customHeight="1" x14ac:dyDescent="0.2">
      <c r="A445" s="3451"/>
      <c r="B445" s="3449"/>
      <c r="C445" s="3571"/>
      <c r="D445" s="357">
        <v>200000000</v>
      </c>
      <c r="E445" s="20">
        <v>7.0000000000000007E-2</v>
      </c>
      <c r="F445" s="357">
        <f t="shared" si="34"/>
        <v>14000000.000000002</v>
      </c>
      <c r="G445" s="3572" t="s">
        <v>1379</v>
      </c>
      <c r="H445" s="3573"/>
      <c r="I445" s="3573"/>
      <c r="J445" s="3573"/>
      <c r="K445" s="3573"/>
      <c r="L445" s="3574"/>
      <c r="M445" s="3"/>
    </row>
  </sheetData>
  <mergeCells count="523">
    <mergeCell ref="L398:L399"/>
    <mergeCell ref="M398:M399"/>
    <mergeCell ref="I399:J399"/>
    <mergeCell ref="B442:B443"/>
    <mergeCell ref="C442:C443"/>
    <mergeCell ref="G443:L443"/>
    <mergeCell ref="B431:B432"/>
    <mergeCell ref="A439:A440"/>
    <mergeCell ref="B439:B440"/>
    <mergeCell ref="G440:L440"/>
    <mergeCell ref="L419:L420"/>
    <mergeCell ref="M419:M420"/>
    <mergeCell ref="A436:A437"/>
    <mergeCell ref="M436:M437"/>
    <mergeCell ref="B424:B425"/>
    <mergeCell ref="A424:A425"/>
    <mergeCell ref="C424:C425"/>
    <mergeCell ref="G425:K425"/>
    <mergeCell ref="G424:K42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A343:A344"/>
    <mergeCell ref="C257:C258"/>
    <mergeCell ref="A300:A301"/>
    <mergeCell ref="E426:E427"/>
    <mergeCell ref="C118:C119"/>
    <mergeCell ref="C113:C114"/>
    <mergeCell ref="L426:L427"/>
    <mergeCell ref="G375:G376"/>
    <mergeCell ref="F426:F427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C444:C445"/>
    <mergeCell ref="A444:A445"/>
    <mergeCell ref="A317:A318"/>
    <mergeCell ref="B317:B318"/>
    <mergeCell ref="C317:C318"/>
    <mergeCell ref="A390:A391"/>
    <mergeCell ref="B275:B278"/>
    <mergeCell ref="C390:C391"/>
    <mergeCell ref="C436:C437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1:A432"/>
    <mergeCell ref="A275:A278"/>
    <mergeCell ref="B282:B283"/>
    <mergeCell ref="C368:C370"/>
    <mergeCell ref="C360:C361"/>
    <mergeCell ref="B360:B361"/>
    <mergeCell ref="A291:A293"/>
    <mergeCell ref="B85:B86"/>
    <mergeCell ref="A85:A86"/>
    <mergeCell ref="C85:C86"/>
    <mergeCell ref="D271:D272"/>
    <mergeCell ref="E386:E387"/>
    <mergeCell ref="D436:D437"/>
    <mergeCell ref="E436:E437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G445:L445"/>
    <mergeCell ref="G444:L444"/>
    <mergeCell ref="A394:A395"/>
    <mergeCell ref="B394:B395"/>
    <mergeCell ref="C394:C395"/>
    <mergeCell ref="D394:D395"/>
    <mergeCell ref="E394:E395"/>
    <mergeCell ref="K394:K395"/>
    <mergeCell ref="F394:F395"/>
    <mergeCell ref="A426:A427"/>
    <mergeCell ref="K426:K427"/>
    <mergeCell ref="A421:A422"/>
    <mergeCell ref="B421:B422"/>
    <mergeCell ref="C421:C422"/>
    <mergeCell ref="D421:D422"/>
    <mergeCell ref="E421:E422"/>
    <mergeCell ref="F421:F422"/>
    <mergeCell ref="A419:A420"/>
    <mergeCell ref="F436:F437"/>
    <mergeCell ref="K436:K437"/>
    <mergeCell ref="L436:L437"/>
    <mergeCell ref="A442:A443"/>
    <mergeCell ref="B436:B437"/>
    <mergeCell ref="B444:B445"/>
    <mergeCell ref="A358:A359"/>
    <mergeCell ref="B368:B370"/>
    <mergeCell ref="M426:M427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6:B427"/>
    <mergeCell ref="C426:C427"/>
    <mergeCell ref="D426:D427"/>
    <mergeCell ref="K421:K422"/>
    <mergeCell ref="L421:L422"/>
    <mergeCell ref="M421:M422"/>
    <mergeCell ref="A380:A384"/>
    <mergeCell ref="B398:B399"/>
    <mergeCell ref="A398:A399"/>
    <mergeCell ref="C398:C399"/>
    <mergeCell ref="K398:K39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9"/>
  <sheetViews>
    <sheetView rightToLeft="1" zoomScale="60" zoomScaleNormal="60" workbookViewId="0">
      <pane ySplit="1" topLeftCell="A580" activePane="bottomLeft" state="frozen"/>
      <selection pane="bottomLeft" activeCell="L592" sqref="L592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1589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1848</v>
      </c>
      <c r="I2" s="374" t="s">
        <v>1915</v>
      </c>
      <c r="J2" s="24" t="s">
        <v>1916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1848</v>
      </c>
      <c r="I3" s="374" t="s">
        <v>1886</v>
      </c>
      <c r="J3" s="24" t="s">
        <v>1887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1848</v>
      </c>
      <c r="I4" s="374" t="s">
        <v>1888</v>
      </c>
      <c r="J4" s="28" t="s">
        <v>1889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2778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1566</v>
      </c>
      <c r="I5" s="374" t="s">
        <v>1635</v>
      </c>
      <c r="J5" s="28" t="s">
        <v>1636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1894</v>
      </c>
      <c r="I6" s="374" t="s">
        <v>1951</v>
      </c>
      <c r="J6" s="28" t="s">
        <v>1952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3450">
        <v>6</v>
      </c>
      <c r="B7" s="3457" t="s">
        <v>416</v>
      </c>
      <c r="C7" s="3570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1848</v>
      </c>
      <c r="I7" s="374" t="s">
        <v>1913</v>
      </c>
      <c r="J7" s="28" t="s">
        <v>1914</v>
      </c>
      <c r="K7" s="368">
        <f t="shared" si="0"/>
        <v>5000000</v>
      </c>
      <c r="L7" s="368">
        <f t="shared" si="1"/>
        <v>750000</v>
      </c>
      <c r="M7" s="683"/>
    </row>
    <row r="8" spans="1:13" ht="30" customHeight="1" x14ac:dyDescent="0.2">
      <c r="A8" s="3456"/>
      <c r="B8" s="3459"/>
      <c r="C8" s="3576"/>
      <c r="D8" s="3521" t="s">
        <v>1284</v>
      </c>
      <c r="E8" s="3613"/>
      <c r="F8" s="3522"/>
      <c r="G8" s="770">
        <v>50000000</v>
      </c>
      <c r="H8" s="770" t="s">
        <v>2198</v>
      </c>
      <c r="I8" s="775" t="s">
        <v>2213</v>
      </c>
      <c r="J8" s="57" t="s">
        <v>1819</v>
      </c>
      <c r="K8" s="3442">
        <f>G8+G9</f>
        <v>100000000</v>
      </c>
      <c r="L8" s="3442"/>
      <c r="M8" s="192" t="s">
        <v>2214</v>
      </c>
    </row>
    <row r="9" spans="1:13" ht="30" customHeight="1" x14ac:dyDescent="0.2">
      <c r="A9" s="3451"/>
      <c r="B9" s="3458"/>
      <c r="C9" s="3571"/>
      <c r="D9" s="3523"/>
      <c r="E9" s="3614"/>
      <c r="F9" s="3524"/>
      <c r="G9" s="807">
        <v>50000000</v>
      </c>
      <c r="H9" s="807" t="s">
        <v>2291</v>
      </c>
      <c r="I9" s="810" t="s">
        <v>2410</v>
      </c>
      <c r="J9" s="57" t="s">
        <v>1819</v>
      </c>
      <c r="K9" s="3443"/>
      <c r="L9" s="3443"/>
      <c r="M9" s="192"/>
    </row>
    <row r="10" spans="1:13" ht="28.5" customHeight="1" x14ac:dyDescent="0.2">
      <c r="A10" s="767">
        <v>7</v>
      </c>
      <c r="B10" s="188" t="s">
        <v>104</v>
      </c>
      <c r="C10" s="771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2001</v>
      </c>
      <c r="I10" s="374" t="s">
        <v>2010</v>
      </c>
      <c r="J10" s="30" t="s">
        <v>418</v>
      </c>
      <c r="K10" s="368">
        <f t="shared" si="0"/>
        <v>2250000</v>
      </c>
      <c r="L10" s="368">
        <f t="shared" si="1"/>
        <v>0</v>
      </c>
      <c r="M10" s="786"/>
    </row>
    <row r="11" spans="1:13" ht="30" customHeight="1" x14ac:dyDescent="0.2">
      <c r="A11" s="3450">
        <v>8</v>
      </c>
      <c r="B11" s="3457" t="s">
        <v>356</v>
      </c>
      <c r="C11" s="3570" t="s">
        <v>1346</v>
      </c>
      <c r="D11" s="3442">
        <v>400000000</v>
      </c>
      <c r="E11" s="3444">
        <v>4.4999999999999998E-2</v>
      </c>
      <c r="F11" s="3442">
        <f>D11*E11</f>
        <v>18000000</v>
      </c>
      <c r="G11" s="368">
        <v>15000000</v>
      </c>
      <c r="H11" s="368" t="s">
        <v>2131</v>
      </c>
      <c r="I11" s="36" t="s">
        <v>2160</v>
      </c>
      <c r="J11" s="28" t="s">
        <v>2161</v>
      </c>
      <c r="K11" s="3442">
        <f>G11+G12</f>
        <v>18000000</v>
      </c>
      <c r="L11" s="3442">
        <f t="shared" si="1"/>
        <v>0</v>
      </c>
      <c r="M11" s="3466"/>
    </row>
    <row r="12" spans="1:13" ht="30" customHeight="1" x14ac:dyDescent="0.2">
      <c r="A12" s="3451"/>
      <c r="B12" s="3458"/>
      <c r="C12" s="3571"/>
      <c r="D12" s="3443"/>
      <c r="E12" s="3445"/>
      <c r="F12" s="3443"/>
      <c r="G12" s="700">
        <v>3000000</v>
      </c>
      <c r="H12" s="700" t="s">
        <v>2131</v>
      </c>
      <c r="I12" s="704" t="s">
        <v>2172</v>
      </c>
      <c r="J12" s="28" t="s">
        <v>2173</v>
      </c>
      <c r="K12" s="3443"/>
      <c r="L12" s="3443"/>
      <c r="M12" s="3467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4" t="s">
        <v>1894</v>
      </c>
      <c r="I13" s="374" t="s">
        <v>1976</v>
      </c>
      <c r="J13" s="28" t="s">
        <v>1977</v>
      </c>
      <c r="K13" s="368">
        <f t="shared" si="0"/>
        <v>500000</v>
      </c>
      <c r="L13" s="368">
        <f t="shared" si="1"/>
        <v>0</v>
      </c>
      <c r="M13" s="33" t="s">
        <v>1980</v>
      </c>
    </row>
    <row r="14" spans="1:13" ht="30" customHeight="1" x14ac:dyDescent="0.2">
      <c r="A14" s="4">
        <v>10</v>
      </c>
      <c r="B14" s="188" t="s">
        <v>1029</v>
      </c>
      <c r="C14" s="584" t="s">
        <v>1909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2498</v>
      </c>
      <c r="I14" s="374" t="s">
        <v>2501</v>
      </c>
      <c r="J14" s="28" t="s">
        <v>2502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3450">
        <v>11</v>
      </c>
      <c r="B15" s="3457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1894</v>
      </c>
      <c r="I15" s="401" t="s">
        <v>1933</v>
      </c>
      <c r="J15" s="30" t="s">
        <v>403</v>
      </c>
      <c r="K15" s="3442">
        <f>G15+G16</f>
        <v>1300000</v>
      </c>
      <c r="L15" s="3442">
        <f>(F15+F16)-K15</f>
        <v>0</v>
      </c>
      <c r="M15" s="3466"/>
    </row>
    <row r="16" spans="1:13" ht="30" customHeight="1" x14ac:dyDescent="0.2">
      <c r="A16" s="3456"/>
      <c r="B16" s="3459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1383</v>
      </c>
      <c r="J16" s="57" t="s">
        <v>403</v>
      </c>
      <c r="K16" s="3443"/>
      <c r="L16" s="3443"/>
      <c r="M16" s="3467"/>
    </row>
    <row r="17" spans="1:13" ht="30" customHeight="1" x14ac:dyDescent="0.2">
      <c r="A17" s="3451"/>
      <c r="B17" s="3458"/>
      <c r="C17" s="980" t="s">
        <v>1110</v>
      </c>
      <c r="D17" s="975">
        <v>5000000</v>
      </c>
      <c r="E17" s="978">
        <v>0.05</v>
      </c>
      <c r="F17" s="975">
        <f>D17*E17</f>
        <v>250000</v>
      </c>
      <c r="G17" s="975">
        <v>250000</v>
      </c>
      <c r="H17" s="975" t="s">
        <v>2618</v>
      </c>
      <c r="I17" s="983" t="s">
        <v>2640</v>
      </c>
      <c r="J17" s="57" t="s">
        <v>403</v>
      </c>
      <c r="K17" s="975">
        <f>G17</f>
        <v>250000</v>
      </c>
      <c r="L17" s="975">
        <f>F17-G17</f>
        <v>0</v>
      </c>
      <c r="M17" s="977" t="s">
        <v>1768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1709</v>
      </c>
      <c r="I18" s="374" t="s">
        <v>1728</v>
      </c>
      <c r="J18" s="57" t="s">
        <v>1729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2064</v>
      </c>
      <c r="I19" s="36" t="s">
        <v>2065</v>
      </c>
      <c r="J19" s="374" t="s">
        <v>2066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1355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2131</v>
      </c>
      <c r="I20" s="374" t="s">
        <v>2149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2198</v>
      </c>
      <c r="I21" s="374" t="s">
        <v>2217</v>
      </c>
      <c r="J21" s="69" t="s">
        <v>2218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1344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2340</v>
      </c>
      <c r="I23" s="374" t="s">
        <v>2350</v>
      </c>
      <c r="J23" s="69" t="s">
        <v>2351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1355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2392</v>
      </c>
      <c r="I24" s="374" t="s">
        <v>2393</v>
      </c>
      <c r="J24" s="69" t="s">
        <v>2394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3450">
        <v>19</v>
      </c>
      <c r="B25" s="3525" t="s">
        <v>574</v>
      </c>
      <c r="C25" s="3570"/>
      <c r="D25" s="368">
        <v>5000000</v>
      </c>
      <c r="E25" s="375"/>
      <c r="F25" s="368">
        <v>200000</v>
      </c>
      <c r="G25" s="3442"/>
      <c r="H25" s="3442"/>
      <c r="I25" s="3577"/>
      <c r="J25" s="3582"/>
      <c r="K25" s="3442"/>
      <c r="L25" s="3442">
        <f>(F25+F26)-K25</f>
        <v>300000</v>
      </c>
      <c r="M25" s="3466" t="s">
        <v>1255</v>
      </c>
    </row>
    <row r="26" spans="1:13" ht="30" customHeight="1" x14ac:dyDescent="0.2">
      <c r="A26" s="3456"/>
      <c r="B26" s="3643"/>
      <c r="C26" s="3576"/>
      <c r="D26" s="573">
        <v>2500000</v>
      </c>
      <c r="E26" s="578"/>
      <c r="F26" s="573">
        <v>100000</v>
      </c>
      <c r="G26" s="3443"/>
      <c r="H26" s="3443"/>
      <c r="I26" s="3578"/>
      <c r="J26" s="3583"/>
      <c r="K26" s="3443"/>
      <c r="L26" s="3443"/>
      <c r="M26" s="3467"/>
    </row>
    <row r="27" spans="1:13" ht="30" customHeight="1" x14ac:dyDescent="0.2">
      <c r="A27" s="3451"/>
      <c r="B27" s="3526"/>
      <c r="C27" s="3571"/>
      <c r="D27" s="674">
        <v>50000000</v>
      </c>
      <c r="E27" s="677"/>
      <c r="F27" s="674"/>
      <c r="G27" s="3671" t="s">
        <v>2121</v>
      </c>
      <c r="H27" s="3672"/>
      <c r="I27" s="3672"/>
      <c r="J27" s="3672"/>
      <c r="K27" s="3673"/>
      <c r="L27" s="673"/>
      <c r="M27" s="676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3442">
        <v>44500000</v>
      </c>
      <c r="H28" s="3442" t="s">
        <v>1566</v>
      </c>
      <c r="I28" s="3577" t="s">
        <v>1633</v>
      </c>
      <c r="J28" s="3582" t="s">
        <v>1634</v>
      </c>
      <c r="K28" s="3442">
        <f>(D28+D29)+(F28+F29)</f>
        <v>44050000</v>
      </c>
      <c r="L28" s="3442">
        <f>G28-K28</f>
        <v>450000</v>
      </c>
      <c r="M28" s="3607" t="s">
        <v>1640</v>
      </c>
    </row>
    <row r="29" spans="1:13" ht="30" customHeight="1" x14ac:dyDescent="0.2">
      <c r="A29" s="457">
        <v>21</v>
      </c>
      <c r="B29" s="458" t="s">
        <v>1639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3443"/>
      <c r="H29" s="3443"/>
      <c r="I29" s="3578"/>
      <c r="J29" s="3583"/>
      <c r="K29" s="3443"/>
      <c r="L29" s="3443"/>
      <c r="M29" s="3609"/>
    </row>
    <row r="30" spans="1:13" ht="30" customHeight="1" x14ac:dyDescent="0.2">
      <c r="A30" s="687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2273</v>
      </c>
      <c r="I30" s="374" t="s">
        <v>2293</v>
      </c>
      <c r="J30" s="69" t="s">
        <v>2294</v>
      </c>
      <c r="K30" s="744">
        <f>G30</f>
        <v>15000000</v>
      </c>
      <c r="L30" s="399">
        <f>F30-K30</f>
        <v>0</v>
      </c>
      <c r="M30" s="53"/>
    </row>
    <row r="31" spans="1:13" ht="30" customHeight="1" x14ac:dyDescent="0.2">
      <c r="A31" s="687">
        <v>23</v>
      </c>
      <c r="B31" s="45" t="s">
        <v>2247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1" t="s">
        <v>2246</v>
      </c>
    </row>
    <row r="32" spans="1:13" ht="30" customHeight="1" x14ac:dyDescent="0.2">
      <c r="A32" s="687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2291</v>
      </c>
      <c r="I32" s="371">
        <v>122445770297</v>
      </c>
      <c r="J32" s="69" t="s">
        <v>2305</v>
      </c>
      <c r="K32" s="368">
        <f>G32</f>
        <v>2000000</v>
      </c>
      <c r="L32" s="368">
        <f>F32-K32</f>
        <v>0</v>
      </c>
      <c r="M32" s="372" t="s">
        <v>2592</v>
      </c>
    </row>
    <row r="33" spans="1:13" ht="30" customHeight="1" x14ac:dyDescent="0.2">
      <c r="A33" s="687">
        <v>25</v>
      </c>
      <c r="B33" s="364" t="s">
        <v>738</v>
      </c>
      <c r="C33" s="380" t="s">
        <v>1351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2291</v>
      </c>
      <c r="I33" s="371">
        <v>469626</v>
      </c>
      <c r="J33" s="69" t="s">
        <v>2314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3693">
        <v>26</v>
      </c>
      <c r="B34" s="3457" t="s">
        <v>828</v>
      </c>
      <c r="C34" s="3570" t="s">
        <v>1817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1" t="s">
        <v>2064</v>
      </c>
      <c r="I34" s="684">
        <v>1.4010414054201999E+19</v>
      </c>
      <c r="J34" s="685" t="s">
        <v>2077</v>
      </c>
      <c r="K34" s="662">
        <f>G34</f>
        <v>22500000</v>
      </c>
      <c r="L34" s="661">
        <f>F34-K34</f>
        <v>0</v>
      </c>
      <c r="M34" s="683" t="s">
        <v>2104</v>
      </c>
    </row>
    <row r="35" spans="1:13" ht="30" customHeight="1" x14ac:dyDescent="0.2">
      <c r="A35" s="3693"/>
      <c r="B35" s="3459"/>
      <c r="C35" s="3576"/>
      <c r="D35" s="3575" t="s">
        <v>2103</v>
      </c>
      <c r="E35" s="3575"/>
      <c r="F35" s="3575"/>
      <c r="G35" s="247">
        <v>50000000</v>
      </c>
      <c r="H35" s="661" t="s">
        <v>2064</v>
      </c>
      <c r="I35" s="684">
        <v>1.4010414054201999E+19</v>
      </c>
      <c r="J35" s="685" t="s">
        <v>2077</v>
      </c>
      <c r="K35" s="662">
        <f>G35</f>
        <v>50000000</v>
      </c>
      <c r="L35" s="661">
        <f>500000000-K35</f>
        <v>450000000</v>
      </c>
      <c r="M35" s="33" t="s">
        <v>2105</v>
      </c>
    </row>
    <row r="36" spans="1:13" ht="30" customHeight="1" x14ac:dyDescent="0.2">
      <c r="A36" s="3450">
        <v>27</v>
      </c>
      <c r="B36" s="3457" t="s">
        <v>832</v>
      </c>
      <c r="C36" s="3570" t="s">
        <v>1354</v>
      </c>
      <c r="D36" s="3442">
        <v>500000000</v>
      </c>
      <c r="E36" s="3444">
        <v>7.0000000000000007E-2</v>
      </c>
      <c r="F36" s="3442">
        <f>D36*E36</f>
        <v>35000000</v>
      </c>
      <c r="G36" s="390">
        <v>24000000</v>
      </c>
      <c r="H36" s="395" t="s">
        <v>2392</v>
      </c>
      <c r="I36" s="404">
        <v>1.4010422018250899E+17</v>
      </c>
      <c r="J36" s="69" t="s">
        <v>2420</v>
      </c>
      <c r="K36" s="3442">
        <f>G36+G37</f>
        <v>35000000</v>
      </c>
      <c r="L36" s="3442">
        <f>(G36+G37)-K36</f>
        <v>0</v>
      </c>
      <c r="M36" s="3466"/>
    </row>
    <row r="37" spans="1:13" ht="30" customHeight="1" x14ac:dyDescent="0.2">
      <c r="A37" s="3451"/>
      <c r="B37" s="3458"/>
      <c r="C37" s="3571"/>
      <c r="D37" s="3443"/>
      <c r="E37" s="3445"/>
      <c r="F37" s="3443"/>
      <c r="G37" s="822">
        <v>11000000</v>
      </c>
      <c r="H37" s="826" t="s">
        <v>2498</v>
      </c>
      <c r="I37" s="830">
        <v>78512</v>
      </c>
      <c r="J37" s="69" t="s">
        <v>2420</v>
      </c>
      <c r="K37" s="3443"/>
      <c r="L37" s="3443"/>
      <c r="M37" s="3467"/>
    </row>
    <row r="38" spans="1:13" ht="30" customHeight="1" x14ac:dyDescent="0.2">
      <c r="A38" s="387">
        <v>28</v>
      </c>
      <c r="B38" s="22" t="s">
        <v>845</v>
      </c>
      <c r="C38" s="881" t="s">
        <v>1354</v>
      </c>
      <c r="D38" s="877">
        <v>590000000</v>
      </c>
      <c r="E38" s="20"/>
      <c r="F38" s="399">
        <v>30000000</v>
      </c>
      <c r="G38" s="368">
        <v>30000000</v>
      </c>
      <c r="H38" s="379" t="s">
        <v>2198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00" t="s">
        <v>2532</v>
      </c>
    </row>
    <row r="39" spans="1:13" ht="30" customHeight="1" x14ac:dyDescent="0.2">
      <c r="A39" s="687">
        <v>29</v>
      </c>
      <c r="B39" s="45" t="s">
        <v>865</v>
      </c>
      <c r="C39" s="422" t="s">
        <v>1378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2449</v>
      </c>
      <c r="I39" s="371">
        <v>122606079002</v>
      </c>
      <c r="J39" s="69" t="s">
        <v>2464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87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2426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3450">
        <v>31</v>
      </c>
      <c r="B41" s="3525" t="s">
        <v>944</v>
      </c>
      <c r="C41" s="3570"/>
      <c r="D41" s="3442">
        <v>100000000</v>
      </c>
      <c r="E41" s="3444">
        <v>7.0000000000000007E-2</v>
      </c>
      <c r="F41" s="3442">
        <f>D41*E41</f>
        <v>7000000.0000000009</v>
      </c>
      <c r="G41" s="368">
        <v>5000000</v>
      </c>
      <c r="H41" s="379" t="s">
        <v>2475</v>
      </c>
      <c r="I41" s="371">
        <v>298635</v>
      </c>
      <c r="J41" s="69" t="s">
        <v>2495</v>
      </c>
      <c r="K41" s="3442">
        <f>G41+G42</f>
        <v>7000000</v>
      </c>
      <c r="L41" s="3442">
        <f>F41-K41</f>
        <v>0</v>
      </c>
      <c r="M41" s="3466"/>
    </row>
    <row r="42" spans="1:13" ht="30" customHeight="1" x14ac:dyDescent="0.2">
      <c r="A42" s="3451"/>
      <c r="B42" s="3526"/>
      <c r="C42" s="3571"/>
      <c r="D42" s="3443"/>
      <c r="E42" s="3445"/>
      <c r="F42" s="3443"/>
      <c r="G42" s="859">
        <v>2000000</v>
      </c>
      <c r="H42" s="867" t="s">
        <v>2475</v>
      </c>
      <c r="I42" s="883">
        <v>122656557046</v>
      </c>
      <c r="J42" s="69" t="s">
        <v>2495</v>
      </c>
      <c r="K42" s="3443"/>
      <c r="L42" s="3443"/>
      <c r="M42" s="3467"/>
    </row>
    <row r="43" spans="1:13" ht="30" customHeight="1" x14ac:dyDescent="0.2">
      <c r="A43" s="3450">
        <v>32</v>
      </c>
      <c r="B43" s="3525" t="s">
        <v>1011</v>
      </c>
      <c r="C43" s="3570" t="s">
        <v>1378</v>
      </c>
      <c r="D43" s="655">
        <v>100000000</v>
      </c>
      <c r="E43" s="653">
        <v>0.05</v>
      </c>
      <c r="F43" s="655">
        <f t="shared" ref="F43:F44" si="4">D43*E43</f>
        <v>5000000</v>
      </c>
      <c r="G43" s="3442">
        <v>7450000</v>
      </c>
      <c r="H43" s="3442" t="s">
        <v>2498</v>
      </c>
      <c r="I43" s="3584">
        <v>93815</v>
      </c>
      <c r="J43" s="3582" t="s">
        <v>2507</v>
      </c>
      <c r="K43" s="3442">
        <f>G43</f>
        <v>7450000</v>
      </c>
      <c r="L43" s="3442">
        <f>(F43+F44)-K43</f>
        <v>0</v>
      </c>
      <c r="M43" s="3468"/>
    </row>
    <row r="44" spans="1:13" ht="30" customHeight="1" x14ac:dyDescent="0.2">
      <c r="A44" s="3456"/>
      <c r="B44" s="3643"/>
      <c r="C44" s="3571"/>
      <c r="D44" s="655">
        <v>35000000</v>
      </c>
      <c r="E44" s="653">
        <v>7.0000000000000007E-2</v>
      </c>
      <c r="F44" s="655">
        <f t="shared" si="4"/>
        <v>2450000.0000000005</v>
      </c>
      <c r="G44" s="3443"/>
      <c r="H44" s="3443"/>
      <c r="I44" s="3585"/>
      <c r="J44" s="3583"/>
      <c r="K44" s="3443"/>
      <c r="L44" s="3443"/>
      <c r="M44" s="3469"/>
    </row>
    <row r="45" spans="1:13" ht="30" customHeight="1" x14ac:dyDescent="0.2">
      <c r="A45" s="362">
        <v>33</v>
      </c>
      <c r="B45" s="753" t="s">
        <v>1022</v>
      </c>
      <c r="C45" s="380" t="s">
        <v>1342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2273</v>
      </c>
      <c r="I45" s="374" t="s">
        <v>2285</v>
      </c>
      <c r="J45" s="69" t="s">
        <v>2286</v>
      </c>
      <c r="K45" s="368">
        <f>G45</f>
        <v>4450000</v>
      </c>
      <c r="L45" s="368">
        <f t="shared" ref="L45:L52" si="5"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2426</v>
      </c>
      <c r="I46" s="374" t="s">
        <v>2431</v>
      </c>
      <c r="J46" s="69" t="s">
        <v>2432</v>
      </c>
      <c r="K46" s="368">
        <f>G46</f>
        <v>800000</v>
      </c>
      <c r="L46" s="368">
        <f t="shared" si="5"/>
        <v>0</v>
      </c>
      <c r="M46" s="372"/>
    </row>
    <row r="47" spans="1:13" ht="30" customHeight="1" x14ac:dyDescent="0.2">
      <c r="A47" s="687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 t="shared" si="5"/>
        <v>9000000</v>
      </c>
      <c r="M47" s="372"/>
    </row>
    <row r="48" spans="1:13" ht="30" customHeight="1" x14ac:dyDescent="0.2">
      <c r="A48" s="687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 t="shared" si="5"/>
        <v>3500000.0000000005</v>
      </c>
      <c r="M48" s="372"/>
    </row>
    <row r="49" spans="1:13" ht="30" customHeight="1" x14ac:dyDescent="0.2">
      <c r="A49" s="687">
        <v>38</v>
      </c>
      <c r="B49" s="363" t="s">
        <v>1302</v>
      </c>
      <c r="C49" s="380"/>
      <c r="D49" s="315"/>
      <c r="E49" s="316"/>
      <c r="F49" s="315"/>
      <c r="G49" s="368"/>
      <c r="H49" s="368"/>
      <c r="I49" s="374"/>
      <c r="J49" s="69"/>
      <c r="K49" s="368"/>
      <c r="L49" s="366">
        <f t="shared" si="5"/>
        <v>0</v>
      </c>
      <c r="M49" s="372"/>
    </row>
    <row r="50" spans="1:13" ht="30" customHeight="1" x14ac:dyDescent="0.2">
      <c r="A50" s="687">
        <v>39</v>
      </c>
      <c r="B50" s="363" t="s">
        <v>1261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 t="shared" si="5"/>
        <v>0</v>
      </c>
      <c r="M50" s="372"/>
    </row>
    <row r="51" spans="1:13" ht="30" customHeight="1" x14ac:dyDescent="0.2">
      <c r="A51" s="687">
        <v>40</v>
      </c>
      <c r="B51" s="363" t="s">
        <v>1314</v>
      </c>
      <c r="C51" s="380" t="s">
        <v>1344</v>
      </c>
      <c r="D51" s="242">
        <v>16000000</v>
      </c>
      <c r="E51" s="317">
        <v>0.05</v>
      </c>
      <c r="F51" s="242">
        <f>D51*E51</f>
        <v>800000</v>
      </c>
      <c r="G51" s="368">
        <v>800000</v>
      </c>
      <c r="H51" s="368" t="s">
        <v>2273</v>
      </c>
      <c r="I51" s="374" t="s">
        <v>2282</v>
      </c>
      <c r="J51" s="69" t="s">
        <v>1317</v>
      </c>
      <c r="K51" s="368">
        <f>G51</f>
        <v>800000</v>
      </c>
      <c r="L51" s="368">
        <f t="shared" si="5"/>
        <v>0</v>
      </c>
      <c r="M51" s="372"/>
    </row>
    <row r="52" spans="1:13" ht="30" customHeight="1" x14ac:dyDescent="0.2">
      <c r="A52" s="687">
        <v>41</v>
      </c>
      <c r="B52" s="363" t="s">
        <v>1337</v>
      </c>
      <c r="C52" s="380"/>
      <c r="D52" s="315"/>
      <c r="E52" s="316"/>
      <c r="F52" s="315"/>
      <c r="G52" s="368"/>
      <c r="H52" s="368"/>
      <c r="I52" s="36"/>
      <c r="J52" s="69"/>
      <c r="K52" s="368"/>
      <c r="L52" s="366">
        <f t="shared" si="5"/>
        <v>0</v>
      </c>
      <c r="M52" s="372"/>
    </row>
    <row r="53" spans="1:13" ht="30" customHeight="1" x14ac:dyDescent="0.2">
      <c r="A53" s="687">
        <v>42</v>
      </c>
      <c r="B53" s="188" t="s">
        <v>186</v>
      </c>
      <c r="C53" s="380" t="s">
        <v>401</v>
      </c>
      <c r="D53" s="368">
        <v>60000000</v>
      </c>
      <c r="E53" s="20">
        <v>0.05</v>
      </c>
      <c r="F53" s="368">
        <f t="shared" ref="F53:F163" si="6">D53*E53</f>
        <v>3000000</v>
      </c>
      <c r="G53" s="3442">
        <v>3500000</v>
      </c>
      <c r="H53" s="3442" t="s">
        <v>1431</v>
      </c>
      <c r="I53" s="3577" t="s">
        <v>1474</v>
      </c>
      <c r="J53" s="3589" t="s">
        <v>1475</v>
      </c>
      <c r="K53" s="3442">
        <f>G53</f>
        <v>3500000</v>
      </c>
      <c r="L53" s="3442">
        <f>(F53+F54)-K53</f>
        <v>0</v>
      </c>
      <c r="M53" s="3525"/>
    </row>
    <row r="54" spans="1:13" ht="30" customHeight="1" x14ac:dyDescent="0.2">
      <c r="A54" s="687">
        <v>43</v>
      </c>
      <c r="B54" s="45" t="s">
        <v>1109</v>
      </c>
      <c r="C54" s="380" t="s">
        <v>916</v>
      </c>
      <c r="D54" s="368">
        <v>10000000</v>
      </c>
      <c r="E54" s="20">
        <v>0.05</v>
      </c>
      <c r="F54" s="368">
        <f>D54*E54</f>
        <v>500000</v>
      </c>
      <c r="G54" s="3443"/>
      <c r="H54" s="3443"/>
      <c r="I54" s="3578"/>
      <c r="J54" s="3591"/>
      <c r="K54" s="3443"/>
      <c r="L54" s="3443"/>
      <c r="M54" s="3526"/>
    </row>
    <row r="55" spans="1:13" ht="30" customHeight="1" x14ac:dyDescent="0.2">
      <c r="A55" s="687">
        <v>44</v>
      </c>
      <c r="B55" s="45" t="s">
        <v>187</v>
      </c>
      <c r="C55" s="380" t="s">
        <v>916</v>
      </c>
      <c r="D55" s="368">
        <v>150000000</v>
      </c>
      <c r="E55" s="20">
        <v>0.05</v>
      </c>
      <c r="F55" s="368">
        <f t="shared" si="6"/>
        <v>7500000</v>
      </c>
      <c r="G55" s="368">
        <v>7500000</v>
      </c>
      <c r="H55" s="368" t="s">
        <v>1052</v>
      </c>
      <c r="I55" s="36" t="s">
        <v>1410</v>
      </c>
      <c r="J55" s="377" t="s">
        <v>1411</v>
      </c>
      <c r="K55" s="368">
        <f>G55</f>
        <v>7500000</v>
      </c>
      <c r="L55" s="368">
        <f t="shared" ref="L55:L164" si="7">F55-K55</f>
        <v>0</v>
      </c>
      <c r="M55" s="45"/>
    </row>
    <row r="56" spans="1:13" ht="30" customHeight="1" x14ac:dyDescent="0.2">
      <c r="A56" s="3450">
        <v>45</v>
      </c>
      <c r="B56" s="3457" t="s">
        <v>188</v>
      </c>
      <c r="C56" s="3570" t="s">
        <v>1350</v>
      </c>
      <c r="D56" s="3442">
        <v>1190000000</v>
      </c>
      <c r="E56" s="3444">
        <v>7.0000000000000007E-2</v>
      </c>
      <c r="F56" s="3442">
        <f t="shared" si="6"/>
        <v>83300000.000000015</v>
      </c>
      <c r="G56" s="368">
        <v>50000000</v>
      </c>
      <c r="H56" s="368" t="s">
        <v>1431</v>
      </c>
      <c r="I56" s="435" t="s">
        <v>1432</v>
      </c>
      <c r="J56" s="24" t="s">
        <v>949</v>
      </c>
      <c r="K56" s="3442">
        <f>G56+G57+G58</f>
        <v>83300000</v>
      </c>
      <c r="L56" s="3442">
        <f>F56-K56</f>
        <v>0</v>
      </c>
      <c r="M56" s="3525"/>
    </row>
    <row r="57" spans="1:13" ht="30" customHeight="1" x14ac:dyDescent="0.2">
      <c r="A57" s="3456"/>
      <c r="B57" s="3459"/>
      <c r="C57" s="3576"/>
      <c r="D57" s="3461"/>
      <c r="E57" s="3474"/>
      <c r="F57" s="3461"/>
      <c r="G57" s="460">
        <v>20000000</v>
      </c>
      <c r="H57" s="460" t="s">
        <v>1566</v>
      </c>
      <c r="I57" s="471" t="s">
        <v>1653</v>
      </c>
      <c r="J57" s="24" t="s">
        <v>949</v>
      </c>
      <c r="K57" s="3461"/>
      <c r="L57" s="3461"/>
      <c r="M57" s="3643"/>
    </row>
    <row r="58" spans="1:13" ht="30" customHeight="1" x14ac:dyDescent="0.2">
      <c r="A58" s="3451"/>
      <c r="B58" s="3458"/>
      <c r="C58" s="3571"/>
      <c r="D58" s="3443"/>
      <c r="E58" s="3445"/>
      <c r="F58" s="3443"/>
      <c r="G58" s="460">
        <v>13300000</v>
      </c>
      <c r="H58" s="460" t="s">
        <v>1709</v>
      </c>
      <c r="I58" s="503" t="s">
        <v>1719</v>
      </c>
      <c r="J58" s="24" t="s">
        <v>949</v>
      </c>
      <c r="K58" s="3443"/>
      <c r="L58" s="3443"/>
      <c r="M58" s="3526"/>
    </row>
    <row r="59" spans="1:13" ht="30" customHeight="1" x14ac:dyDescent="0.2">
      <c r="A59" s="3450">
        <v>46</v>
      </c>
      <c r="B59" s="3457" t="s">
        <v>189</v>
      </c>
      <c r="C59" s="3570" t="s">
        <v>1112</v>
      </c>
      <c r="D59" s="389"/>
      <c r="E59" s="392"/>
      <c r="F59" s="460"/>
      <c r="G59" s="390">
        <v>9000000</v>
      </c>
      <c r="H59" s="390" t="s">
        <v>926</v>
      </c>
      <c r="I59" s="524" t="s">
        <v>1384</v>
      </c>
      <c r="J59" s="24" t="s">
        <v>1106</v>
      </c>
      <c r="K59" s="399"/>
      <c r="L59" s="399"/>
      <c r="M59" s="431" t="s">
        <v>1385</v>
      </c>
    </row>
    <row r="60" spans="1:13" ht="30" customHeight="1" x14ac:dyDescent="0.2">
      <c r="A60" s="3456"/>
      <c r="B60" s="3459"/>
      <c r="C60" s="3576"/>
      <c r="D60" s="3575">
        <v>1200000000</v>
      </c>
      <c r="E60" s="3683">
        <v>0.08</v>
      </c>
      <c r="F60" s="3575">
        <f>D60*E60</f>
        <v>96000000</v>
      </c>
      <c r="G60" s="508">
        <v>90000000</v>
      </c>
      <c r="H60" s="508" t="s">
        <v>1752</v>
      </c>
      <c r="I60" s="515" t="s">
        <v>1790</v>
      </c>
      <c r="J60" s="24" t="s">
        <v>1106</v>
      </c>
      <c r="K60" s="3442">
        <f>G60+G61</f>
        <v>96000000</v>
      </c>
      <c r="L60" s="3442">
        <f>F60-K60</f>
        <v>0</v>
      </c>
      <c r="M60" s="3658" t="s">
        <v>1811</v>
      </c>
    </row>
    <row r="61" spans="1:13" ht="30" customHeight="1" x14ac:dyDescent="0.2">
      <c r="A61" s="3456"/>
      <c r="B61" s="3459"/>
      <c r="C61" s="3576"/>
      <c r="D61" s="3575"/>
      <c r="E61" s="3683"/>
      <c r="F61" s="3575"/>
      <c r="G61" s="518">
        <v>6000000</v>
      </c>
      <c r="H61" s="3442" t="s">
        <v>1800</v>
      </c>
      <c r="I61" s="3593" t="s">
        <v>1812</v>
      </c>
      <c r="J61" s="3452" t="s">
        <v>1813</v>
      </c>
      <c r="K61" s="3461"/>
      <c r="L61" s="3443"/>
      <c r="M61" s="3658"/>
    </row>
    <row r="62" spans="1:13" ht="30" customHeight="1" x14ac:dyDescent="0.2">
      <c r="A62" s="3456"/>
      <c r="B62" s="3459"/>
      <c r="C62" s="3576"/>
      <c r="D62" s="3442"/>
      <c r="E62" s="3444"/>
      <c r="F62" s="3442"/>
      <c r="G62" s="518">
        <v>24000000</v>
      </c>
      <c r="H62" s="3443"/>
      <c r="I62" s="3594"/>
      <c r="J62" s="3453"/>
      <c r="K62" s="3442">
        <f>G60+G61+G62+G63</f>
        <v>136500000</v>
      </c>
      <c r="L62" s="3442">
        <f>136500000-K62</f>
        <v>0</v>
      </c>
      <c r="M62" s="3607" t="s">
        <v>1815</v>
      </c>
    </row>
    <row r="63" spans="1:13" ht="30" customHeight="1" x14ac:dyDescent="0.2">
      <c r="A63" s="3451"/>
      <c r="B63" s="3458"/>
      <c r="C63" s="3571"/>
      <c r="D63" s="3443"/>
      <c r="E63" s="3445"/>
      <c r="F63" s="3443"/>
      <c r="G63" s="518">
        <v>16500000</v>
      </c>
      <c r="H63" s="518" t="s">
        <v>1800</v>
      </c>
      <c r="I63" s="524" t="s">
        <v>1814</v>
      </c>
      <c r="J63" s="522" t="s">
        <v>1106</v>
      </c>
      <c r="K63" s="3443"/>
      <c r="L63" s="3443"/>
      <c r="M63" s="3609"/>
    </row>
    <row r="64" spans="1:13" ht="30" customHeight="1" x14ac:dyDescent="0.2">
      <c r="A64" s="3450">
        <v>47</v>
      </c>
      <c r="B64" s="3525" t="s">
        <v>190</v>
      </c>
      <c r="C64" s="3570" t="s">
        <v>1110</v>
      </c>
      <c r="D64" s="368">
        <v>20000000</v>
      </c>
      <c r="E64" s="20">
        <v>0.05</v>
      </c>
      <c r="F64" s="368">
        <f t="shared" si="6"/>
        <v>1000000</v>
      </c>
      <c r="G64" s="368">
        <v>1000000</v>
      </c>
      <c r="H64" s="368" t="s">
        <v>1566</v>
      </c>
      <c r="I64" s="374" t="s">
        <v>1628</v>
      </c>
      <c r="J64" s="471" t="s">
        <v>1627</v>
      </c>
      <c r="K64" s="368">
        <f>G64</f>
        <v>1000000</v>
      </c>
      <c r="L64" s="368">
        <f t="shared" si="7"/>
        <v>0</v>
      </c>
      <c r="M64" s="3525"/>
    </row>
    <row r="65" spans="1:13" ht="30" customHeight="1" x14ac:dyDescent="0.2">
      <c r="A65" s="3451"/>
      <c r="B65" s="3526"/>
      <c r="C65" s="3571"/>
      <c r="D65" s="975">
        <v>20000000</v>
      </c>
      <c r="E65" s="986">
        <v>0.05</v>
      </c>
      <c r="F65" s="975">
        <f t="shared" ref="F65" si="8">D65*E65</f>
        <v>1000000</v>
      </c>
      <c r="G65" s="975">
        <v>1000000</v>
      </c>
      <c r="H65" s="975" t="s">
        <v>2618</v>
      </c>
      <c r="I65" s="983" t="s">
        <v>2633</v>
      </c>
      <c r="J65" s="990" t="s">
        <v>1627</v>
      </c>
      <c r="K65" s="975">
        <f>G65</f>
        <v>1000000</v>
      </c>
      <c r="L65" s="975">
        <f t="shared" si="7"/>
        <v>0</v>
      </c>
      <c r="M65" s="3526"/>
    </row>
    <row r="66" spans="1:13" ht="30" customHeight="1" x14ac:dyDescent="0.2">
      <c r="A66" s="387">
        <v>48</v>
      </c>
      <c r="B66" s="45" t="s">
        <v>1708</v>
      </c>
      <c r="C66" s="380" t="s">
        <v>1112</v>
      </c>
      <c r="D66" s="368">
        <v>100000000</v>
      </c>
      <c r="E66" s="20">
        <v>0.05</v>
      </c>
      <c r="F66" s="368">
        <f t="shared" si="6"/>
        <v>5000000</v>
      </c>
      <c r="G66" s="368">
        <v>5000000</v>
      </c>
      <c r="H66" s="368" t="s">
        <v>1477</v>
      </c>
      <c r="I66" s="374" t="s">
        <v>1484</v>
      </c>
      <c r="J66" s="24" t="s">
        <v>1080</v>
      </c>
      <c r="K66" s="368">
        <f>G66</f>
        <v>5000000</v>
      </c>
      <c r="L66" s="368">
        <f t="shared" si="7"/>
        <v>0</v>
      </c>
      <c r="M66" s="45"/>
    </row>
    <row r="67" spans="1:13" ht="30" customHeight="1" x14ac:dyDescent="0.2">
      <c r="A67" s="687">
        <v>49</v>
      </c>
      <c r="B67" s="45" t="s">
        <v>192</v>
      </c>
      <c r="C67" s="380" t="s">
        <v>1350</v>
      </c>
      <c r="D67" s="368">
        <v>230000000</v>
      </c>
      <c r="E67" s="20">
        <v>0.05</v>
      </c>
      <c r="F67" s="368">
        <f t="shared" si="6"/>
        <v>11500000</v>
      </c>
      <c r="G67" s="368">
        <v>11500000</v>
      </c>
      <c r="H67" s="368" t="s">
        <v>926</v>
      </c>
      <c r="I67" s="36" t="s">
        <v>1401</v>
      </c>
      <c r="J67" s="24" t="s">
        <v>1082</v>
      </c>
      <c r="K67" s="368">
        <f>G67</f>
        <v>11500000</v>
      </c>
      <c r="L67" s="368">
        <f t="shared" si="7"/>
        <v>0</v>
      </c>
      <c r="M67" s="45"/>
    </row>
    <row r="68" spans="1:13" ht="30" customHeight="1" x14ac:dyDescent="0.2">
      <c r="A68" s="3450">
        <v>50</v>
      </c>
      <c r="B68" s="3525" t="s">
        <v>193</v>
      </c>
      <c r="C68" s="3570"/>
      <c r="D68" s="390">
        <v>350000000</v>
      </c>
      <c r="E68" s="20">
        <v>0.05</v>
      </c>
      <c r="F68" s="390">
        <f t="shared" si="6"/>
        <v>17500000</v>
      </c>
      <c r="G68" s="390">
        <v>17500000</v>
      </c>
      <c r="H68" s="390" t="s">
        <v>926</v>
      </c>
      <c r="I68" s="403" t="s">
        <v>1386</v>
      </c>
      <c r="J68" s="24" t="s">
        <v>1387</v>
      </c>
      <c r="K68" s="390">
        <f>G68</f>
        <v>17500000</v>
      </c>
      <c r="L68" s="390">
        <f t="shared" si="7"/>
        <v>0</v>
      </c>
      <c r="M68" s="103" t="s">
        <v>2625</v>
      </c>
    </row>
    <row r="69" spans="1:13" ht="30" customHeight="1" x14ac:dyDescent="0.2">
      <c r="A69" s="3456"/>
      <c r="B69" s="3643"/>
      <c r="C69" s="3576"/>
      <c r="D69" s="3442">
        <v>350000000</v>
      </c>
      <c r="E69" s="3444">
        <v>0.05</v>
      </c>
      <c r="F69" s="3442">
        <f>D69*E69</f>
        <v>17500000</v>
      </c>
      <c r="G69" s="982">
        <v>6000000</v>
      </c>
      <c r="H69" s="982" t="s">
        <v>2618</v>
      </c>
      <c r="I69" s="423" t="s">
        <v>2622</v>
      </c>
      <c r="J69" s="24" t="s">
        <v>1387</v>
      </c>
      <c r="K69" s="3442">
        <f>G69+G70</f>
        <v>17500000</v>
      </c>
      <c r="L69" s="3442">
        <f t="shared" si="7"/>
        <v>0</v>
      </c>
      <c r="M69" s="3468" t="s">
        <v>2624</v>
      </c>
    </row>
    <row r="70" spans="1:13" ht="30" customHeight="1" x14ac:dyDescent="0.2">
      <c r="A70" s="3451"/>
      <c r="B70" s="3526"/>
      <c r="C70" s="3571"/>
      <c r="D70" s="3443"/>
      <c r="E70" s="3445"/>
      <c r="F70" s="3443"/>
      <c r="G70" s="982">
        <v>11500000</v>
      </c>
      <c r="H70" s="982" t="s">
        <v>2618</v>
      </c>
      <c r="I70" s="423" t="s">
        <v>2623</v>
      </c>
      <c r="J70" s="24" t="s">
        <v>1387</v>
      </c>
      <c r="K70" s="3443"/>
      <c r="L70" s="3443"/>
      <c r="M70" s="3469"/>
    </row>
    <row r="71" spans="1:13" ht="30" customHeight="1" x14ac:dyDescent="0.2">
      <c r="A71" s="3450">
        <v>51</v>
      </c>
      <c r="B71" s="3457" t="s">
        <v>194</v>
      </c>
      <c r="C71" s="3570" t="s">
        <v>916</v>
      </c>
      <c r="D71" s="377">
        <v>111000000</v>
      </c>
      <c r="E71" s="20">
        <v>4.4999999999999998E-2</v>
      </c>
      <c r="F71" s="377">
        <v>5000000</v>
      </c>
      <c r="G71" s="3478" t="s">
        <v>2571</v>
      </c>
      <c r="H71" s="3479"/>
      <c r="I71" s="3479"/>
      <c r="J71" s="3479"/>
      <c r="K71" s="3480"/>
      <c r="L71" s="377">
        <f>F71-K71</f>
        <v>5000000</v>
      </c>
      <c r="M71" s="45" t="s">
        <v>2600</v>
      </c>
    </row>
    <row r="72" spans="1:13" ht="30" customHeight="1" x14ac:dyDescent="0.2">
      <c r="A72" s="3451"/>
      <c r="B72" s="3458"/>
      <c r="C72" s="3571"/>
      <c r="D72" s="913">
        <v>260000000</v>
      </c>
      <c r="E72" s="914">
        <f>F72/D72</f>
        <v>5.5769230769230772E-2</v>
      </c>
      <c r="F72" s="913">
        <v>14500000</v>
      </c>
      <c r="G72" s="3610" t="s">
        <v>2562</v>
      </c>
      <c r="H72" s="3611"/>
      <c r="I72" s="3611"/>
      <c r="J72" s="3611"/>
      <c r="K72" s="3612"/>
      <c r="L72" s="913">
        <f>F72-K72</f>
        <v>14500000</v>
      </c>
      <c r="M72" s="915" t="s">
        <v>2563</v>
      </c>
    </row>
    <row r="73" spans="1:13" ht="30" customHeight="1" x14ac:dyDescent="0.2">
      <c r="A73" s="3450">
        <v>52</v>
      </c>
      <c r="B73" s="3513" t="s">
        <v>195</v>
      </c>
      <c r="C73" s="710" t="s">
        <v>1352</v>
      </c>
      <c r="D73" s="693">
        <v>60000000</v>
      </c>
      <c r="E73" s="44">
        <f>F73/D73</f>
        <v>7.0000000000000007E-2</v>
      </c>
      <c r="F73" s="693">
        <v>4200000</v>
      </c>
      <c r="G73" s="3386" t="s">
        <v>2146</v>
      </c>
      <c r="H73" s="3656"/>
      <c r="I73" s="3656"/>
      <c r="J73" s="3656"/>
      <c r="K73" s="3657"/>
      <c r="L73" s="693">
        <f t="shared" si="7"/>
        <v>4200000</v>
      </c>
      <c r="M73" s="45" t="s">
        <v>1588</v>
      </c>
    </row>
    <row r="74" spans="1:13" ht="30" customHeight="1" x14ac:dyDescent="0.2">
      <c r="A74" s="3451"/>
      <c r="B74" s="3514"/>
      <c r="C74" s="711"/>
      <c r="D74" s="693">
        <v>20000000</v>
      </c>
      <c r="E74" s="44"/>
      <c r="F74" s="693"/>
      <c r="G74" s="3663" t="s">
        <v>2147</v>
      </c>
      <c r="H74" s="3664"/>
      <c r="I74" s="3664"/>
      <c r="J74" s="3664"/>
      <c r="K74" s="3664"/>
      <c r="L74" s="3665"/>
      <c r="M74" s="45"/>
    </row>
    <row r="75" spans="1:13" ht="30" customHeight="1" x14ac:dyDescent="0.2">
      <c r="A75" s="3450">
        <v>53</v>
      </c>
      <c r="B75" s="3457" t="s">
        <v>196</v>
      </c>
      <c r="C75" s="3570" t="s">
        <v>1349</v>
      </c>
      <c r="D75" s="798">
        <v>350000000</v>
      </c>
      <c r="E75" s="800">
        <v>7.0000000000000007E-2</v>
      </c>
      <c r="F75" s="798">
        <f t="shared" si="6"/>
        <v>24500000.000000004</v>
      </c>
      <c r="G75" s="797">
        <v>24500000</v>
      </c>
      <c r="H75" s="3442" t="s">
        <v>2180</v>
      </c>
      <c r="I75" s="3577" t="s">
        <v>2189</v>
      </c>
      <c r="J75" s="3452" t="s">
        <v>1923</v>
      </c>
      <c r="K75" s="796">
        <f>G75</f>
        <v>24500000</v>
      </c>
      <c r="L75" s="798">
        <f>F75-K75</f>
        <v>0</v>
      </c>
      <c r="M75" s="3452" t="s">
        <v>2093</v>
      </c>
    </row>
    <row r="76" spans="1:13" ht="30" customHeight="1" x14ac:dyDescent="0.2">
      <c r="A76" s="3456"/>
      <c r="B76" s="3459"/>
      <c r="C76" s="3576"/>
      <c r="D76" s="3442">
        <v>3200000</v>
      </c>
      <c r="E76" s="3538" t="s">
        <v>2397</v>
      </c>
      <c r="F76" s="3539"/>
      <c r="G76" s="798">
        <v>500000</v>
      </c>
      <c r="H76" s="3443"/>
      <c r="I76" s="3578"/>
      <c r="J76" s="3453"/>
      <c r="K76" s="3575">
        <f>G76+G77</f>
        <v>3200000</v>
      </c>
      <c r="L76" s="3575">
        <f>(G77+G76)-K76</f>
        <v>0</v>
      </c>
      <c r="M76" s="3653"/>
    </row>
    <row r="77" spans="1:13" ht="30" customHeight="1" x14ac:dyDescent="0.2">
      <c r="A77" s="3456"/>
      <c r="B77" s="3459"/>
      <c r="C77" s="3576"/>
      <c r="D77" s="3443"/>
      <c r="E77" s="3540"/>
      <c r="F77" s="3541"/>
      <c r="G77" s="798">
        <v>2700000</v>
      </c>
      <c r="H77" s="3442" t="s">
        <v>2392</v>
      </c>
      <c r="I77" s="3577" t="s">
        <v>2399</v>
      </c>
      <c r="J77" s="3452" t="s">
        <v>1923</v>
      </c>
      <c r="K77" s="3575"/>
      <c r="L77" s="3575"/>
      <c r="M77" s="3653"/>
    </row>
    <row r="78" spans="1:13" ht="30" customHeight="1" x14ac:dyDescent="0.2">
      <c r="A78" s="3456"/>
      <c r="B78" s="3459"/>
      <c r="C78" s="3576"/>
      <c r="D78" s="3442">
        <v>30000000</v>
      </c>
      <c r="E78" s="3538" t="s">
        <v>2398</v>
      </c>
      <c r="F78" s="3539"/>
      <c r="G78" s="798">
        <v>20000000</v>
      </c>
      <c r="H78" s="3443"/>
      <c r="I78" s="3578"/>
      <c r="J78" s="3453"/>
      <c r="K78" s="3442">
        <f>G78+G79</f>
        <v>20000000</v>
      </c>
      <c r="L78" s="3442">
        <f>D78-K78</f>
        <v>10000000</v>
      </c>
      <c r="M78" s="3653"/>
    </row>
    <row r="79" spans="1:13" ht="30" customHeight="1" x14ac:dyDescent="0.2">
      <c r="A79" s="3451"/>
      <c r="B79" s="3458"/>
      <c r="C79" s="3571"/>
      <c r="D79" s="3443"/>
      <c r="E79" s="3540"/>
      <c r="F79" s="3541"/>
      <c r="G79" s="798"/>
      <c r="H79" s="798"/>
      <c r="I79" s="424"/>
      <c r="J79" s="801"/>
      <c r="K79" s="3443"/>
      <c r="L79" s="3443"/>
      <c r="M79" s="3453"/>
    </row>
    <row r="80" spans="1:13" ht="30" customHeight="1" x14ac:dyDescent="0.2">
      <c r="A80" s="3450">
        <v>54</v>
      </c>
      <c r="B80" s="3457" t="s">
        <v>1090</v>
      </c>
      <c r="C80" s="3570"/>
      <c r="D80" s="368">
        <v>35000000</v>
      </c>
      <c r="E80" s="393">
        <v>7.1999999999999995E-2</v>
      </c>
      <c r="F80" s="368">
        <v>2500000</v>
      </c>
      <c r="G80" s="3442">
        <v>3500000</v>
      </c>
      <c r="H80" s="3442" t="s">
        <v>1566</v>
      </c>
      <c r="I80" s="3577" t="s">
        <v>1668</v>
      </c>
      <c r="J80" s="3452" t="s">
        <v>1669</v>
      </c>
      <c r="K80" s="3442">
        <f>G80</f>
        <v>3500000</v>
      </c>
      <c r="L80" s="3442">
        <f>(F80+F81)-K80</f>
        <v>0</v>
      </c>
      <c r="M80" s="3525"/>
    </row>
    <row r="81" spans="1:13" ht="30" customHeight="1" x14ac:dyDescent="0.2">
      <c r="A81" s="3456"/>
      <c r="B81" s="3459"/>
      <c r="C81" s="3576"/>
      <c r="D81" s="368">
        <v>13000000</v>
      </c>
      <c r="E81" s="20">
        <v>7.6999999999999999E-2</v>
      </c>
      <c r="F81" s="368">
        <v>1000000</v>
      </c>
      <c r="G81" s="3443"/>
      <c r="H81" s="3443"/>
      <c r="I81" s="3578"/>
      <c r="J81" s="3453"/>
      <c r="K81" s="3443"/>
      <c r="L81" s="3443"/>
      <c r="M81" s="3526"/>
    </row>
    <row r="82" spans="1:13" ht="30" customHeight="1" x14ac:dyDescent="0.2">
      <c r="A82" s="3456"/>
      <c r="B82" s="3459"/>
      <c r="C82" s="3576"/>
      <c r="D82" s="975">
        <v>35000000</v>
      </c>
      <c r="E82" s="978">
        <v>7.1999999999999995E-2</v>
      </c>
      <c r="F82" s="975">
        <v>2500000</v>
      </c>
      <c r="G82" s="3442">
        <v>3500000</v>
      </c>
      <c r="H82" s="3442" t="s">
        <v>2618</v>
      </c>
      <c r="I82" s="3577" t="s">
        <v>2634</v>
      </c>
      <c r="J82" s="3452" t="s">
        <v>2635</v>
      </c>
      <c r="K82" s="3442">
        <f>G82</f>
        <v>3500000</v>
      </c>
      <c r="L82" s="3442">
        <f>G82-K82</f>
        <v>0</v>
      </c>
      <c r="M82" s="985"/>
    </row>
    <row r="83" spans="1:13" ht="30" customHeight="1" x14ac:dyDescent="0.2">
      <c r="A83" s="3451"/>
      <c r="B83" s="3458"/>
      <c r="C83" s="3571"/>
      <c r="D83" s="975">
        <v>13000000</v>
      </c>
      <c r="E83" s="986">
        <v>7.6999999999999999E-2</v>
      </c>
      <c r="F83" s="975">
        <v>1000000</v>
      </c>
      <c r="G83" s="3443"/>
      <c r="H83" s="3443"/>
      <c r="I83" s="3578"/>
      <c r="J83" s="3453"/>
      <c r="K83" s="3443"/>
      <c r="L83" s="3443"/>
      <c r="M83" s="985"/>
    </row>
    <row r="84" spans="1:13" ht="30" customHeight="1" x14ac:dyDescent="0.2">
      <c r="A84" s="3450">
        <v>55</v>
      </c>
      <c r="B84" s="3457" t="s">
        <v>2660</v>
      </c>
      <c r="C84" s="3570" t="s">
        <v>1350</v>
      </c>
      <c r="D84" s="661">
        <v>175000000</v>
      </c>
      <c r="E84" s="667">
        <v>0.52</v>
      </c>
      <c r="F84" s="661">
        <v>9000000</v>
      </c>
      <c r="G84" s="3575">
        <v>16500000</v>
      </c>
      <c r="H84" s="3575" t="s">
        <v>926</v>
      </c>
      <c r="I84" s="3669" t="s">
        <v>1390</v>
      </c>
      <c r="J84" s="3670" t="s">
        <v>1391</v>
      </c>
      <c r="K84" s="3575">
        <f>G84</f>
        <v>16500000</v>
      </c>
      <c r="L84" s="3575">
        <f>(F84+F85)-K84</f>
        <v>0</v>
      </c>
      <c r="M84" s="683" t="s">
        <v>1113</v>
      </c>
    </row>
    <row r="85" spans="1:13" ht="30" customHeight="1" x14ac:dyDescent="0.2">
      <c r="A85" s="3456"/>
      <c r="B85" s="3459"/>
      <c r="C85" s="3576"/>
      <c r="D85" s="654">
        <f>85000000+20000000</f>
        <v>105000000</v>
      </c>
      <c r="E85" s="652">
        <v>7.0000000000000007E-2</v>
      </c>
      <c r="F85" s="654">
        <v>7500000</v>
      </c>
      <c r="G85" s="3575"/>
      <c r="H85" s="3575"/>
      <c r="I85" s="3669"/>
      <c r="J85" s="3670"/>
      <c r="K85" s="3575"/>
      <c r="L85" s="3575"/>
      <c r="M85" s="192" t="s">
        <v>2051</v>
      </c>
    </row>
    <row r="86" spans="1:13" ht="30" customHeight="1" x14ac:dyDescent="0.2">
      <c r="A86" s="3451"/>
      <c r="B86" s="3458"/>
      <c r="C86" s="3571"/>
      <c r="D86" s="661">
        <v>35000000</v>
      </c>
      <c r="E86" s="667">
        <v>0.05</v>
      </c>
      <c r="F86" s="661">
        <f>D86*E86</f>
        <v>1750000</v>
      </c>
      <c r="G86" s="3615" t="s">
        <v>2085</v>
      </c>
      <c r="H86" s="3616"/>
      <c r="I86" s="3616"/>
      <c r="J86" s="3616"/>
      <c r="K86" s="3616"/>
      <c r="L86" s="3617"/>
      <c r="M86" s="33" t="s">
        <v>2052</v>
      </c>
    </row>
    <row r="87" spans="1:13" ht="30" customHeight="1" x14ac:dyDescent="0.2">
      <c r="A87" s="3450">
        <v>56</v>
      </c>
      <c r="B87" s="3457" t="s">
        <v>36</v>
      </c>
      <c r="C87" s="3570" t="s">
        <v>1350</v>
      </c>
      <c r="D87" s="3442">
        <v>3284000000</v>
      </c>
      <c r="E87" s="3444">
        <v>7.0000000000000007E-2</v>
      </c>
      <c r="F87" s="3442">
        <v>229880000</v>
      </c>
      <c r="G87" s="399">
        <v>27070000</v>
      </c>
      <c r="H87" s="3442" t="s">
        <v>1052</v>
      </c>
      <c r="I87" s="3666" t="s">
        <v>1413</v>
      </c>
      <c r="J87" s="3452" t="s">
        <v>707</v>
      </c>
      <c r="K87" s="3442">
        <f>G87+G88</f>
        <v>50000000</v>
      </c>
      <c r="L87" s="3442">
        <f>F87-(G88+G89+G90+G91+G92+G93)</f>
        <v>2140000</v>
      </c>
      <c r="M87" s="103" t="s">
        <v>1412</v>
      </c>
    </row>
    <row r="88" spans="1:13" ht="30" customHeight="1" x14ac:dyDescent="0.2">
      <c r="A88" s="3456"/>
      <c r="B88" s="3459"/>
      <c r="C88" s="3576"/>
      <c r="D88" s="3461"/>
      <c r="E88" s="3474"/>
      <c r="F88" s="3461"/>
      <c r="G88" s="390">
        <v>22930000</v>
      </c>
      <c r="H88" s="3443"/>
      <c r="I88" s="3667"/>
      <c r="J88" s="3453"/>
      <c r="K88" s="3443"/>
      <c r="L88" s="3461"/>
      <c r="M88" s="3659"/>
    </row>
    <row r="89" spans="1:13" ht="30" customHeight="1" x14ac:dyDescent="0.2">
      <c r="A89" s="3456"/>
      <c r="B89" s="3459"/>
      <c r="C89" s="3576"/>
      <c r="D89" s="3461"/>
      <c r="E89" s="3474"/>
      <c r="F89" s="3461"/>
      <c r="G89" s="411">
        <v>50000000</v>
      </c>
      <c r="H89" s="411" t="s">
        <v>1477</v>
      </c>
      <c r="I89" s="419" t="s">
        <v>1509</v>
      </c>
      <c r="J89" s="24" t="s">
        <v>707</v>
      </c>
      <c r="K89" s="3442">
        <f>G88+G89+G90+G91+G92+G93</f>
        <v>227740000</v>
      </c>
      <c r="L89" s="3461"/>
      <c r="M89" s="3660"/>
    </row>
    <row r="90" spans="1:13" ht="30" customHeight="1" x14ac:dyDescent="0.2">
      <c r="A90" s="3456"/>
      <c r="B90" s="3459"/>
      <c r="C90" s="3576"/>
      <c r="D90" s="3461"/>
      <c r="E90" s="3474"/>
      <c r="F90" s="3461"/>
      <c r="G90" s="498">
        <v>50000000</v>
      </c>
      <c r="H90" s="498" t="s">
        <v>1687</v>
      </c>
      <c r="I90" s="503" t="s">
        <v>1767</v>
      </c>
      <c r="J90" s="24" t="s">
        <v>707</v>
      </c>
      <c r="K90" s="3461"/>
      <c r="L90" s="3461"/>
      <c r="M90" s="3660"/>
    </row>
    <row r="91" spans="1:13" ht="30" customHeight="1" x14ac:dyDescent="0.2">
      <c r="A91" s="3456"/>
      <c r="B91" s="3459"/>
      <c r="C91" s="3576"/>
      <c r="D91" s="3461"/>
      <c r="E91" s="3474"/>
      <c r="F91" s="3461"/>
      <c r="G91" s="536">
        <v>50000000</v>
      </c>
      <c r="H91" s="536" t="s">
        <v>1831</v>
      </c>
      <c r="I91" s="539" t="s">
        <v>1836</v>
      </c>
      <c r="J91" s="24" t="s">
        <v>707</v>
      </c>
      <c r="K91" s="3461"/>
      <c r="L91" s="3461"/>
      <c r="M91" s="3660"/>
    </row>
    <row r="92" spans="1:13" ht="30" customHeight="1" x14ac:dyDescent="0.2">
      <c r="A92" s="3456"/>
      <c r="B92" s="3459"/>
      <c r="C92" s="3576"/>
      <c r="D92" s="3461"/>
      <c r="E92" s="3474"/>
      <c r="F92" s="3461"/>
      <c r="G92" s="544">
        <v>50000000</v>
      </c>
      <c r="H92" s="544" t="s">
        <v>1848</v>
      </c>
      <c r="I92" s="551" t="s">
        <v>2084</v>
      </c>
      <c r="J92" s="24" t="s">
        <v>707</v>
      </c>
      <c r="K92" s="3461"/>
      <c r="L92" s="3461"/>
      <c r="M92" s="3660"/>
    </row>
    <row r="93" spans="1:13" ht="30" customHeight="1" x14ac:dyDescent="0.2">
      <c r="A93" s="3456"/>
      <c r="B93" s="3459"/>
      <c r="C93" s="3576"/>
      <c r="D93" s="3461"/>
      <c r="E93" s="3474"/>
      <c r="F93" s="3461"/>
      <c r="G93" s="498">
        <v>4810000</v>
      </c>
      <c r="H93" s="886" t="s">
        <v>2544</v>
      </c>
      <c r="I93" s="893" t="s">
        <v>2549</v>
      </c>
      <c r="J93" s="24" t="s">
        <v>707</v>
      </c>
      <c r="K93" s="3443"/>
      <c r="L93" s="3443"/>
      <c r="M93" s="3661"/>
    </row>
    <row r="94" spans="1:13" ht="30" customHeight="1" x14ac:dyDescent="0.2">
      <c r="A94" s="3451"/>
      <c r="B94" s="3458"/>
      <c r="C94" s="3571"/>
      <c r="D94" s="3443"/>
      <c r="E94" s="3445"/>
      <c r="F94" s="3443"/>
      <c r="G94" s="886"/>
      <c r="H94" s="886"/>
      <c r="I94" s="893"/>
      <c r="J94" s="24"/>
      <c r="K94" s="886"/>
      <c r="L94" s="886"/>
      <c r="M94" s="894"/>
    </row>
    <row r="95" spans="1:13" ht="30" customHeight="1" x14ac:dyDescent="0.2">
      <c r="A95" s="386">
        <v>57</v>
      </c>
      <c r="B95" s="364" t="s">
        <v>1107</v>
      </c>
      <c r="C95" s="380" t="s">
        <v>1353</v>
      </c>
      <c r="D95" s="368">
        <v>317000000</v>
      </c>
      <c r="E95" s="367">
        <v>7.0000000000000007E-2</v>
      </c>
      <c r="F95" s="368">
        <f>D95*E95</f>
        <v>22190000.000000004</v>
      </c>
      <c r="G95" s="390">
        <v>22190000</v>
      </c>
      <c r="H95" s="390" t="s">
        <v>2544</v>
      </c>
      <c r="I95" s="36" t="s">
        <v>2549</v>
      </c>
      <c r="J95" s="24" t="s">
        <v>707</v>
      </c>
      <c r="K95" s="390">
        <f>G95</f>
        <v>22190000</v>
      </c>
      <c r="L95" s="390">
        <f>F95-K95</f>
        <v>0</v>
      </c>
      <c r="M95" s="370"/>
    </row>
    <row r="96" spans="1:13" ht="30" customHeight="1" x14ac:dyDescent="0.2">
      <c r="A96" s="386">
        <v>58</v>
      </c>
      <c r="B96" s="45" t="s">
        <v>1094</v>
      </c>
      <c r="C96" s="380"/>
      <c r="D96" s="368">
        <v>11000000</v>
      </c>
      <c r="E96" s="20">
        <v>5.5E-2</v>
      </c>
      <c r="F96" s="368">
        <v>600000</v>
      </c>
      <c r="G96" s="368">
        <v>600000</v>
      </c>
      <c r="H96" s="368" t="s">
        <v>1831</v>
      </c>
      <c r="I96" s="374" t="s">
        <v>1837</v>
      </c>
      <c r="J96" s="88" t="s">
        <v>1838</v>
      </c>
      <c r="K96" s="368">
        <f>G96</f>
        <v>600000</v>
      </c>
      <c r="L96" s="368">
        <f t="shared" si="7"/>
        <v>0</v>
      </c>
      <c r="M96" s="45"/>
    </row>
    <row r="97" spans="1:13" ht="30" customHeight="1" x14ac:dyDescent="0.2">
      <c r="A97" s="3450">
        <v>59</v>
      </c>
      <c r="B97" s="3457" t="s">
        <v>197</v>
      </c>
      <c r="C97" s="3570" t="s">
        <v>1350</v>
      </c>
      <c r="D97" s="368">
        <v>90000000</v>
      </c>
      <c r="E97" s="20">
        <v>0.05</v>
      </c>
      <c r="F97" s="368">
        <f t="shared" si="6"/>
        <v>4500000</v>
      </c>
      <c r="G97" s="1091"/>
      <c r="H97" s="1091"/>
      <c r="I97" s="835"/>
      <c r="J97" s="1098"/>
      <c r="K97" s="3505"/>
      <c r="L97" s="3442">
        <f t="shared" si="7"/>
        <v>4500000</v>
      </c>
      <c r="M97" s="3468" t="s">
        <v>2697</v>
      </c>
    </row>
    <row r="98" spans="1:13" ht="30" customHeight="1" x14ac:dyDescent="0.2">
      <c r="A98" s="3451"/>
      <c r="B98" s="3458"/>
      <c r="C98" s="3571"/>
      <c r="D98" s="368">
        <v>10000000</v>
      </c>
      <c r="E98" s="20">
        <v>7.0000000000000007E-2</v>
      </c>
      <c r="F98" s="368">
        <f t="shared" si="6"/>
        <v>700000.00000000012</v>
      </c>
      <c r="G98" s="3663" t="s">
        <v>1373</v>
      </c>
      <c r="H98" s="3664"/>
      <c r="I98" s="3664"/>
      <c r="J98" s="3665"/>
      <c r="K98" s="3506"/>
      <c r="L98" s="3443"/>
      <c r="M98" s="3469"/>
    </row>
    <row r="99" spans="1:13" ht="30" customHeight="1" x14ac:dyDescent="0.2">
      <c r="A99" s="1009">
        <v>60</v>
      </c>
      <c r="B99" s="1010" t="s">
        <v>1591</v>
      </c>
      <c r="C99" s="1003"/>
      <c r="D99" s="366"/>
      <c r="E99" s="44"/>
      <c r="F99" s="366">
        <f t="shared" si="6"/>
        <v>0</v>
      </c>
      <c r="G99" s="368">
        <v>10000000</v>
      </c>
      <c r="H99" s="368" t="s">
        <v>926</v>
      </c>
      <c r="I99" s="374" t="s">
        <v>1397</v>
      </c>
      <c r="J99" s="24" t="s">
        <v>1101</v>
      </c>
      <c r="K99" s="368">
        <f>G99</f>
        <v>10000000</v>
      </c>
      <c r="L99" s="391">
        <f t="shared" si="7"/>
        <v>-10000000</v>
      </c>
      <c r="M99" s="45" t="s">
        <v>2650</v>
      </c>
    </row>
    <row r="100" spans="1:13" ht="30" customHeight="1" x14ac:dyDescent="0.2">
      <c r="A100" s="362">
        <v>61</v>
      </c>
      <c r="B100" s="45" t="s">
        <v>199</v>
      </c>
      <c r="C100" s="380"/>
      <c r="D100" s="368">
        <v>100000000</v>
      </c>
      <c r="E100" s="20">
        <v>7.0000000000000007E-2</v>
      </c>
      <c r="F100" s="368">
        <f t="shared" si="6"/>
        <v>7000000.0000000009</v>
      </c>
      <c r="G100" s="536">
        <v>7000000</v>
      </c>
      <c r="H100" s="536" t="s">
        <v>1687</v>
      </c>
      <c r="I100" s="541" t="s">
        <v>1702</v>
      </c>
      <c r="J100" s="24" t="s">
        <v>1703</v>
      </c>
      <c r="K100" s="536">
        <f>G100</f>
        <v>7000000</v>
      </c>
      <c r="L100" s="368">
        <f t="shared" si="7"/>
        <v>0</v>
      </c>
      <c r="M100" s="45" t="s">
        <v>1847</v>
      </c>
    </row>
    <row r="101" spans="1:13" ht="30" customHeight="1" x14ac:dyDescent="0.2">
      <c r="A101" s="4">
        <v>62</v>
      </c>
      <c r="B101" s="45" t="s">
        <v>200</v>
      </c>
      <c r="C101" s="380"/>
      <c r="D101" s="366"/>
      <c r="E101" s="44"/>
      <c r="F101" s="366">
        <f t="shared" si="6"/>
        <v>0</v>
      </c>
      <c r="G101" s="368">
        <v>3250000</v>
      </c>
      <c r="H101" s="368" t="s">
        <v>2572</v>
      </c>
      <c r="I101" s="374" t="s">
        <v>2581</v>
      </c>
      <c r="J101" s="310" t="s">
        <v>2582</v>
      </c>
      <c r="K101" s="368">
        <f>G101</f>
        <v>3250000</v>
      </c>
      <c r="L101" s="366">
        <f t="shared" si="7"/>
        <v>-3250000</v>
      </c>
      <c r="M101" s="45"/>
    </row>
    <row r="102" spans="1:13" ht="30" customHeight="1" x14ac:dyDescent="0.2">
      <c r="A102" s="3450">
        <v>63</v>
      </c>
      <c r="B102" s="3457" t="s">
        <v>201</v>
      </c>
      <c r="C102" s="3570"/>
      <c r="D102" s="399">
        <v>1250000000</v>
      </c>
      <c r="E102" s="20">
        <f>F102/D102</f>
        <v>6.5000000000000002E-2</v>
      </c>
      <c r="F102" s="399">
        <v>81250000</v>
      </c>
      <c r="G102" s="399">
        <v>50000000</v>
      </c>
      <c r="H102" s="399" t="s">
        <v>1431</v>
      </c>
      <c r="I102" s="423" t="s">
        <v>1436</v>
      </c>
      <c r="J102" s="37" t="s">
        <v>950</v>
      </c>
      <c r="K102" s="416">
        <f>G102</f>
        <v>50000000</v>
      </c>
      <c r="L102" s="513">
        <f t="shared" si="7"/>
        <v>31250000</v>
      </c>
      <c r="M102" s="683" t="s">
        <v>1768</v>
      </c>
    </row>
    <row r="103" spans="1:13" ht="30" customHeight="1" x14ac:dyDescent="0.2">
      <c r="A103" s="3456"/>
      <c r="B103" s="3459"/>
      <c r="C103" s="3571"/>
      <c r="D103" s="508">
        <v>1300000000</v>
      </c>
      <c r="E103" s="507"/>
      <c r="F103" s="1000"/>
      <c r="G103" s="3478" t="s">
        <v>1769</v>
      </c>
      <c r="H103" s="3479"/>
      <c r="I103" s="3479"/>
      <c r="J103" s="3479"/>
      <c r="K103" s="3479"/>
      <c r="L103" s="3480"/>
      <c r="M103" s="192"/>
    </row>
    <row r="104" spans="1:13" ht="30" customHeight="1" x14ac:dyDescent="0.2">
      <c r="A104" s="3451"/>
      <c r="B104" s="3458"/>
      <c r="C104" s="999"/>
      <c r="D104" s="998">
        <v>1600000000</v>
      </c>
      <c r="E104" s="997">
        <v>6.5000000000000002E-2</v>
      </c>
      <c r="F104" s="998">
        <f>D104*E104</f>
        <v>104000000</v>
      </c>
      <c r="G104" s="3325" t="s">
        <v>2647</v>
      </c>
      <c r="H104" s="3340"/>
      <c r="I104" s="3340"/>
      <c r="J104" s="3340"/>
      <c r="K104" s="3340"/>
      <c r="L104" s="3341"/>
      <c r="M104" s="33"/>
    </row>
    <row r="105" spans="1:13" ht="30" customHeight="1" x14ac:dyDescent="0.2">
      <c r="A105" s="4">
        <v>64</v>
      </c>
      <c r="B105" s="388" t="s">
        <v>1408</v>
      </c>
      <c r="C105" s="380" t="s">
        <v>916</v>
      </c>
      <c r="D105" s="368">
        <v>200000000</v>
      </c>
      <c r="E105" s="393">
        <v>5.0999999999999997E-2</v>
      </c>
      <c r="F105" s="368">
        <f t="shared" si="6"/>
        <v>10200000</v>
      </c>
      <c r="G105" s="368">
        <v>10200000</v>
      </c>
      <c r="H105" s="368" t="s">
        <v>1052</v>
      </c>
      <c r="I105" s="36" t="s">
        <v>1406</v>
      </c>
      <c r="J105" s="24" t="s">
        <v>1407</v>
      </c>
      <c r="K105" s="368">
        <f>G105</f>
        <v>10200000</v>
      </c>
      <c r="L105" s="368">
        <f t="shared" si="7"/>
        <v>0</v>
      </c>
      <c r="M105" s="103" t="s">
        <v>1409</v>
      </c>
    </row>
    <row r="106" spans="1:13" ht="30" customHeight="1" x14ac:dyDescent="0.2">
      <c r="A106" s="387">
        <v>65</v>
      </c>
      <c r="B106" s="45" t="s">
        <v>203</v>
      </c>
      <c r="C106" s="380"/>
      <c r="D106" s="368">
        <v>300000000</v>
      </c>
      <c r="E106" s="20">
        <v>0.04</v>
      </c>
      <c r="F106" s="368">
        <f t="shared" si="6"/>
        <v>12000000</v>
      </c>
      <c r="G106" s="368"/>
      <c r="H106" s="368"/>
      <c r="I106" s="374"/>
      <c r="J106" s="24"/>
      <c r="K106" s="368"/>
      <c r="L106" s="368">
        <f t="shared" si="7"/>
        <v>12000000</v>
      </c>
      <c r="M106" s="45" t="s">
        <v>1615</v>
      </c>
    </row>
    <row r="107" spans="1:13" ht="30" customHeight="1" x14ac:dyDescent="0.2">
      <c r="A107" s="3450">
        <v>66</v>
      </c>
      <c r="B107" s="3457" t="s">
        <v>204</v>
      </c>
      <c r="C107" s="3570"/>
      <c r="D107" s="3505"/>
      <c r="E107" s="3507"/>
      <c r="F107" s="3505">
        <f t="shared" si="6"/>
        <v>0</v>
      </c>
      <c r="G107" s="368">
        <v>12860000</v>
      </c>
      <c r="H107" s="368" t="s">
        <v>1431</v>
      </c>
      <c r="I107" s="420" t="s">
        <v>1470</v>
      </c>
      <c r="J107" s="24" t="s">
        <v>957</v>
      </c>
      <c r="K107" s="3442">
        <f>G107+G108</f>
        <v>26000000</v>
      </c>
      <c r="L107" s="3505">
        <f t="shared" si="7"/>
        <v>-26000000</v>
      </c>
      <c r="M107" s="45"/>
    </row>
    <row r="108" spans="1:13" ht="30" customHeight="1" x14ac:dyDescent="0.2">
      <c r="A108" s="3451"/>
      <c r="B108" s="3458"/>
      <c r="C108" s="3571"/>
      <c r="D108" s="3506"/>
      <c r="E108" s="3508"/>
      <c r="F108" s="3506"/>
      <c r="G108" s="975">
        <v>13140000</v>
      </c>
      <c r="H108" s="979" t="s">
        <v>2618</v>
      </c>
      <c r="I108" s="987" t="s">
        <v>2620</v>
      </c>
      <c r="J108" s="427" t="s">
        <v>957</v>
      </c>
      <c r="K108" s="3443"/>
      <c r="L108" s="3506"/>
      <c r="M108" s="976" t="s">
        <v>2621</v>
      </c>
    </row>
    <row r="109" spans="1:13" ht="30" customHeight="1" x14ac:dyDescent="0.2">
      <c r="A109" s="3450">
        <v>67</v>
      </c>
      <c r="B109" s="3457" t="s">
        <v>183</v>
      </c>
      <c r="C109" s="3570"/>
      <c r="D109" s="655">
        <v>35000000</v>
      </c>
      <c r="E109" s="667">
        <v>0.08</v>
      </c>
      <c r="F109" s="655">
        <v>2750000</v>
      </c>
      <c r="G109" s="655">
        <v>2750000</v>
      </c>
      <c r="H109" s="3442" t="s">
        <v>1894</v>
      </c>
      <c r="I109" s="3577" t="s">
        <v>2106</v>
      </c>
      <c r="J109" s="3442" t="s">
        <v>2107</v>
      </c>
      <c r="K109" s="655">
        <f>G109</f>
        <v>2750000</v>
      </c>
      <c r="L109" s="655">
        <f t="shared" si="7"/>
        <v>0</v>
      </c>
      <c r="M109" s="3627" t="s">
        <v>2536</v>
      </c>
    </row>
    <row r="110" spans="1:13" ht="30" customHeight="1" x14ac:dyDescent="0.2">
      <c r="A110" s="3451"/>
      <c r="B110" s="3458"/>
      <c r="C110" s="3571"/>
      <c r="D110" s="3325" t="s">
        <v>2108</v>
      </c>
      <c r="E110" s="3340"/>
      <c r="F110" s="3341"/>
      <c r="G110" s="655">
        <v>35000000</v>
      </c>
      <c r="H110" s="3443"/>
      <c r="I110" s="3578"/>
      <c r="J110" s="3443"/>
      <c r="K110" s="655">
        <f>G110</f>
        <v>35000000</v>
      </c>
      <c r="L110" s="655">
        <f>G110-K110</f>
        <v>0</v>
      </c>
      <c r="M110" s="3628"/>
    </row>
    <row r="111" spans="1:13" ht="30" customHeight="1" x14ac:dyDescent="0.2">
      <c r="A111" s="4">
        <v>68</v>
      </c>
      <c r="B111" s="45" t="s">
        <v>205</v>
      </c>
      <c r="C111" s="380" t="s">
        <v>1350</v>
      </c>
      <c r="D111" s="368">
        <v>150000000</v>
      </c>
      <c r="E111" s="20">
        <v>0.05</v>
      </c>
      <c r="F111" s="368">
        <f t="shared" si="6"/>
        <v>7500000</v>
      </c>
      <c r="G111" s="368">
        <v>7500000</v>
      </c>
      <c r="H111" s="368" t="s">
        <v>1052</v>
      </c>
      <c r="I111" s="374" t="s">
        <v>1404</v>
      </c>
      <c r="J111" s="24" t="s">
        <v>961</v>
      </c>
      <c r="K111" s="368">
        <f>G111</f>
        <v>7500000</v>
      </c>
      <c r="L111" s="368">
        <f>F111-K111</f>
        <v>0</v>
      </c>
      <c r="M111" s="45"/>
    </row>
    <row r="112" spans="1:13" ht="30" customHeight="1" x14ac:dyDescent="0.2">
      <c r="A112" s="3450">
        <v>69</v>
      </c>
      <c r="B112" s="3457" t="s">
        <v>206</v>
      </c>
      <c r="C112" s="3686" t="s">
        <v>916</v>
      </c>
      <c r="D112" s="3575">
        <v>280000000</v>
      </c>
      <c r="E112" s="3683">
        <f>F112/D112</f>
        <v>7.0000000000000007E-2</v>
      </c>
      <c r="F112" s="3575">
        <v>19600000</v>
      </c>
      <c r="G112" s="368">
        <v>9500000</v>
      </c>
      <c r="H112" s="368" t="s">
        <v>1566</v>
      </c>
      <c r="I112" s="36" t="s">
        <v>1679</v>
      </c>
      <c r="J112" s="24" t="s">
        <v>1681</v>
      </c>
      <c r="K112" s="3442">
        <f>G112+G113</f>
        <v>19500000</v>
      </c>
      <c r="L112" s="3442">
        <f t="shared" si="7"/>
        <v>100000</v>
      </c>
      <c r="M112" s="3627" t="s">
        <v>1682</v>
      </c>
    </row>
    <row r="113" spans="1:13" ht="30" customHeight="1" x14ac:dyDescent="0.2">
      <c r="A113" s="3451"/>
      <c r="B113" s="3458"/>
      <c r="C113" s="3686"/>
      <c r="D113" s="3575"/>
      <c r="E113" s="3683"/>
      <c r="F113" s="3575"/>
      <c r="G113" s="498">
        <v>10000000</v>
      </c>
      <c r="H113" s="498" t="s">
        <v>1566</v>
      </c>
      <c r="I113" s="504" t="s">
        <v>1680</v>
      </c>
      <c r="J113" s="24" t="s">
        <v>1681</v>
      </c>
      <c r="K113" s="3443"/>
      <c r="L113" s="3443"/>
      <c r="M113" s="3628"/>
    </row>
    <row r="114" spans="1:13" ht="30" customHeight="1" x14ac:dyDescent="0.2">
      <c r="A114" s="4">
        <v>70</v>
      </c>
      <c r="B114" s="45" t="s">
        <v>207</v>
      </c>
      <c r="C114" s="380" t="s">
        <v>916</v>
      </c>
      <c r="D114" s="368">
        <v>100000000</v>
      </c>
      <c r="E114" s="20">
        <v>0.04</v>
      </c>
      <c r="F114" s="368">
        <f t="shared" si="6"/>
        <v>4000000</v>
      </c>
      <c r="G114" s="368">
        <v>4000000</v>
      </c>
      <c r="H114" s="368" t="s">
        <v>1431</v>
      </c>
      <c r="I114" s="374" t="s">
        <v>1456</v>
      </c>
      <c r="J114" s="88" t="s">
        <v>1457</v>
      </c>
      <c r="K114" s="368">
        <f>G114</f>
        <v>4000000</v>
      </c>
      <c r="L114" s="411">
        <f t="shared" si="7"/>
        <v>0</v>
      </c>
      <c r="M114" s="45"/>
    </row>
    <row r="115" spans="1:13" ht="30" customHeight="1" x14ac:dyDescent="0.2">
      <c r="A115" s="3450">
        <v>71</v>
      </c>
      <c r="B115" s="3457" t="s">
        <v>208</v>
      </c>
      <c r="C115" s="3570" t="s">
        <v>971</v>
      </c>
      <c r="D115" s="3442">
        <v>20000000</v>
      </c>
      <c r="E115" s="3444">
        <v>0.05</v>
      </c>
      <c r="F115" s="3442">
        <f t="shared" si="6"/>
        <v>1000000</v>
      </c>
      <c r="G115" s="368">
        <v>1000000</v>
      </c>
      <c r="H115" s="368" t="s">
        <v>1477</v>
      </c>
      <c r="I115" s="374" t="s">
        <v>1478</v>
      </c>
      <c r="J115" s="24" t="s">
        <v>1479</v>
      </c>
      <c r="K115" s="368">
        <f>G115</f>
        <v>1000000</v>
      </c>
      <c r="L115" s="368">
        <f t="shared" si="7"/>
        <v>0</v>
      </c>
      <c r="M115" s="927" t="s">
        <v>2388</v>
      </c>
    </row>
    <row r="116" spans="1:13" ht="30" customHeight="1" x14ac:dyDescent="0.2">
      <c r="A116" s="3451"/>
      <c r="B116" s="3458"/>
      <c r="C116" s="3571"/>
      <c r="D116" s="3443"/>
      <c r="E116" s="3445"/>
      <c r="F116" s="3443"/>
      <c r="G116" s="925">
        <v>1000000</v>
      </c>
      <c r="H116" s="925" t="s">
        <v>2572</v>
      </c>
      <c r="I116" s="932" t="s">
        <v>2573</v>
      </c>
      <c r="J116" s="24" t="s">
        <v>1479</v>
      </c>
      <c r="K116" s="925">
        <f>G116</f>
        <v>1000000</v>
      </c>
      <c r="L116" s="925">
        <f>G116-K116</f>
        <v>0</v>
      </c>
      <c r="M116" s="928" t="s">
        <v>2574</v>
      </c>
    </row>
    <row r="117" spans="1:13" ht="30" customHeight="1" x14ac:dyDescent="0.2">
      <c r="A117" s="4">
        <v>72</v>
      </c>
      <c r="B117" s="45" t="s">
        <v>1053</v>
      </c>
      <c r="C117" s="380"/>
      <c r="D117" s="366">
        <v>1000000000</v>
      </c>
      <c r="E117" s="44">
        <v>5.5E-2</v>
      </c>
      <c r="F117" s="366">
        <f t="shared" si="6"/>
        <v>55000000</v>
      </c>
      <c r="G117" s="368"/>
      <c r="H117" s="368"/>
      <c r="I117" s="376"/>
      <c r="J117" s="24"/>
      <c r="K117" s="368"/>
      <c r="L117" s="366">
        <f t="shared" si="7"/>
        <v>55000000</v>
      </c>
      <c r="M117" s="45"/>
    </row>
    <row r="118" spans="1:13" ht="30" customHeight="1" x14ac:dyDescent="0.2">
      <c r="A118" s="687">
        <v>73</v>
      </c>
      <c r="B118" s="45" t="s">
        <v>209</v>
      </c>
      <c r="C118" s="380" t="s">
        <v>1348</v>
      </c>
      <c r="D118" s="368">
        <v>20000000</v>
      </c>
      <c r="E118" s="20">
        <v>0.05</v>
      </c>
      <c r="F118" s="368">
        <f t="shared" si="6"/>
        <v>1000000</v>
      </c>
      <c r="G118" s="368">
        <v>1000000</v>
      </c>
      <c r="H118" s="368" t="s">
        <v>1431</v>
      </c>
      <c r="I118" s="374" t="s">
        <v>1439</v>
      </c>
      <c r="J118" s="24" t="s">
        <v>1440</v>
      </c>
      <c r="K118" s="368">
        <f>G118</f>
        <v>1000000</v>
      </c>
      <c r="L118" s="368">
        <f t="shared" si="7"/>
        <v>0</v>
      </c>
      <c r="M118" s="45"/>
    </row>
    <row r="119" spans="1:13" ht="30" customHeight="1" x14ac:dyDescent="0.2">
      <c r="A119" s="4">
        <v>74</v>
      </c>
      <c r="B119" s="45" t="s">
        <v>210</v>
      </c>
      <c r="C119" s="380" t="s">
        <v>916</v>
      </c>
      <c r="D119" s="368">
        <v>125000000</v>
      </c>
      <c r="E119" s="20">
        <v>0.04</v>
      </c>
      <c r="F119" s="368">
        <f t="shared" si="6"/>
        <v>5000000</v>
      </c>
      <c r="G119" s="368">
        <v>5000000</v>
      </c>
      <c r="H119" s="368" t="s">
        <v>1052</v>
      </c>
      <c r="I119" s="374" t="s">
        <v>1415</v>
      </c>
      <c r="J119" s="24" t="s">
        <v>975</v>
      </c>
      <c r="K119" s="368">
        <f>G119</f>
        <v>5000000</v>
      </c>
      <c r="L119" s="368">
        <f t="shared" si="7"/>
        <v>0</v>
      </c>
      <c r="M119" s="45"/>
    </row>
    <row r="120" spans="1:13" ht="30" customHeight="1" x14ac:dyDescent="0.2">
      <c r="A120" s="687">
        <v>75</v>
      </c>
      <c r="B120" s="45" t="s">
        <v>211</v>
      </c>
      <c r="C120" s="380"/>
      <c r="D120" s="368">
        <v>50000000</v>
      </c>
      <c r="E120" s="20">
        <v>0.05</v>
      </c>
      <c r="F120" s="368">
        <f t="shared" si="6"/>
        <v>2500000</v>
      </c>
      <c r="G120" s="368">
        <v>2500000</v>
      </c>
      <c r="H120" s="368" t="s">
        <v>1431</v>
      </c>
      <c r="I120" s="374" t="s">
        <v>1471</v>
      </c>
      <c r="J120" s="24" t="s">
        <v>977</v>
      </c>
      <c r="K120" s="368">
        <f>G120</f>
        <v>2500000</v>
      </c>
      <c r="L120" s="368">
        <f t="shared" si="7"/>
        <v>0</v>
      </c>
      <c r="M120" s="45"/>
    </row>
    <row r="121" spans="1:13" ht="30" customHeight="1" x14ac:dyDescent="0.2">
      <c r="A121" s="4">
        <v>76</v>
      </c>
      <c r="B121" s="45" t="s">
        <v>212</v>
      </c>
      <c r="C121" s="380" t="s">
        <v>1348</v>
      </c>
      <c r="D121" s="368">
        <v>100000000</v>
      </c>
      <c r="E121" s="20">
        <v>0.05</v>
      </c>
      <c r="F121" s="368">
        <f t="shared" si="6"/>
        <v>5000000</v>
      </c>
      <c r="G121" s="368">
        <v>5000000</v>
      </c>
      <c r="H121" s="368" t="s">
        <v>1566</v>
      </c>
      <c r="I121" s="374" t="s">
        <v>1630</v>
      </c>
      <c r="J121" s="24" t="s">
        <v>1631</v>
      </c>
      <c r="K121" s="368">
        <f>G121</f>
        <v>5000000</v>
      </c>
      <c r="L121" s="368">
        <f t="shared" si="7"/>
        <v>0</v>
      </c>
      <c r="M121" s="45"/>
    </row>
    <row r="122" spans="1:13" ht="30" customHeight="1" x14ac:dyDescent="0.2">
      <c r="A122" s="3450">
        <v>77</v>
      </c>
      <c r="B122" s="3457" t="s">
        <v>213</v>
      </c>
      <c r="C122" s="3570" t="s">
        <v>1816</v>
      </c>
      <c r="D122" s="368">
        <v>30000000</v>
      </c>
      <c r="E122" s="20">
        <v>7.0000000000000007E-2</v>
      </c>
      <c r="F122" s="476">
        <f t="shared" si="6"/>
        <v>2100000</v>
      </c>
      <c r="G122" s="3442">
        <v>3675000</v>
      </c>
      <c r="H122" s="3442" t="s">
        <v>1566</v>
      </c>
      <c r="I122" s="3577" t="s">
        <v>1662</v>
      </c>
      <c r="J122" s="3542" t="s">
        <v>1663</v>
      </c>
      <c r="K122" s="3442">
        <f>G122</f>
        <v>3675000</v>
      </c>
      <c r="L122" s="3442">
        <f>(F122+F123)-K122</f>
        <v>0</v>
      </c>
      <c r="M122" s="3468" t="s">
        <v>982</v>
      </c>
    </row>
    <row r="123" spans="1:13" ht="30" customHeight="1" x14ac:dyDescent="0.2">
      <c r="A123" s="3451"/>
      <c r="B123" s="3458"/>
      <c r="C123" s="3571"/>
      <c r="D123" s="368">
        <v>35000000</v>
      </c>
      <c r="E123" s="20">
        <v>4.4999999999999998E-2</v>
      </c>
      <c r="F123" s="368">
        <f t="shared" si="6"/>
        <v>1575000</v>
      </c>
      <c r="G123" s="3443"/>
      <c r="H123" s="3443"/>
      <c r="I123" s="3578"/>
      <c r="J123" s="3543"/>
      <c r="K123" s="3443"/>
      <c r="L123" s="3443"/>
      <c r="M123" s="3469"/>
    </row>
    <row r="124" spans="1:13" ht="30" customHeight="1" x14ac:dyDescent="0.2">
      <c r="A124" s="4">
        <v>78</v>
      </c>
      <c r="B124" s="45" t="s">
        <v>214</v>
      </c>
      <c r="C124" s="380"/>
      <c r="D124" s="366"/>
      <c r="E124" s="44"/>
      <c r="F124" s="366">
        <f t="shared" si="6"/>
        <v>0</v>
      </c>
      <c r="G124" s="368">
        <v>1900000</v>
      </c>
      <c r="H124" s="368" t="s">
        <v>1431</v>
      </c>
      <c r="I124" s="374" t="s">
        <v>1459</v>
      </c>
      <c r="J124" s="88" t="s">
        <v>984</v>
      </c>
      <c r="K124" s="368">
        <f t="shared" ref="K124:K130" si="9">G124</f>
        <v>1900000</v>
      </c>
      <c r="L124" s="366">
        <f t="shared" si="7"/>
        <v>-1900000</v>
      </c>
      <c r="M124" s="45"/>
    </row>
    <row r="125" spans="1:13" ht="30" customHeight="1" x14ac:dyDescent="0.2">
      <c r="A125" s="4">
        <v>79</v>
      </c>
      <c r="B125" s="45" t="s">
        <v>215</v>
      </c>
      <c r="C125" s="380" t="s">
        <v>916</v>
      </c>
      <c r="D125" s="368">
        <v>15000000</v>
      </c>
      <c r="E125" s="20">
        <v>4.4999999999999998E-2</v>
      </c>
      <c r="F125" s="368">
        <f t="shared" si="6"/>
        <v>675000</v>
      </c>
      <c r="G125" s="368">
        <v>675000</v>
      </c>
      <c r="H125" s="368" t="s">
        <v>1848</v>
      </c>
      <c r="I125" s="374" t="s">
        <v>1874</v>
      </c>
      <c r="J125" s="24" t="s">
        <v>1875</v>
      </c>
      <c r="K125" s="368">
        <f t="shared" si="9"/>
        <v>675000</v>
      </c>
      <c r="L125" s="368">
        <f t="shared" si="7"/>
        <v>0</v>
      </c>
      <c r="M125" s="45"/>
    </row>
    <row r="126" spans="1:13" ht="30" customHeight="1" x14ac:dyDescent="0.2">
      <c r="A126" s="4">
        <v>80</v>
      </c>
      <c r="B126" s="45" t="s">
        <v>185</v>
      </c>
      <c r="C126" s="380" t="s">
        <v>1348</v>
      </c>
      <c r="D126" s="390">
        <v>145000000</v>
      </c>
      <c r="E126" s="20">
        <v>4.4999999999999998E-2</v>
      </c>
      <c r="F126" s="390">
        <v>6775000</v>
      </c>
      <c r="G126" s="368">
        <v>6775000</v>
      </c>
      <c r="H126" s="368" t="s">
        <v>1052</v>
      </c>
      <c r="I126" s="374" t="s">
        <v>1403</v>
      </c>
      <c r="J126" s="377" t="s">
        <v>989</v>
      </c>
      <c r="K126" s="368">
        <f t="shared" si="9"/>
        <v>6775000</v>
      </c>
      <c r="L126" s="390">
        <f t="shared" si="7"/>
        <v>0</v>
      </c>
      <c r="M126" s="45"/>
    </row>
    <row r="127" spans="1:13" ht="30" customHeight="1" x14ac:dyDescent="0.2">
      <c r="A127" s="4">
        <v>81</v>
      </c>
      <c r="B127" s="45" t="s">
        <v>216</v>
      </c>
      <c r="C127" s="380"/>
      <c r="D127" s="366"/>
      <c r="E127" s="44"/>
      <c r="F127" s="366">
        <f t="shared" si="6"/>
        <v>0</v>
      </c>
      <c r="G127" s="368">
        <v>200000</v>
      </c>
      <c r="H127" s="368" t="s">
        <v>1431</v>
      </c>
      <c r="I127" s="374" t="s">
        <v>1434</v>
      </c>
      <c r="J127" s="24" t="s">
        <v>1435</v>
      </c>
      <c r="K127" s="368">
        <f t="shared" si="9"/>
        <v>200000</v>
      </c>
      <c r="L127" s="366">
        <f t="shared" si="7"/>
        <v>-200000</v>
      </c>
      <c r="M127" s="45"/>
    </row>
    <row r="128" spans="1:13" ht="30" customHeight="1" x14ac:dyDescent="0.2">
      <c r="A128" s="4">
        <v>82</v>
      </c>
      <c r="B128" s="45" t="s">
        <v>217</v>
      </c>
      <c r="C128" s="380"/>
      <c r="D128" s="368">
        <v>16000000</v>
      </c>
      <c r="E128" s="20">
        <v>0.05</v>
      </c>
      <c r="F128" s="368">
        <f t="shared" si="6"/>
        <v>800000</v>
      </c>
      <c r="G128" s="368">
        <v>800000</v>
      </c>
      <c r="H128" s="368" t="s">
        <v>1431</v>
      </c>
      <c r="I128" s="374" t="s">
        <v>1454</v>
      </c>
      <c r="J128" s="88" t="s">
        <v>1455</v>
      </c>
      <c r="K128" s="368">
        <f t="shared" si="9"/>
        <v>800000</v>
      </c>
      <c r="L128" s="368">
        <f t="shared" si="7"/>
        <v>0</v>
      </c>
      <c r="M128" s="45"/>
    </row>
    <row r="129" spans="1:13" ht="30" customHeight="1" x14ac:dyDescent="0.2">
      <c r="A129" s="4">
        <v>83</v>
      </c>
      <c r="B129" s="45" t="s">
        <v>218</v>
      </c>
      <c r="C129" s="380" t="s">
        <v>1110</v>
      </c>
      <c r="D129" s="368">
        <v>160000000</v>
      </c>
      <c r="E129" s="20">
        <v>0.05</v>
      </c>
      <c r="F129" s="368">
        <f>D129*E129</f>
        <v>8000000</v>
      </c>
      <c r="G129" s="368">
        <v>8000000</v>
      </c>
      <c r="H129" s="368" t="s">
        <v>1752</v>
      </c>
      <c r="I129" s="374" t="s">
        <v>1787</v>
      </c>
      <c r="J129" s="377" t="s">
        <v>1788</v>
      </c>
      <c r="K129" s="368">
        <f t="shared" si="9"/>
        <v>8000000</v>
      </c>
      <c r="L129" s="368">
        <f t="shared" si="7"/>
        <v>0</v>
      </c>
      <c r="M129" s="45"/>
    </row>
    <row r="130" spans="1:13" ht="30" customHeight="1" x14ac:dyDescent="0.2">
      <c r="A130" s="4">
        <v>84</v>
      </c>
      <c r="B130" s="45" t="s">
        <v>219</v>
      </c>
      <c r="C130" s="380"/>
      <c r="D130" s="460">
        <v>400000000</v>
      </c>
      <c r="E130" s="20">
        <v>0.06</v>
      </c>
      <c r="F130" s="460">
        <f t="shared" si="6"/>
        <v>24000000</v>
      </c>
      <c r="G130" s="368">
        <v>24000000</v>
      </c>
      <c r="H130" s="368" t="s">
        <v>1566</v>
      </c>
      <c r="I130" s="374" t="s">
        <v>1645</v>
      </c>
      <c r="J130" s="88" t="s">
        <v>1646</v>
      </c>
      <c r="K130" s="368">
        <f t="shared" si="9"/>
        <v>24000000</v>
      </c>
      <c r="L130" s="460">
        <f t="shared" si="7"/>
        <v>0</v>
      </c>
      <c r="M130" s="45"/>
    </row>
    <row r="131" spans="1:13" ht="30" customHeight="1" x14ac:dyDescent="0.2">
      <c r="A131" s="3450">
        <v>85</v>
      </c>
      <c r="B131" s="3525" t="s">
        <v>1004</v>
      </c>
      <c r="C131" s="3570" t="s">
        <v>916</v>
      </c>
      <c r="D131" s="368">
        <v>200000000</v>
      </c>
      <c r="E131" s="20">
        <v>0.06</v>
      </c>
      <c r="F131" s="368">
        <f t="shared" si="6"/>
        <v>12000000</v>
      </c>
      <c r="G131" s="399">
        <v>11000000</v>
      </c>
      <c r="H131" s="399" t="s">
        <v>1052</v>
      </c>
      <c r="I131" s="281" t="s">
        <v>1422</v>
      </c>
      <c r="J131" s="88" t="s">
        <v>1423</v>
      </c>
      <c r="K131" s="3442">
        <f>G132+G131</f>
        <v>35600000</v>
      </c>
      <c r="L131" s="3442">
        <f>(F131+F132+F133)-K131</f>
        <v>0</v>
      </c>
      <c r="M131" s="3627"/>
    </row>
    <row r="132" spans="1:13" ht="30" customHeight="1" x14ac:dyDescent="0.2">
      <c r="A132" s="3456"/>
      <c r="B132" s="3643"/>
      <c r="C132" s="3576"/>
      <c r="D132" s="368">
        <v>458000000</v>
      </c>
      <c r="E132" s="20">
        <v>0.05</v>
      </c>
      <c r="F132" s="368">
        <f t="shared" si="6"/>
        <v>22900000</v>
      </c>
      <c r="G132" s="3461">
        <v>24600000</v>
      </c>
      <c r="H132" s="3461" t="s">
        <v>1052</v>
      </c>
      <c r="I132" s="3662" t="s">
        <v>1425</v>
      </c>
      <c r="J132" s="3590" t="s">
        <v>1426</v>
      </c>
      <c r="K132" s="3461"/>
      <c r="L132" s="3461"/>
      <c r="M132" s="3668"/>
    </row>
    <row r="133" spans="1:13" ht="30" customHeight="1" x14ac:dyDescent="0.2">
      <c r="A133" s="3456"/>
      <c r="B133" s="3643"/>
      <c r="C133" s="3576"/>
      <c r="D133" s="368">
        <v>10000000</v>
      </c>
      <c r="E133" s="20">
        <v>7.0000000000000007E-2</v>
      </c>
      <c r="F133" s="368">
        <f t="shared" si="6"/>
        <v>700000.00000000012</v>
      </c>
      <c r="G133" s="3443"/>
      <c r="H133" s="3443"/>
      <c r="I133" s="3594"/>
      <c r="J133" s="3591"/>
      <c r="K133" s="3443"/>
      <c r="L133" s="3443"/>
      <c r="M133" s="3628"/>
    </row>
    <row r="134" spans="1:13" ht="30" customHeight="1" x14ac:dyDescent="0.2">
      <c r="A134" s="3456"/>
      <c r="B134" s="3643"/>
      <c r="C134" s="3576"/>
      <c r="D134" s="1001">
        <v>42000000</v>
      </c>
      <c r="E134" s="1007">
        <v>7.0000000000000007E-2</v>
      </c>
      <c r="F134" s="1001">
        <f t="shared" si="6"/>
        <v>2940000.0000000005</v>
      </c>
      <c r="G134" s="3610" t="s">
        <v>1850</v>
      </c>
      <c r="H134" s="3611"/>
      <c r="I134" s="3611"/>
      <c r="J134" s="3611"/>
      <c r="K134" s="3612"/>
      <c r="L134" s="1001"/>
      <c r="M134" s="1008"/>
    </row>
    <row r="135" spans="1:13" ht="30" customHeight="1" x14ac:dyDescent="0.2">
      <c r="A135" s="3451"/>
      <c r="B135" s="3526"/>
      <c r="C135" s="3571"/>
      <c r="D135" s="1001">
        <f>SUM(D131:D134)</f>
        <v>710000000</v>
      </c>
      <c r="E135" s="1007"/>
      <c r="F135" s="1002">
        <v>42600000</v>
      </c>
      <c r="G135" s="1001"/>
      <c r="H135" s="1001"/>
      <c r="I135" s="1005"/>
      <c r="J135" s="1006"/>
      <c r="K135" s="1001"/>
      <c r="L135" s="1001"/>
      <c r="M135" s="1008"/>
    </row>
    <row r="136" spans="1:13" ht="30" customHeight="1" x14ac:dyDescent="0.2">
      <c r="A136" s="4">
        <v>86</v>
      </c>
      <c r="B136" s="45" t="s">
        <v>220</v>
      </c>
      <c r="C136" s="380"/>
      <c r="D136" s="1605">
        <v>100000000</v>
      </c>
      <c r="E136" s="1608">
        <v>0.05</v>
      </c>
      <c r="F136" s="1605">
        <f t="shared" si="6"/>
        <v>5000000</v>
      </c>
      <c r="G136" s="3325" t="s">
        <v>3532</v>
      </c>
      <c r="H136" s="3340"/>
      <c r="I136" s="3340"/>
      <c r="J136" s="3340"/>
      <c r="K136" s="3341"/>
      <c r="L136" s="1605">
        <f t="shared" si="7"/>
        <v>5000000</v>
      </c>
      <c r="M136" s="45"/>
    </row>
    <row r="137" spans="1:13" ht="30" customHeight="1" x14ac:dyDescent="0.2">
      <c r="A137" s="3450">
        <v>87</v>
      </c>
      <c r="B137" s="3457" t="s">
        <v>177</v>
      </c>
      <c r="C137" s="3570"/>
      <c r="D137" s="3442">
        <v>500000000</v>
      </c>
      <c r="E137" s="3444">
        <v>6.4000000000000001E-2</v>
      </c>
      <c r="F137" s="3442">
        <v>31800000</v>
      </c>
      <c r="G137" s="368">
        <v>17800000</v>
      </c>
      <c r="H137" s="368" t="s">
        <v>1431</v>
      </c>
      <c r="I137" s="420" t="s">
        <v>1468</v>
      </c>
      <c r="J137" s="88" t="s">
        <v>1469</v>
      </c>
      <c r="K137" s="3442">
        <f>G138+G137</f>
        <v>31800000</v>
      </c>
      <c r="L137" s="3442">
        <f>(F138+F137)-K137</f>
        <v>0</v>
      </c>
      <c r="M137" s="3570"/>
    </row>
    <row r="138" spans="1:13" ht="30" customHeight="1" x14ac:dyDescent="0.2">
      <c r="A138" s="3456"/>
      <c r="B138" s="3459"/>
      <c r="C138" s="3576"/>
      <c r="D138" s="3443"/>
      <c r="E138" s="3445"/>
      <c r="F138" s="3443"/>
      <c r="G138" s="368">
        <v>14000000</v>
      </c>
      <c r="H138" s="368" t="s">
        <v>1431</v>
      </c>
      <c r="I138" s="36" t="s">
        <v>1449</v>
      </c>
      <c r="J138" s="122" t="s">
        <v>1003</v>
      </c>
      <c r="K138" s="3443"/>
      <c r="L138" s="3443"/>
      <c r="M138" s="3576"/>
    </row>
    <row r="139" spans="1:13" ht="30" customHeight="1" x14ac:dyDescent="0.2">
      <c r="A139" s="3456"/>
      <c r="B139" s="3459"/>
      <c r="C139" s="3576"/>
      <c r="D139" s="860">
        <v>703000000</v>
      </c>
      <c r="E139" s="3688" t="s">
        <v>2488</v>
      </c>
      <c r="F139" s="3689"/>
      <c r="G139" s="3689"/>
      <c r="H139" s="3689"/>
      <c r="I139" s="3689"/>
      <c r="J139" s="3689"/>
      <c r="K139" s="3690"/>
      <c r="L139" s="860"/>
      <c r="M139" s="3576"/>
    </row>
    <row r="140" spans="1:13" ht="30" customHeight="1" x14ac:dyDescent="0.2">
      <c r="A140" s="3456"/>
      <c r="B140" s="3459"/>
      <c r="C140" s="3576"/>
      <c r="D140" s="860">
        <v>723000000</v>
      </c>
      <c r="E140" s="3688" t="s">
        <v>2489</v>
      </c>
      <c r="F140" s="3689"/>
      <c r="G140" s="3689"/>
      <c r="H140" s="3689"/>
      <c r="I140" s="3689"/>
      <c r="J140" s="3689"/>
      <c r="K140" s="3690"/>
      <c r="L140" s="860"/>
      <c r="M140" s="3576"/>
    </row>
    <row r="141" spans="1:13" ht="30" customHeight="1" x14ac:dyDescent="0.2">
      <c r="A141" s="3451"/>
      <c r="B141" s="3458"/>
      <c r="C141" s="3571"/>
      <c r="D141" s="860">
        <v>723000000</v>
      </c>
      <c r="E141" s="3640" t="s">
        <v>2490</v>
      </c>
      <c r="F141" s="3641"/>
      <c r="G141" s="3641"/>
      <c r="H141" s="3641"/>
      <c r="I141" s="3641"/>
      <c r="J141" s="3641"/>
      <c r="K141" s="3642"/>
      <c r="L141" s="860"/>
      <c r="M141" s="3571"/>
    </row>
    <row r="142" spans="1:13" ht="30" customHeight="1" x14ac:dyDescent="0.2">
      <c r="A142" s="4">
        <v>88</v>
      </c>
      <c r="B142" s="45" t="s">
        <v>221</v>
      </c>
      <c r="C142" s="380" t="s">
        <v>1350</v>
      </c>
      <c r="D142" s="368">
        <v>45000000</v>
      </c>
      <c r="E142" s="20">
        <v>0.04</v>
      </c>
      <c r="F142" s="368">
        <v>2050000</v>
      </c>
      <c r="G142" s="368">
        <v>2050000</v>
      </c>
      <c r="H142" s="368" t="s">
        <v>1566</v>
      </c>
      <c r="I142" s="374" t="s">
        <v>1632</v>
      </c>
      <c r="J142" s="21" t="s">
        <v>779</v>
      </c>
      <c r="K142" s="368">
        <f>G142</f>
        <v>2050000</v>
      </c>
      <c r="L142" s="368">
        <f t="shared" si="7"/>
        <v>0</v>
      </c>
      <c r="M142" s="45"/>
    </row>
    <row r="143" spans="1:13" ht="30" customHeight="1" x14ac:dyDescent="0.2">
      <c r="A143" s="3450">
        <v>89</v>
      </c>
      <c r="B143" s="3457" t="s">
        <v>222</v>
      </c>
      <c r="C143" s="3570" t="s">
        <v>1348</v>
      </c>
      <c r="D143" s="473">
        <v>93000000</v>
      </c>
      <c r="E143" s="20">
        <v>7.0000000000000007E-2</v>
      </c>
      <c r="F143" s="473">
        <v>6500000</v>
      </c>
      <c r="G143" s="3442">
        <v>22500000</v>
      </c>
      <c r="H143" s="3442" t="s">
        <v>1431</v>
      </c>
      <c r="I143" s="3684" t="s">
        <v>1467</v>
      </c>
      <c r="J143" s="3542" t="s">
        <v>781</v>
      </c>
      <c r="K143" s="3442">
        <f>G143</f>
        <v>22500000</v>
      </c>
      <c r="L143" s="3442">
        <f>(F143+F144)-K143</f>
        <v>0</v>
      </c>
      <c r="M143" s="3525"/>
    </row>
    <row r="144" spans="1:13" ht="30" customHeight="1" x14ac:dyDescent="0.2">
      <c r="A144" s="3451"/>
      <c r="B144" s="3458"/>
      <c r="C144" s="3571"/>
      <c r="D144" s="460">
        <v>350000000</v>
      </c>
      <c r="E144" s="20">
        <v>4.4999999999999998E-2</v>
      </c>
      <c r="F144" s="473">
        <v>16000000</v>
      </c>
      <c r="G144" s="3443"/>
      <c r="H144" s="3443"/>
      <c r="I144" s="3685"/>
      <c r="J144" s="3543"/>
      <c r="K144" s="3443"/>
      <c r="L144" s="3443"/>
      <c r="M144" s="3526"/>
    </row>
    <row r="145" spans="1:13" ht="30" customHeight="1" x14ac:dyDescent="0.2">
      <c r="A145" s="3450">
        <v>90</v>
      </c>
      <c r="B145" s="3457" t="s">
        <v>223</v>
      </c>
      <c r="C145" s="3570" t="s">
        <v>1215</v>
      </c>
      <c r="D145" s="368">
        <v>130000000</v>
      </c>
      <c r="E145" s="20">
        <v>7.0000000000000007E-2</v>
      </c>
      <c r="F145" s="368">
        <f>D145*E145</f>
        <v>9100000</v>
      </c>
      <c r="G145" s="3442">
        <v>14460000</v>
      </c>
      <c r="H145" s="3442" t="s">
        <v>1848</v>
      </c>
      <c r="I145" s="3593" t="s">
        <v>1920</v>
      </c>
      <c r="J145" s="3452" t="s">
        <v>1921</v>
      </c>
      <c r="K145" s="3442">
        <f>G145</f>
        <v>14460000</v>
      </c>
      <c r="L145" s="3442">
        <f>(F145+F146)-K145</f>
        <v>0</v>
      </c>
      <c r="M145" s="3525"/>
    </row>
    <row r="146" spans="1:13" ht="30" customHeight="1" x14ac:dyDescent="0.2">
      <c r="A146" s="3451"/>
      <c r="B146" s="3458"/>
      <c r="C146" s="3571"/>
      <c r="D146" s="368">
        <v>100000000</v>
      </c>
      <c r="E146" s="20">
        <v>5.3999999999999999E-2</v>
      </c>
      <c r="F146" s="368">
        <v>5360000</v>
      </c>
      <c r="G146" s="3443"/>
      <c r="H146" s="3443"/>
      <c r="I146" s="3594"/>
      <c r="J146" s="3453"/>
      <c r="K146" s="3443"/>
      <c r="L146" s="3443"/>
      <c r="M146" s="3526"/>
    </row>
    <row r="147" spans="1:13" ht="30" customHeight="1" x14ac:dyDescent="0.2">
      <c r="A147" s="4">
        <v>91</v>
      </c>
      <c r="B147" s="45" t="s">
        <v>224</v>
      </c>
      <c r="C147" s="380"/>
      <c r="D147" s="368">
        <v>50000000</v>
      </c>
      <c r="E147" s="20">
        <v>0.04</v>
      </c>
      <c r="F147" s="368">
        <f t="shared" si="6"/>
        <v>2000000</v>
      </c>
      <c r="G147" s="368">
        <v>2000000</v>
      </c>
      <c r="H147" s="368" t="s">
        <v>1566</v>
      </c>
      <c r="I147" s="374" t="s">
        <v>1664</v>
      </c>
      <c r="J147" s="21" t="s">
        <v>1665</v>
      </c>
      <c r="K147" s="368">
        <f>G147</f>
        <v>2000000</v>
      </c>
      <c r="L147" s="368">
        <f t="shared" si="7"/>
        <v>0</v>
      </c>
      <c r="M147" s="45"/>
    </row>
    <row r="148" spans="1:13" ht="30" customHeight="1" x14ac:dyDescent="0.2">
      <c r="A148" s="3450">
        <v>92</v>
      </c>
      <c r="B148" s="3687" t="s">
        <v>770</v>
      </c>
      <c r="C148" s="697" t="s">
        <v>916</v>
      </c>
      <c r="D148" s="478">
        <v>445000000</v>
      </c>
      <c r="E148" s="20">
        <v>5.5E-2</v>
      </c>
      <c r="F148" s="478">
        <v>24150000</v>
      </c>
      <c r="G148" s="478">
        <v>24150000</v>
      </c>
      <c r="H148" s="478" t="s">
        <v>1566</v>
      </c>
      <c r="I148" s="423" t="s">
        <v>1670</v>
      </c>
      <c r="J148" s="37" t="s">
        <v>826</v>
      </c>
      <c r="K148" s="478">
        <f>G148</f>
        <v>24150000</v>
      </c>
      <c r="L148" s="478">
        <f t="shared" si="7"/>
        <v>0</v>
      </c>
      <c r="M148" s="3457" t="s">
        <v>2148</v>
      </c>
    </row>
    <row r="149" spans="1:13" ht="30" customHeight="1" x14ac:dyDescent="0.2">
      <c r="A149" s="3451"/>
      <c r="B149" s="3687"/>
      <c r="C149" s="697" t="s">
        <v>1342</v>
      </c>
      <c r="D149" s="692">
        <v>273000000</v>
      </c>
      <c r="E149" s="691">
        <f>F149/D149</f>
        <v>5.4615384615384614E-2</v>
      </c>
      <c r="F149" s="692">
        <v>14910000</v>
      </c>
      <c r="G149" s="692">
        <v>14910000</v>
      </c>
      <c r="H149" s="692" t="s">
        <v>2180</v>
      </c>
      <c r="I149" s="695" t="s">
        <v>2188</v>
      </c>
      <c r="J149" s="24" t="s">
        <v>712</v>
      </c>
      <c r="K149" s="692">
        <f>G149</f>
        <v>14910000</v>
      </c>
      <c r="L149" s="692">
        <f>G149-K149</f>
        <v>0</v>
      </c>
      <c r="M149" s="3458"/>
    </row>
    <row r="150" spans="1:13" ht="30" customHeight="1" x14ac:dyDescent="0.2">
      <c r="A150" s="3450">
        <v>93</v>
      </c>
      <c r="B150" s="3459" t="s">
        <v>225</v>
      </c>
      <c r="C150" s="3576"/>
      <c r="D150" s="368">
        <v>300000000</v>
      </c>
      <c r="E150" s="393">
        <v>5.5E-2</v>
      </c>
      <c r="F150" s="368">
        <f t="shared" si="6"/>
        <v>16500000</v>
      </c>
      <c r="G150" s="368"/>
      <c r="H150" s="368"/>
      <c r="I150" s="374"/>
      <c r="J150" s="24"/>
      <c r="K150" s="368"/>
      <c r="L150" s="368">
        <f t="shared" si="7"/>
        <v>16500000</v>
      </c>
      <c r="M150" s="45"/>
    </row>
    <row r="151" spans="1:13" ht="30" customHeight="1" x14ac:dyDescent="0.2">
      <c r="A151" s="3451"/>
      <c r="B151" s="3458"/>
      <c r="C151" s="3571"/>
      <c r="D151" s="411">
        <v>300000000</v>
      </c>
      <c r="E151" s="20">
        <v>5.5E-2</v>
      </c>
      <c r="F151" s="411">
        <v>16500000</v>
      </c>
      <c r="G151" s="411"/>
      <c r="H151" s="411"/>
      <c r="I151" s="420"/>
      <c r="J151" s="24"/>
      <c r="K151" s="411"/>
      <c r="L151" s="411">
        <f t="shared" si="7"/>
        <v>16500000</v>
      </c>
      <c r="M151" s="45"/>
    </row>
    <row r="152" spans="1:13" ht="30" customHeight="1" x14ac:dyDescent="0.2">
      <c r="A152" s="4">
        <v>94</v>
      </c>
      <c r="B152" s="45" t="s">
        <v>1182</v>
      </c>
      <c r="C152" s="380"/>
      <c r="D152" s="368">
        <v>25000000</v>
      </c>
      <c r="E152" s="20">
        <v>0.04</v>
      </c>
      <c r="F152" s="411">
        <f>D152*E152</f>
        <v>1000000</v>
      </c>
      <c r="G152" s="368">
        <v>1400000</v>
      </c>
      <c r="H152" s="368" t="s">
        <v>1431</v>
      </c>
      <c r="I152" s="374" t="s">
        <v>1466</v>
      </c>
      <c r="J152" s="24" t="s">
        <v>1184</v>
      </c>
      <c r="K152" s="368">
        <f>G152</f>
        <v>1400000</v>
      </c>
      <c r="L152" s="411">
        <f>F152-K152</f>
        <v>-400000</v>
      </c>
      <c r="M152" s="45" t="s">
        <v>1514</v>
      </c>
    </row>
    <row r="153" spans="1:13" ht="30" customHeight="1" x14ac:dyDescent="0.2">
      <c r="A153" s="4">
        <v>95</v>
      </c>
      <c r="B153" s="45" t="s">
        <v>226</v>
      </c>
      <c r="C153" s="380"/>
      <c r="D153" s="1020">
        <v>350000000</v>
      </c>
      <c r="E153" s="1048">
        <v>0.05</v>
      </c>
      <c r="F153" s="1020">
        <f t="shared" si="6"/>
        <v>17500000</v>
      </c>
      <c r="G153" s="1020">
        <v>25300000</v>
      </c>
      <c r="H153" s="1020" t="s">
        <v>1566</v>
      </c>
      <c r="I153" s="1036" t="s">
        <v>1673</v>
      </c>
      <c r="J153" s="24" t="s">
        <v>1674</v>
      </c>
      <c r="K153" s="1020">
        <f>G153</f>
        <v>25300000</v>
      </c>
      <c r="L153" s="1020">
        <f t="shared" si="7"/>
        <v>-7800000</v>
      </c>
      <c r="M153" s="45" t="s">
        <v>1672</v>
      </c>
    </row>
    <row r="154" spans="1:13" ht="30" customHeight="1" x14ac:dyDescent="0.2">
      <c r="A154" s="4">
        <v>96</v>
      </c>
      <c r="B154" s="45" t="s">
        <v>227</v>
      </c>
      <c r="C154" s="380"/>
      <c r="D154" s="368">
        <v>70000000</v>
      </c>
      <c r="E154" s="20">
        <v>0.05</v>
      </c>
      <c r="F154" s="368">
        <f t="shared" si="6"/>
        <v>3500000</v>
      </c>
      <c r="G154" s="368">
        <v>3500000</v>
      </c>
      <c r="H154" s="368" t="s">
        <v>1477</v>
      </c>
      <c r="I154" s="374" t="s">
        <v>1511</v>
      </c>
      <c r="J154" s="377" t="s">
        <v>1512</v>
      </c>
      <c r="K154" s="368">
        <f>F154</f>
        <v>3500000</v>
      </c>
      <c r="L154" s="368">
        <f t="shared" si="7"/>
        <v>0</v>
      </c>
      <c r="M154" s="45"/>
    </row>
    <row r="155" spans="1:13" ht="30" customHeight="1" x14ac:dyDescent="0.2">
      <c r="A155" s="4">
        <v>97</v>
      </c>
      <c r="B155" s="45" t="s">
        <v>228</v>
      </c>
      <c r="C155" s="380"/>
      <c r="D155" s="368">
        <v>100000000</v>
      </c>
      <c r="E155" s="20">
        <v>0.04</v>
      </c>
      <c r="F155" s="368">
        <f t="shared" si="6"/>
        <v>4000000</v>
      </c>
      <c r="G155" s="368"/>
      <c r="H155" s="368"/>
      <c r="I155" s="374"/>
      <c r="J155" s="24"/>
      <c r="K155" s="368"/>
      <c r="L155" s="368">
        <f t="shared" si="7"/>
        <v>4000000</v>
      </c>
      <c r="M155" s="45"/>
    </row>
    <row r="156" spans="1:13" ht="30" customHeight="1" x14ac:dyDescent="0.2">
      <c r="A156" s="4">
        <v>98</v>
      </c>
      <c r="B156" s="45" t="s">
        <v>229</v>
      </c>
      <c r="C156" s="380"/>
      <c r="D156" s="368">
        <v>20000000</v>
      </c>
      <c r="E156" s="20">
        <v>0.05</v>
      </c>
      <c r="F156" s="368">
        <f t="shared" si="6"/>
        <v>1000000</v>
      </c>
      <c r="G156" s="368">
        <v>1000000</v>
      </c>
      <c r="H156" s="368" t="s">
        <v>1800</v>
      </c>
      <c r="I156" s="374" t="s">
        <v>1807</v>
      </c>
      <c r="J156" s="377" t="s">
        <v>812</v>
      </c>
      <c r="K156" s="368">
        <f>G156</f>
        <v>1000000</v>
      </c>
      <c r="L156" s="368">
        <f t="shared" si="7"/>
        <v>0</v>
      </c>
      <c r="M156" s="45"/>
    </row>
    <row r="157" spans="1:13" ht="30" customHeight="1" x14ac:dyDescent="0.2">
      <c r="A157" s="4">
        <v>99</v>
      </c>
      <c r="B157" s="45" t="s">
        <v>230</v>
      </c>
      <c r="C157" s="380" t="s">
        <v>1352</v>
      </c>
      <c r="D157" s="368">
        <v>100000000</v>
      </c>
      <c r="E157" s="20">
        <v>0.04</v>
      </c>
      <c r="F157" s="368">
        <f t="shared" si="6"/>
        <v>4000000</v>
      </c>
      <c r="G157" s="368">
        <v>4000000</v>
      </c>
      <c r="H157" s="368" t="s">
        <v>1052</v>
      </c>
      <c r="I157" s="374" t="s">
        <v>1424</v>
      </c>
      <c r="J157" s="88" t="s">
        <v>814</v>
      </c>
      <c r="K157" s="368">
        <f>G157</f>
        <v>4000000</v>
      </c>
      <c r="L157" s="368">
        <f t="shared" si="7"/>
        <v>0</v>
      </c>
      <c r="M157" s="45"/>
    </row>
    <row r="158" spans="1:13" ht="30" customHeight="1" x14ac:dyDescent="0.2">
      <c r="A158" s="4">
        <v>100</v>
      </c>
      <c r="B158" s="45" t="s">
        <v>231</v>
      </c>
      <c r="C158" s="380"/>
      <c r="D158" s="366"/>
      <c r="E158" s="44"/>
      <c r="F158" s="366">
        <f t="shared" si="6"/>
        <v>0</v>
      </c>
      <c r="G158" s="368">
        <v>5100000</v>
      </c>
      <c r="H158" s="368" t="s">
        <v>1566</v>
      </c>
      <c r="I158" s="374" t="s">
        <v>1678</v>
      </c>
      <c r="J158" s="24" t="s">
        <v>791</v>
      </c>
      <c r="K158" s="368">
        <f>G158</f>
        <v>5100000</v>
      </c>
      <c r="L158" s="366">
        <f t="shared" si="7"/>
        <v>-5100000</v>
      </c>
      <c r="M158" s="45"/>
    </row>
    <row r="159" spans="1:13" ht="30" customHeight="1" x14ac:dyDescent="0.2">
      <c r="A159" s="4">
        <v>101</v>
      </c>
      <c r="B159" s="45" t="s">
        <v>180</v>
      </c>
      <c r="C159" s="380" t="s">
        <v>1110</v>
      </c>
      <c r="D159" s="368">
        <v>80000000</v>
      </c>
      <c r="E159" s="20">
        <v>0.05</v>
      </c>
      <c r="F159" s="368">
        <f t="shared" si="6"/>
        <v>4000000</v>
      </c>
      <c r="G159" s="368">
        <v>4000000</v>
      </c>
      <c r="H159" s="368" t="s">
        <v>926</v>
      </c>
      <c r="I159" s="374" t="s">
        <v>1393</v>
      </c>
      <c r="J159" s="399" t="s">
        <v>816</v>
      </c>
      <c r="K159" s="368">
        <f>G159</f>
        <v>4000000</v>
      </c>
      <c r="L159" s="368">
        <f t="shared" si="7"/>
        <v>0</v>
      </c>
      <c r="M159" s="45"/>
    </row>
    <row r="160" spans="1:13" ht="30" customHeight="1" x14ac:dyDescent="0.2">
      <c r="A160" s="3450">
        <v>102</v>
      </c>
      <c r="B160" s="3457" t="s">
        <v>232</v>
      </c>
      <c r="C160" s="3570"/>
      <c r="D160" s="368">
        <v>30000000</v>
      </c>
      <c r="E160" s="20">
        <v>0.05</v>
      </c>
      <c r="F160" s="368">
        <f t="shared" si="6"/>
        <v>1500000</v>
      </c>
      <c r="G160" s="368">
        <v>1500000</v>
      </c>
      <c r="H160" s="368" t="s">
        <v>2198</v>
      </c>
      <c r="I160" s="374" t="s">
        <v>2211</v>
      </c>
      <c r="J160" s="30" t="s">
        <v>2212</v>
      </c>
      <c r="K160" s="368">
        <f>G160</f>
        <v>1500000</v>
      </c>
      <c r="L160" s="714">
        <f>F160-K160</f>
        <v>0</v>
      </c>
      <c r="M160" s="3525"/>
    </row>
    <row r="161" spans="1:13" ht="30" customHeight="1" x14ac:dyDescent="0.2">
      <c r="A161" s="3451"/>
      <c r="B161" s="3458"/>
      <c r="C161" s="3571"/>
      <c r="D161" s="368">
        <v>30000000</v>
      </c>
      <c r="E161" s="20">
        <v>4.4999999999999998E-2</v>
      </c>
      <c r="F161" s="368">
        <f t="shared" si="6"/>
        <v>1350000</v>
      </c>
      <c r="G161" s="368"/>
      <c r="H161" s="368"/>
      <c r="I161" s="374"/>
      <c r="J161" s="30"/>
      <c r="K161" s="368"/>
      <c r="L161" s="366">
        <f t="shared" si="7"/>
        <v>1350000</v>
      </c>
      <c r="M161" s="3526"/>
    </row>
    <row r="162" spans="1:13" ht="30" customHeight="1" x14ac:dyDescent="0.2">
      <c r="A162" s="4">
        <v>103</v>
      </c>
      <c r="B162" s="45" t="s">
        <v>233</v>
      </c>
      <c r="C162" s="380" t="s">
        <v>1215</v>
      </c>
      <c r="D162" s="368">
        <v>17000000</v>
      </c>
      <c r="E162" s="20">
        <v>5.5E-2</v>
      </c>
      <c r="F162" s="368">
        <v>950000</v>
      </c>
      <c r="G162" s="368">
        <v>950000</v>
      </c>
      <c r="H162" s="368" t="s">
        <v>1566</v>
      </c>
      <c r="I162" s="374" t="s">
        <v>1643</v>
      </c>
      <c r="J162" s="21" t="s">
        <v>1644</v>
      </c>
      <c r="K162" s="368">
        <f>G162</f>
        <v>950000</v>
      </c>
      <c r="L162" s="368">
        <f t="shared" si="7"/>
        <v>0</v>
      </c>
      <c r="M162" s="45"/>
    </row>
    <row r="163" spans="1:13" ht="30" customHeight="1" x14ac:dyDescent="0.2">
      <c r="A163" s="4">
        <v>104</v>
      </c>
      <c r="B163" s="45" t="s">
        <v>234</v>
      </c>
      <c r="C163" s="380"/>
      <c r="D163" s="368">
        <v>20000000</v>
      </c>
      <c r="E163" s="20">
        <v>0.05</v>
      </c>
      <c r="F163" s="368">
        <f t="shared" si="6"/>
        <v>1000000</v>
      </c>
      <c r="G163" s="368">
        <v>1000000</v>
      </c>
      <c r="H163" s="368" t="s">
        <v>1566</v>
      </c>
      <c r="I163" s="374" t="s">
        <v>1637</v>
      </c>
      <c r="J163" s="24" t="s">
        <v>1638</v>
      </c>
      <c r="K163" s="368">
        <f>G163</f>
        <v>1000000</v>
      </c>
      <c r="L163" s="368">
        <f t="shared" si="7"/>
        <v>0</v>
      </c>
      <c r="M163" s="45"/>
    </row>
    <row r="164" spans="1:13" ht="30" customHeight="1" x14ac:dyDescent="0.2">
      <c r="A164" s="4">
        <v>105</v>
      </c>
      <c r="B164" s="45" t="s">
        <v>235</v>
      </c>
      <c r="C164" s="380"/>
      <c r="D164" s="366"/>
      <c r="E164" s="44"/>
      <c r="F164" s="366">
        <f t="shared" ref="F164:F252" si="10">D164*E164</f>
        <v>0</v>
      </c>
      <c r="G164" s="368">
        <v>1900000</v>
      </c>
      <c r="H164" s="368" t="s">
        <v>1687</v>
      </c>
      <c r="I164" s="374" t="s">
        <v>1698</v>
      </c>
      <c r="J164" s="24" t="s">
        <v>795</v>
      </c>
      <c r="K164" s="368">
        <f>G164</f>
        <v>1900000</v>
      </c>
      <c r="L164" s="366">
        <f t="shared" si="7"/>
        <v>-1900000</v>
      </c>
      <c r="M164" s="45"/>
    </row>
    <row r="165" spans="1:13" ht="30" customHeight="1" x14ac:dyDescent="0.2">
      <c r="A165" s="4">
        <v>106</v>
      </c>
      <c r="B165" s="45" t="s">
        <v>236</v>
      </c>
      <c r="C165" s="380"/>
      <c r="D165" s="368">
        <v>100000000</v>
      </c>
      <c r="E165" s="20">
        <v>0.04</v>
      </c>
      <c r="F165" s="368">
        <f t="shared" si="10"/>
        <v>4000000</v>
      </c>
      <c r="G165" s="368">
        <v>4000000</v>
      </c>
      <c r="H165" s="368" t="s">
        <v>1687</v>
      </c>
      <c r="I165" s="374" t="s">
        <v>1694</v>
      </c>
      <c r="J165" s="377" t="s">
        <v>797</v>
      </c>
      <c r="K165" s="368">
        <f>F165</f>
        <v>4000000</v>
      </c>
      <c r="L165" s="368">
        <f t="shared" ref="L165:L253" si="11">F165-K165</f>
        <v>0</v>
      </c>
      <c r="M165" s="45"/>
    </row>
    <row r="166" spans="1:13" ht="30" customHeight="1" x14ac:dyDescent="0.2">
      <c r="A166" s="4">
        <v>107</v>
      </c>
      <c r="B166" s="45" t="s">
        <v>237</v>
      </c>
      <c r="C166" s="380"/>
      <c r="D166" s="368">
        <v>65000000</v>
      </c>
      <c r="E166" s="20">
        <v>3.4000000000000002E-2</v>
      </c>
      <c r="F166" s="368">
        <v>2200000</v>
      </c>
      <c r="G166" s="368">
        <v>2200000</v>
      </c>
      <c r="H166" s="368" t="s">
        <v>1752</v>
      </c>
      <c r="I166" s="374" t="s">
        <v>1782</v>
      </c>
      <c r="J166" s="377" t="s">
        <v>1783</v>
      </c>
      <c r="K166" s="368">
        <f t="shared" ref="K166:K171" si="12">G166</f>
        <v>2200000</v>
      </c>
      <c r="L166" s="368">
        <f t="shared" si="11"/>
        <v>0</v>
      </c>
      <c r="M166" s="45"/>
    </row>
    <row r="167" spans="1:13" ht="30" customHeight="1" x14ac:dyDescent="0.2">
      <c r="A167" s="4">
        <v>108</v>
      </c>
      <c r="B167" s="45" t="s">
        <v>238</v>
      </c>
      <c r="C167" s="380"/>
      <c r="D167" s="366"/>
      <c r="E167" s="44"/>
      <c r="F167" s="366">
        <f t="shared" si="10"/>
        <v>0</v>
      </c>
      <c r="G167" s="368">
        <v>46800000</v>
      </c>
      <c r="H167" s="368" t="s">
        <v>1566</v>
      </c>
      <c r="I167" s="374" t="s">
        <v>1762</v>
      </c>
      <c r="J167" s="24" t="s">
        <v>1763</v>
      </c>
      <c r="K167" s="368">
        <f t="shared" si="12"/>
        <v>46800000</v>
      </c>
      <c r="L167" s="366">
        <f t="shared" si="11"/>
        <v>-46800000</v>
      </c>
      <c r="M167" s="45"/>
    </row>
    <row r="168" spans="1:13" ht="30" customHeight="1" x14ac:dyDescent="0.2">
      <c r="A168" s="4">
        <v>109</v>
      </c>
      <c r="B168" s="45" t="s">
        <v>239</v>
      </c>
      <c r="C168" s="380"/>
      <c r="D168" s="368">
        <v>1000000000</v>
      </c>
      <c r="E168" s="20">
        <v>0.05</v>
      </c>
      <c r="F168" s="368">
        <f t="shared" si="10"/>
        <v>50000000</v>
      </c>
      <c r="G168" s="368">
        <v>50000000</v>
      </c>
      <c r="H168" s="368" t="s">
        <v>1566</v>
      </c>
      <c r="I168" s="374" t="s">
        <v>1650</v>
      </c>
      <c r="J168" s="24" t="s">
        <v>801</v>
      </c>
      <c r="K168" s="368">
        <f t="shared" si="12"/>
        <v>50000000</v>
      </c>
      <c r="L168" s="368">
        <f t="shared" si="11"/>
        <v>0</v>
      </c>
      <c r="M168" s="45"/>
    </row>
    <row r="169" spans="1:13" ht="30" customHeight="1" x14ac:dyDescent="0.2">
      <c r="A169" s="4">
        <v>110</v>
      </c>
      <c r="B169" s="188" t="s">
        <v>1960</v>
      </c>
      <c r="C169" s="576" t="s">
        <v>1347</v>
      </c>
      <c r="D169" s="368">
        <v>14000000</v>
      </c>
      <c r="E169" s="20">
        <v>4.2999999999999997E-2</v>
      </c>
      <c r="F169" s="368">
        <v>600000</v>
      </c>
      <c r="G169" s="594">
        <v>601000</v>
      </c>
      <c r="H169" s="368" t="s">
        <v>1894</v>
      </c>
      <c r="I169" s="374" t="s">
        <v>1973</v>
      </c>
      <c r="J169" s="24" t="s">
        <v>1972</v>
      </c>
      <c r="K169" s="601">
        <f t="shared" si="12"/>
        <v>601000</v>
      </c>
      <c r="L169" s="601">
        <f>F169-K169</f>
        <v>-1000</v>
      </c>
      <c r="M169" s="22"/>
    </row>
    <row r="170" spans="1:13" ht="30" customHeight="1" x14ac:dyDescent="0.2">
      <c r="A170" s="4">
        <v>111</v>
      </c>
      <c r="B170" s="188" t="s">
        <v>240</v>
      </c>
      <c r="C170" s="576" t="s">
        <v>1347</v>
      </c>
      <c r="D170" s="368">
        <v>20000000</v>
      </c>
      <c r="E170" s="20">
        <v>4.4999999999999998E-2</v>
      </c>
      <c r="F170" s="368">
        <f>D170*E170</f>
        <v>900000</v>
      </c>
      <c r="G170" s="460">
        <v>900000</v>
      </c>
      <c r="H170" s="368" t="s">
        <v>1477</v>
      </c>
      <c r="I170" s="374" t="s">
        <v>1614</v>
      </c>
      <c r="J170" s="24" t="s">
        <v>563</v>
      </c>
      <c r="K170" s="601">
        <f t="shared" si="12"/>
        <v>900000</v>
      </c>
      <c r="L170" s="601">
        <f>F170-K170</f>
        <v>0</v>
      </c>
      <c r="M170" s="22"/>
    </row>
    <row r="171" spans="1:13" ht="30" customHeight="1" x14ac:dyDescent="0.2">
      <c r="A171" s="4">
        <v>112</v>
      </c>
      <c r="B171" s="45" t="s">
        <v>241</v>
      </c>
      <c r="C171" s="584"/>
      <c r="D171" s="368">
        <v>40000000</v>
      </c>
      <c r="E171" s="20">
        <v>0.05</v>
      </c>
      <c r="F171" s="368">
        <f t="shared" si="10"/>
        <v>2000000</v>
      </c>
      <c r="G171" s="368">
        <v>2000000</v>
      </c>
      <c r="H171" s="368" t="s">
        <v>1752</v>
      </c>
      <c r="I171" s="374" t="s">
        <v>1757</v>
      </c>
      <c r="J171" s="88" t="s">
        <v>804</v>
      </c>
      <c r="K171" s="368">
        <f t="shared" si="12"/>
        <v>2000000</v>
      </c>
      <c r="L171" s="368">
        <f t="shared" si="11"/>
        <v>0</v>
      </c>
      <c r="M171" s="45"/>
    </row>
    <row r="172" spans="1:13" ht="30" customHeight="1" x14ac:dyDescent="0.2">
      <c r="A172" s="4">
        <v>113</v>
      </c>
      <c r="B172" s="45" t="s">
        <v>242</v>
      </c>
      <c r="C172" s="380" t="s">
        <v>411</v>
      </c>
      <c r="D172" s="368">
        <v>252000000</v>
      </c>
      <c r="E172" s="20">
        <v>4.4999999999999998E-2</v>
      </c>
      <c r="F172" s="368">
        <f t="shared" si="10"/>
        <v>11340000</v>
      </c>
      <c r="G172" s="368">
        <v>11340000</v>
      </c>
      <c r="H172" s="368" t="s">
        <v>1709</v>
      </c>
      <c r="I172" s="376" t="s">
        <v>1749</v>
      </c>
      <c r="J172" s="24" t="s">
        <v>1750</v>
      </c>
      <c r="K172" s="368">
        <f>F172</f>
        <v>11340000</v>
      </c>
      <c r="L172" s="368">
        <f t="shared" si="11"/>
        <v>0</v>
      </c>
      <c r="M172" s="45"/>
    </row>
    <row r="173" spans="1:13" ht="30" customHeight="1" x14ac:dyDescent="0.2">
      <c r="A173" s="4">
        <v>114</v>
      </c>
      <c r="B173" s="45" t="s">
        <v>243</v>
      </c>
      <c r="C173" s="380"/>
      <c r="D173" s="368">
        <v>100000000</v>
      </c>
      <c r="E173" s="20">
        <v>4.4999999999999998E-2</v>
      </c>
      <c r="F173" s="368">
        <f t="shared" si="10"/>
        <v>4500000</v>
      </c>
      <c r="G173" s="368">
        <v>4500000</v>
      </c>
      <c r="H173" s="368" t="s">
        <v>1709</v>
      </c>
      <c r="I173" s="374" t="s">
        <v>1717</v>
      </c>
      <c r="J173" s="89" t="s">
        <v>1718</v>
      </c>
      <c r="K173" s="368">
        <f>G173</f>
        <v>4500000</v>
      </c>
      <c r="L173" s="368">
        <f t="shared" si="11"/>
        <v>0</v>
      </c>
      <c r="M173" s="45"/>
    </row>
    <row r="174" spans="1:13" ht="30" customHeight="1" x14ac:dyDescent="0.2">
      <c r="A174" s="3450">
        <v>115</v>
      </c>
      <c r="B174" s="3457" t="s">
        <v>244</v>
      </c>
      <c r="C174" s="3570" t="s">
        <v>1175</v>
      </c>
      <c r="D174" s="931">
        <v>20000000</v>
      </c>
      <c r="E174" s="933">
        <v>0.05</v>
      </c>
      <c r="F174" s="931">
        <f t="shared" si="10"/>
        <v>1000000</v>
      </c>
      <c r="G174" s="368">
        <v>1000000</v>
      </c>
      <c r="H174" s="368" t="s">
        <v>1431</v>
      </c>
      <c r="I174" s="374" t="s">
        <v>1443</v>
      </c>
      <c r="J174" s="24" t="s">
        <v>1444</v>
      </c>
      <c r="K174" s="368">
        <f>G174</f>
        <v>1000000</v>
      </c>
      <c r="L174" s="368">
        <f t="shared" si="11"/>
        <v>0</v>
      </c>
      <c r="M174" s="927" t="s">
        <v>2388</v>
      </c>
    </row>
    <row r="175" spans="1:13" ht="30" customHeight="1" x14ac:dyDescent="0.2">
      <c r="A175" s="3451"/>
      <c r="B175" s="3458"/>
      <c r="C175" s="3571"/>
      <c r="D175" s="931">
        <v>20000000</v>
      </c>
      <c r="E175" s="933">
        <v>0.05</v>
      </c>
      <c r="F175" s="931">
        <f t="shared" ref="F175" si="13">D175*E175</f>
        <v>1000000</v>
      </c>
      <c r="G175" s="368">
        <v>1000000</v>
      </c>
      <c r="H175" s="368" t="s">
        <v>2572</v>
      </c>
      <c r="I175" s="374" t="s">
        <v>2585</v>
      </c>
      <c r="J175" s="24" t="s">
        <v>1444</v>
      </c>
      <c r="K175" s="368">
        <f>G175</f>
        <v>1000000</v>
      </c>
      <c r="L175" s="925">
        <f t="shared" si="11"/>
        <v>0</v>
      </c>
      <c r="M175" s="928" t="s">
        <v>1379</v>
      </c>
    </row>
    <row r="176" spans="1:13" ht="30" customHeight="1" x14ac:dyDescent="0.2">
      <c r="A176" s="4">
        <v>117</v>
      </c>
      <c r="B176" s="45" t="s">
        <v>246</v>
      </c>
      <c r="C176" s="380"/>
      <c r="D176" s="368">
        <v>300000000</v>
      </c>
      <c r="E176" s="929">
        <v>4.4999999999999998E-2</v>
      </c>
      <c r="F176" s="368">
        <f t="shared" si="10"/>
        <v>13500000</v>
      </c>
      <c r="G176" s="368">
        <v>13500000</v>
      </c>
      <c r="H176" s="368" t="s">
        <v>1752</v>
      </c>
      <c r="I176" s="374" t="s">
        <v>1754</v>
      </c>
      <c r="J176" s="24" t="s">
        <v>1755</v>
      </c>
      <c r="K176" s="368">
        <f t="shared" ref="K176:K183" si="14">G176</f>
        <v>13500000</v>
      </c>
      <c r="L176" s="368">
        <f t="shared" si="11"/>
        <v>0</v>
      </c>
      <c r="M176" s="103"/>
    </row>
    <row r="177" spans="1:13" ht="30" customHeight="1" x14ac:dyDescent="0.2">
      <c r="A177" s="4">
        <v>118</v>
      </c>
      <c r="B177" s="45" t="s">
        <v>247</v>
      </c>
      <c r="C177" s="380"/>
      <c r="D177" s="368">
        <v>20000000</v>
      </c>
      <c r="E177" s="20">
        <v>0.05</v>
      </c>
      <c r="F177" s="368">
        <f t="shared" si="10"/>
        <v>1000000</v>
      </c>
      <c r="G177" s="368">
        <v>1000000</v>
      </c>
      <c r="H177" s="368" t="s">
        <v>1848</v>
      </c>
      <c r="I177" s="374" t="s">
        <v>1883</v>
      </c>
      <c r="J177" s="89" t="s">
        <v>625</v>
      </c>
      <c r="K177" s="368">
        <f t="shared" si="14"/>
        <v>1000000</v>
      </c>
      <c r="L177" s="368">
        <f t="shared" si="11"/>
        <v>0</v>
      </c>
      <c r="M177" s="45"/>
    </row>
    <row r="178" spans="1:13" ht="30" customHeight="1" x14ac:dyDescent="0.2">
      <c r="A178" s="4">
        <v>119</v>
      </c>
      <c r="B178" s="45" t="s">
        <v>248</v>
      </c>
      <c r="C178" s="380"/>
      <c r="D178" s="368">
        <v>100000000</v>
      </c>
      <c r="E178" s="20">
        <v>0.04</v>
      </c>
      <c r="F178" s="368">
        <f t="shared" si="10"/>
        <v>4000000</v>
      </c>
      <c r="G178" s="368">
        <v>4000000</v>
      </c>
      <c r="H178" s="368" t="s">
        <v>1709</v>
      </c>
      <c r="I178" s="374" t="s">
        <v>1726</v>
      </c>
      <c r="J178" s="24" t="s">
        <v>1727</v>
      </c>
      <c r="K178" s="368">
        <f t="shared" si="14"/>
        <v>4000000</v>
      </c>
      <c r="L178" s="368">
        <f t="shared" si="11"/>
        <v>0</v>
      </c>
      <c r="M178" s="45"/>
    </row>
    <row r="179" spans="1:13" ht="30" customHeight="1" x14ac:dyDescent="0.2">
      <c r="A179" s="4">
        <v>120</v>
      </c>
      <c r="B179" s="22" t="s">
        <v>249</v>
      </c>
      <c r="C179" s="422" t="s">
        <v>379</v>
      </c>
      <c r="D179" s="399">
        <v>617000000</v>
      </c>
      <c r="E179" s="20">
        <v>7.0000000000000007E-2</v>
      </c>
      <c r="F179" s="399">
        <v>43200000</v>
      </c>
      <c r="G179" s="399">
        <v>43200000</v>
      </c>
      <c r="H179" s="399" t="s">
        <v>1894</v>
      </c>
      <c r="I179" s="424" t="s">
        <v>2109</v>
      </c>
      <c r="J179" s="37" t="s">
        <v>841</v>
      </c>
      <c r="K179" s="399">
        <f t="shared" si="14"/>
        <v>43200000</v>
      </c>
      <c r="L179" s="661">
        <f>F179-K179</f>
        <v>0</v>
      </c>
      <c r="M179" s="396"/>
    </row>
    <row r="180" spans="1:13" ht="30" customHeight="1" x14ac:dyDescent="0.2">
      <c r="A180" s="3450">
        <v>121</v>
      </c>
      <c r="B180" s="3457" t="s">
        <v>250</v>
      </c>
      <c r="C180" s="3570"/>
      <c r="D180" s="3442">
        <v>90000000</v>
      </c>
      <c r="E180" s="3444">
        <v>4.4999999999999998E-2</v>
      </c>
      <c r="F180" s="3442">
        <f t="shared" si="10"/>
        <v>4050000</v>
      </c>
      <c r="G180" s="368">
        <v>4050000</v>
      </c>
      <c r="H180" s="368" t="s">
        <v>1566</v>
      </c>
      <c r="I180" s="374" t="s">
        <v>1656</v>
      </c>
      <c r="J180" s="425" t="s">
        <v>1657</v>
      </c>
      <c r="K180" s="368">
        <f t="shared" si="14"/>
        <v>4050000</v>
      </c>
      <c r="L180" s="368">
        <f t="shared" si="11"/>
        <v>0</v>
      </c>
      <c r="M180" s="45"/>
    </row>
    <row r="181" spans="1:13" ht="30" customHeight="1" x14ac:dyDescent="0.2">
      <c r="A181" s="3451"/>
      <c r="B181" s="3458"/>
      <c r="C181" s="3571"/>
      <c r="D181" s="3443"/>
      <c r="E181" s="3445"/>
      <c r="F181" s="3443"/>
      <c r="G181" s="508">
        <v>90000000</v>
      </c>
      <c r="H181" s="508" t="s">
        <v>1687</v>
      </c>
      <c r="I181" s="514" t="s">
        <v>1764</v>
      </c>
      <c r="J181" s="425" t="s">
        <v>1765</v>
      </c>
      <c r="K181" s="508">
        <f t="shared" si="14"/>
        <v>90000000</v>
      </c>
      <c r="L181" s="508"/>
      <c r="M181" s="103" t="s">
        <v>1766</v>
      </c>
    </row>
    <row r="182" spans="1:13" ht="30" customHeight="1" x14ac:dyDescent="0.2">
      <c r="A182" s="4">
        <v>122</v>
      </c>
      <c r="B182" s="45" t="s">
        <v>251</v>
      </c>
      <c r="C182" s="380"/>
      <c r="D182" s="368">
        <v>50000000</v>
      </c>
      <c r="E182" s="20">
        <v>4.4999999999999998E-2</v>
      </c>
      <c r="F182" s="368">
        <f t="shared" si="10"/>
        <v>2250000</v>
      </c>
      <c r="G182" s="368">
        <v>2250000</v>
      </c>
      <c r="H182" s="368" t="s">
        <v>1566</v>
      </c>
      <c r="I182" s="374" t="s">
        <v>1660</v>
      </c>
      <c r="J182" s="21" t="s">
        <v>1661</v>
      </c>
      <c r="K182" s="368">
        <f t="shared" si="14"/>
        <v>2250000</v>
      </c>
      <c r="L182" s="368">
        <f t="shared" si="11"/>
        <v>0</v>
      </c>
      <c r="M182" s="45"/>
    </row>
    <row r="183" spans="1:13" ht="30" customHeight="1" x14ac:dyDescent="0.2">
      <c r="A183" s="3450">
        <v>123</v>
      </c>
      <c r="B183" s="3457" t="s">
        <v>1744</v>
      </c>
      <c r="C183" s="380" t="s">
        <v>1350</v>
      </c>
      <c r="D183" s="368">
        <v>60000000</v>
      </c>
      <c r="E183" s="20">
        <v>0.05</v>
      </c>
      <c r="F183" s="368">
        <f t="shared" si="10"/>
        <v>3000000</v>
      </c>
      <c r="G183" s="3442">
        <v>4400000</v>
      </c>
      <c r="H183" s="3442" t="s">
        <v>1752</v>
      </c>
      <c r="I183" s="3577" t="s">
        <v>1789</v>
      </c>
      <c r="J183" s="3452" t="s">
        <v>588</v>
      </c>
      <c r="K183" s="3442">
        <f t="shared" si="14"/>
        <v>4400000</v>
      </c>
      <c r="L183" s="3442">
        <f>(F183+F184)-K183</f>
        <v>0</v>
      </c>
      <c r="M183" s="3525"/>
    </row>
    <row r="184" spans="1:13" ht="30" customHeight="1" x14ac:dyDescent="0.2">
      <c r="A184" s="3451"/>
      <c r="B184" s="3458"/>
      <c r="C184" s="380" t="s">
        <v>1351</v>
      </c>
      <c r="D184" s="368">
        <v>20000000</v>
      </c>
      <c r="E184" s="20">
        <v>7.0000000000000007E-2</v>
      </c>
      <c r="F184" s="368">
        <f t="shared" si="10"/>
        <v>1400000.0000000002</v>
      </c>
      <c r="G184" s="3443"/>
      <c r="H184" s="3443"/>
      <c r="I184" s="3578"/>
      <c r="J184" s="3453"/>
      <c r="K184" s="3443"/>
      <c r="L184" s="3443"/>
      <c r="M184" s="3526"/>
    </row>
    <row r="185" spans="1:13" ht="30" customHeight="1" x14ac:dyDescent="0.2">
      <c r="A185" s="4">
        <v>124</v>
      </c>
      <c r="B185" s="45" t="s">
        <v>253</v>
      </c>
      <c r="C185" s="380" t="s">
        <v>401</v>
      </c>
      <c r="D185" s="368">
        <v>200000000</v>
      </c>
      <c r="E185" s="20">
        <v>0.05</v>
      </c>
      <c r="F185" s="368">
        <f t="shared" si="10"/>
        <v>10000000</v>
      </c>
      <c r="G185" s="368">
        <v>10000000</v>
      </c>
      <c r="H185" s="368" t="s">
        <v>1431</v>
      </c>
      <c r="I185" s="420" t="s">
        <v>1472</v>
      </c>
      <c r="J185" s="21" t="s">
        <v>1473</v>
      </c>
      <c r="K185" s="368">
        <f>G185</f>
        <v>10000000</v>
      </c>
      <c r="L185" s="368">
        <f t="shared" si="11"/>
        <v>0</v>
      </c>
      <c r="M185" s="45"/>
    </row>
    <row r="186" spans="1:13" ht="30" customHeight="1" x14ac:dyDescent="0.2">
      <c r="A186" s="3450">
        <v>125</v>
      </c>
      <c r="B186" s="3457" t="s">
        <v>254</v>
      </c>
      <c r="C186" s="3570"/>
      <c r="D186" s="3442">
        <v>160000000</v>
      </c>
      <c r="E186" s="3444">
        <v>7.0000000000000007E-2</v>
      </c>
      <c r="F186" s="3442">
        <v>11000000</v>
      </c>
      <c r="G186" s="368">
        <v>11000000</v>
      </c>
      <c r="H186" s="368" t="s">
        <v>1687</v>
      </c>
      <c r="I186" s="374" t="s">
        <v>1699</v>
      </c>
      <c r="J186" s="24" t="s">
        <v>1700</v>
      </c>
      <c r="K186" s="368">
        <f>G186</f>
        <v>11000000</v>
      </c>
      <c r="L186" s="498">
        <f t="shared" si="11"/>
        <v>0</v>
      </c>
      <c r="M186" s="45"/>
    </row>
    <row r="187" spans="1:13" ht="30" customHeight="1" x14ac:dyDescent="0.2">
      <c r="A187" s="3451"/>
      <c r="B187" s="3458"/>
      <c r="C187" s="3571"/>
      <c r="D187" s="3443"/>
      <c r="E187" s="3445"/>
      <c r="F187" s="3443"/>
      <c r="G187" s="502">
        <v>11000000</v>
      </c>
      <c r="H187" s="502" t="s">
        <v>1709</v>
      </c>
      <c r="I187" s="60" t="s">
        <v>1722</v>
      </c>
      <c r="J187" s="61" t="s">
        <v>1723</v>
      </c>
      <c r="K187" s="502">
        <f>G187</f>
        <v>11000000</v>
      </c>
      <c r="L187" s="498"/>
      <c r="M187" s="45"/>
    </row>
    <row r="188" spans="1:13" ht="30" customHeight="1" x14ac:dyDescent="0.2">
      <c r="A188" s="4">
        <v>126</v>
      </c>
      <c r="B188" s="45" t="s">
        <v>255</v>
      </c>
      <c r="C188" s="380" t="s">
        <v>411</v>
      </c>
      <c r="D188" s="498">
        <v>180000000</v>
      </c>
      <c r="E188" s="20">
        <v>4.4999999999999998E-2</v>
      </c>
      <c r="F188" s="498">
        <f t="shared" si="10"/>
        <v>8100000</v>
      </c>
      <c r="G188" s="368"/>
      <c r="H188" s="368"/>
      <c r="I188" s="374"/>
      <c r="J188" s="24"/>
      <c r="K188" s="368"/>
      <c r="L188" s="366">
        <f t="shared" si="11"/>
        <v>8100000</v>
      </c>
      <c r="M188" s="45"/>
    </row>
    <row r="189" spans="1:13" ht="30" customHeight="1" x14ac:dyDescent="0.2">
      <c r="A189" s="3450">
        <v>127</v>
      </c>
      <c r="B189" s="3457" t="s">
        <v>256</v>
      </c>
      <c r="C189" s="3570"/>
      <c r="D189" s="3442">
        <v>800000000</v>
      </c>
      <c r="E189" s="3444">
        <v>0.05</v>
      </c>
      <c r="F189" s="3442">
        <f t="shared" si="10"/>
        <v>40000000</v>
      </c>
      <c r="G189" s="368">
        <v>20000000</v>
      </c>
      <c r="H189" s="368" t="s">
        <v>1431</v>
      </c>
      <c r="I189" s="420" t="s">
        <v>1476</v>
      </c>
      <c r="J189" s="24" t="s">
        <v>600</v>
      </c>
      <c r="K189" s="3442">
        <f>G189+G190</f>
        <v>40000000</v>
      </c>
      <c r="L189" s="3442">
        <f t="shared" si="11"/>
        <v>0</v>
      </c>
      <c r="M189" s="3525"/>
    </row>
    <row r="190" spans="1:13" ht="30" customHeight="1" x14ac:dyDescent="0.2">
      <c r="A190" s="3451"/>
      <c r="B190" s="3458"/>
      <c r="C190" s="3571"/>
      <c r="D190" s="3443"/>
      <c r="E190" s="3445"/>
      <c r="F190" s="3443"/>
      <c r="G190" s="508">
        <v>20000000</v>
      </c>
      <c r="H190" s="508" t="s">
        <v>1752</v>
      </c>
      <c r="I190" s="515" t="s">
        <v>1756</v>
      </c>
      <c r="J190" s="24" t="s">
        <v>600</v>
      </c>
      <c r="K190" s="3443"/>
      <c r="L190" s="3443"/>
      <c r="M190" s="3526"/>
    </row>
    <row r="191" spans="1:13" ht="30" customHeight="1" x14ac:dyDescent="0.2">
      <c r="A191" s="4">
        <v>128</v>
      </c>
      <c r="B191" s="45" t="s">
        <v>257</v>
      </c>
      <c r="C191" s="380"/>
      <c r="D191" s="366"/>
      <c r="E191" s="44"/>
      <c r="F191" s="366">
        <f t="shared" si="10"/>
        <v>0</v>
      </c>
      <c r="G191" s="368"/>
      <c r="H191" s="368"/>
      <c r="I191" s="374"/>
      <c r="J191" s="24"/>
      <c r="K191" s="368"/>
      <c r="L191" s="366">
        <f t="shared" si="11"/>
        <v>0</v>
      </c>
      <c r="M191" s="45"/>
    </row>
    <row r="192" spans="1:13" ht="30" customHeight="1" x14ac:dyDescent="0.2">
      <c r="A192" s="3450">
        <v>129</v>
      </c>
      <c r="B192" s="3457" t="s">
        <v>258</v>
      </c>
      <c r="C192" s="3570" t="s">
        <v>1138</v>
      </c>
      <c r="D192" s="397">
        <v>200000000</v>
      </c>
      <c r="E192" s="392">
        <v>0.06</v>
      </c>
      <c r="F192" s="397">
        <f>D192*E192</f>
        <v>12000000</v>
      </c>
      <c r="G192" s="390">
        <v>7000000</v>
      </c>
      <c r="H192" s="390" t="s">
        <v>926</v>
      </c>
      <c r="I192" s="401" t="s">
        <v>1402</v>
      </c>
      <c r="J192" s="24" t="s">
        <v>604</v>
      </c>
      <c r="K192" s="390"/>
      <c r="L192" s="390"/>
      <c r="M192" s="103" t="s">
        <v>1385</v>
      </c>
    </row>
    <row r="193" spans="1:13" ht="30" customHeight="1" x14ac:dyDescent="0.2">
      <c r="A193" s="3456"/>
      <c r="B193" s="3459"/>
      <c r="C193" s="3576"/>
      <c r="D193" s="3442">
        <v>200000000</v>
      </c>
      <c r="E193" s="3444">
        <v>0.06</v>
      </c>
      <c r="F193" s="3442">
        <f>D193*E193</f>
        <v>12000000</v>
      </c>
      <c r="G193" s="390">
        <v>3000000</v>
      </c>
      <c r="H193" s="390" t="s">
        <v>2059</v>
      </c>
      <c r="I193" s="401" t="s">
        <v>2613</v>
      </c>
      <c r="J193" s="24" t="s">
        <v>2614</v>
      </c>
      <c r="K193" s="3442">
        <f>G193</f>
        <v>3000000</v>
      </c>
      <c r="L193" s="3442">
        <f>F193-K193</f>
        <v>9000000</v>
      </c>
      <c r="M193" s="3466"/>
    </row>
    <row r="194" spans="1:13" ht="30" customHeight="1" x14ac:dyDescent="0.2">
      <c r="A194" s="3451"/>
      <c r="B194" s="3458"/>
      <c r="C194" s="3571"/>
      <c r="D194" s="3443"/>
      <c r="E194" s="3445"/>
      <c r="F194" s="3443"/>
      <c r="G194" s="963"/>
      <c r="H194" s="963"/>
      <c r="I194" s="968"/>
      <c r="J194" s="24"/>
      <c r="K194" s="3443"/>
      <c r="L194" s="3443"/>
      <c r="M194" s="3467"/>
    </row>
    <row r="195" spans="1:13" ht="30" customHeight="1" x14ac:dyDescent="0.2">
      <c r="A195" s="3450">
        <v>130</v>
      </c>
      <c r="B195" s="3457" t="s">
        <v>1213</v>
      </c>
      <c r="C195" s="422" t="s">
        <v>1219</v>
      </c>
      <c r="D195" s="3442">
        <v>200000000</v>
      </c>
      <c r="E195" s="3444">
        <v>0.05</v>
      </c>
      <c r="F195" s="3442">
        <f t="shared" si="10"/>
        <v>10000000</v>
      </c>
      <c r="G195" s="399">
        <v>5000000</v>
      </c>
      <c r="H195" s="399" t="s">
        <v>1752</v>
      </c>
      <c r="I195" s="424" t="s">
        <v>1791</v>
      </c>
      <c r="J195" s="37" t="s">
        <v>1792</v>
      </c>
      <c r="K195" s="3442">
        <f>G195+G196</f>
        <v>10000000</v>
      </c>
      <c r="L195" s="3442">
        <f t="shared" si="11"/>
        <v>0</v>
      </c>
      <c r="M195" s="3525"/>
    </row>
    <row r="196" spans="1:13" ht="30" customHeight="1" x14ac:dyDescent="0.2">
      <c r="A196" s="3451"/>
      <c r="B196" s="3458"/>
      <c r="C196" s="889" t="s">
        <v>971</v>
      </c>
      <c r="D196" s="3443"/>
      <c r="E196" s="3445"/>
      <c r="F196" s="3443"/>
      <c r="G196" s="886">
        <v>5000000</v>
      </c>
      <c r="H196" s="886" t="s">
        <v>2544</v>
      </c>
      <c r="I196" s="891" t="s">
        <v>2550</v>
      </c>
      <c r="J196" s="24" t="s">
        <v>1954</v>
      </c>
      <c r="K196" s="3443"/>
      <c r="L196" s="3443"/>
      <c r="M196" s="3526"/>
    </row>
    <row r="197" spans="1:13" ht="30" customHeight="1" x14ac:dyDescent="0.2">
      <c r="A197" s="4">
        <v>131</v>
      </c>
      <c r="B197" s="388" t="s">
        <v>259</v>
      </c>
      <c r="C197" s="380"/>
      <c r="D197" s="368">
        <v>200000000</v>
      </c>
      <c r="E197" s="393">
        <v>0.05</v>
      </c>
      <c r="F197" s="368">
        <f t="shared" si="10"/>
        <v>10000000</v>
      </c>
      <c r="G197" s="368">
        <v>10000000</v>
      </c>
      <c r="H197" s="368" t="s">
        <v>1752</v>
      </c>
      <c r="I197" s="374" t="s">
        <v>1784</v>
      </c>
      <c r="J197" s="28" t="s">
        <v>1785</v>
      </c>
      <c r="K197" s="368">
        <f>G197</f>
        <v>10000000</v>
      </c>
      <c r="L197" s="368">
        <f t="shared" si="11"/>
        <v>0</v>
      </c>
      <c r="M197" s="103" t="s">
        <v>1786</v>
      </c>
    </row>
    <row r="198" spans="1:13" ht="30" customHeight="1" x14ac:dyDescent="0.2">
      <c r="A198" s="3450">
        <v>132</v>
      </c>
      <c r="B198" s="3457" t="s">
        <v>1266</v>
      </c>
      <c r="C198" s="3570" t="s">
        <v>1746</v>
      </c>
      <c r="D198" s="601">
        <v>490000000</v>
      </c>
      <c r="E198" s="605">
        <v>0.05</v>
      </c>
      <c r="F198" s="601">
        <f t="shared" si="10"/>
        <v>24500000</v>
      </c>
      <c r="G198" s="3478" t="s">
        <v>2009</v>
      </c>
      <c r="H198" s="3479"/>
      <c r="I198" s="3479"/>
      <c r="J198" s="3479"/>
      <c r="K198" s="3480"/>
      <c r="L198" s="601">
        <f t="shared" si="11"/>
        <v>24500000</v>
      </c>
      <c r="M198" s="103" t="s">
        <v>2004</v>
      </c>
    </row>
    <row r="199" spans="1:13" ht="30" customHeight="1" x14ac:dyDescent="0.2">
      <c r="A199" s="3451"/>
      <c r="B199" s="3458"/>
      <c r="C199" s="3571"/>
      <c r="D199" s="644">
        <v>490000000</v>
      </c>
      <c r="E199" s="645">
        <v>0.05</v>
      </c>
      <c r="F199" s="644">
        <f t="shared" si="10"/>
        <v>24500000</v>
      </c>
      <c r="G199" s="647">
        <v>10000000</v>
      </c>
      <c r="H199" s="647" t="s">
        <v>2001</v>
      </c>
      <c r="I199" s="424" t="s">
        <v>2037</v>
      </c>
      <c r="J199" s="647" t="s">
        <v>1268</v>
      </c>
      <c r="K199" s="647">
        <f>G199</f>
        <v>10000000</v>
      </c>
      <c r="L199" s="644">
        <f>F199-K199</f>
        <v>14500000</v>
      </c>
      <c r="M199" s="103" t="s">
        <v>2008</v>
      </c>
    </row>
    <row r="200" spans="1:13" ht="30" customHeight="1" x14ac:dyDescent="0.2">
      <c r="A200" s="4">
        <v>133</v>
      </c>
      <c r="B200" s="388" t="s">
        <v>178</v>
      </c>
      <c r="C200" s="380" t="s">
        <v>1817</v>
      </c>
      <c r="D200" s="368">
        <v>100000000</v>
      </c>
      <c r="E200" s="393">
        <v>4.4999999999999998E-2</v>
      </c>
      <c r="F200" s="368">
        <f t="shared" si="10"/>
        <v>4500000</v>
      </c>
      <c r="G200" s="368">
        <v>4500000</v>
      </c>
      <c r="H200" s="368" t="s">
        <v>1848</v>
      </c>
      <c r="I200" s="374" t="s">
        <v>1917</v>
      </c>
      <c r="J200" s="24" t="s">
        <v>534</v>
      </c>
      <c r="K200" s="368">
        <f>G200</f>
        <v>4500000</v>
      </c>
      <c r="L200" s="368">
        <f t="shared" si="11"/>
        <v>0</v>
      </c>
      <c r="M200" s="45"/>
    </row>
    <row r="201" spans="1:13" ht="30" customHeight="1" x14ac:dyDescent="0.2">
      <c r="A201" s="4">
        <v>134</v>
      </c>
      <c r="B201" s="45" t="s">
        <v>169</v>
      </c>
      <c r="C201" s="380"/>
      <c r="D201" s="368">
        <v>110000000</v>
      </c>
      <c r="E201" s="20">
        <v>0.04</v>
      </c>
      <c r="F201" s="368">
        <f t="shared" si="10"/>
        <v>4400000</v>
      </c>
      <c r="G201" s="368">
        <v>4400000</v>
      </c>
      <c r="H201" s="368" t="s">
        <v>1752</v>
      </c>
      <c r="I201" s="374" t="s">
        <v>1753</v>
      </c>
      <c r="J201" s="24" t="s">
        <v>522</v>
      </c>
      <c r="K201" s="368">
        <f>G201</f>
        <v>4400000</v>
      </c>
      <c r="L201" s="368">
        <f t="shared" si="11"/>
        <v>0</v>
      </c>
      <c r="M201" s="45"/>
    </row>
    <row r="202" spans="1:13" ht="30" customHeight="1" x14ac:dyDescent="0.2">
      <c r="A202" s="3450">
        <v>135</v>
      </c>
      <c r="B202" s="3457" t="s">
        <v>7</v>
      </c>
      <c r="C202" s="527" t="s">
        <v>401</v>
      </c>
      <c r="D202" s="368">
        <v>100000000</v>
      </c>
      <c r="E202" s="20">
        <v>0.05</v>
      </c>
      <c r="F202" s="368">
        <f t="shared" si="10"/>
        <v>5000000</v>
      </c>
      <c r="G202" s="368">
        <v>5000000</v>
      </c>
      <c r="H202" s="368" t="s">
        <v>1566</v>
      </c>
      <c r="I202" s="374" t="s">
        <v>1641</v>
      </c>
      <c r="J202" s="30" t="s">
        <v>1642</v>
      </c>
      <c r="K202" s="3442">
        <f>G202+G203</f>
        <v>11000000</v>
      </c>
      <c r="L202" s="3442">
        <f>(F202+F203)-K202</f>
        <v>0</v>
      </c>
      <c r="M202" s="3525"/>
    </row>
    <row r="203" spans="1:13" ht="30" customHeight="1" x14ac:dyDescent="0.2">
      <c r="A203" s="3451"/>
      <c r="B203" s="3458"/>
      <c r="C203" s="527" t="s">
        <v>1354</v>
      </c>
      <c r="D203" s="368">
        <v>124000000</v>
      </c>
      <c r="E203" s="20">
        <v>4.9000000000000002E-2</v>
      </c>
      <c r="F203" s="368">
        <v>6000000</v>
      </c>
      <c r="G203" s="368">
        <v>6000000</v>
      </c>
      <c r="H203" s="368" t="s">
        <v>2291</v>
      </c>
      <c r="I203" s="374" t="s">
        <v>2321</v>
      </c>
      <c r="J203" s="57" t="s">
        <v>2322</v>
      </c>
      <c r="K203" s="3443"/>
      <c r="L203" s="3443"/>
      <c r="M203" s="3526"/>
    </row>
    <row r="204" spans="1:13" ht="30" customHeight="1" x14ac:dyDescent="0.2">
      <c r="A204" s="4">
        <v>136</v>
      </c>
      <c r="B204" s="45" t="s">
        <v>260</v>
      </c>
      <c r="C204" s="380"/>
      <c r="D204" s="366"/>
      <c r="E204" s="44"/>
      <c r="F204" s="366">
        <f t="shared" si="10"/>
        <v>0</v>
      </c>
      <c r="G204" s="368"/>
      <c r="H204" s="368"/>
      <c r="I204" s="374"/>
      <c r="J204" s="28"/>
      <c r="K204" s="368"/>
      <c r="L204" s="366">
        <f t="shared" si="11"/>
        <v>0</v>
      </c>
      <c r="M204" s="45"/>
    </row>
    <row r="205" spans="1:13" ht="30" customHeight="1" x14ac:dyDescent="0.2">
      <c r="A205" s="3450">
        <v>137</v>
      </c>
      <c r="B205" s="3457" t="s">
        <v>182</v>
      </c>
      <c r="C205" s="3570" t="s">
        <v>1219</v>
      </c>
      <c r="D205" s="460">
        <v>310000000</v>
      </c>
      <c r="E205" s="20">
        <f>F205/D205</f>
        <v>4.7419354838709675E-2</v>
      </c>
      <c r="F205" s="460">
        <v>14700000</v>
      </c>
      <c r="G205" s="368">
        <v>14700000</v>
      </c>
      <c r="H205" s="368" t="s">
        <v>2064</v>
      </c>
      <c r="I205" s="374" t="s">
        <v>2078</v>
      </c>
      <c r="J205" s="57" t="s">
        <v>1810</v>
      </c>
      <c r="K205" s="368">
        <f>G205</f>
        <v>14700000</v>
      </c>
      <c r="L205" s="460">
        <f t="shared" si="11"/>
        <v>0</v>
      </c>
      <c r="M205" s="523" t="s">
        <v>1781</v>
      </c>
    </row>
    <row r="206" spans="1:13" ht="30" customHeight="1" x14ac:dyDescent="0.2">
      <c r="A206" s="3456"/>
      <c r="B206" s="3459"/>
      <c r="C206" s="3576"/>
      <c r="D206" s="3575">
        <v>100000000</v>
      </c>
      <c r="E206" s="3538" t="s">
        <v>1808</v>
      </c>
      <c r="F206" s="3539"/>
      <c r="G206" s="518">
        <v>45000000</v>
      </c>
      <c r="H206" s="518" t="s">
        <v>1800</v>
      </c>
      <c r="I206" s="524" t="s">
        <v>1809</v>
      </c>
      <c r="J206" s="57" t="s">
        <v>1810</v>
      </c>
      <c r="K206" s="3442">
        <f>G206+G207+G208</f>
        <v>100000000</v>
      </c>
      <c r="L206" s="3442">
        <f>D206-K206</f>
        <v>0</v>
      </c>
      <c r="M206" s="3606" t="s">
        <v>2079</v>
      </c>
    </row>
    <row r="207" spans="1:13" ht="30" customHeight="1" x14ac:dyDescent="0.2">
      <c r="A207" s="3456"/>
      <c r="B207" s="3459"/>
      <c r="C207" s="3576"/>
      <c r="D207" s="3575"/>
      <c r="E207" s="3544"/>
      <c r="F207" s="3545"/>
      <c r="G207" s="655">
        <v>50000000</v>
      </c>
      <c r="H207" s="655" t="s">
        <v>1848</v>
      </c>
      <c r="I207" s="663" t="s">
        <v>2081</v>
      </c>
      <c r="J207" s="57" t="s">
        <v>1810</v>
      </c>
      <c r="K207" s="3461"/>
      <c r="L207" s="3461"/>
      <c r="M207" s="3606"/>
    </row>
    <row r="208" spans="1:13" ht="30" customHeight="1" x14ac:dyDescent="0.2">
      <c r="A208" s="3456"/>
      <c r="B208" s="3459"/>
      <c r="C208" s="3576"/>
      <c r="D208" s="3575"/>
      <c r="E208" s="3540"/>
      <c r="F208" s="3541"/>
      <c r="G208" s="518">
        <v>5000000</v>
      </c>
      <c r="H208" s="518" t="s">
        <v>2064</v>
      </c>
      <c r="I208" s="524" t="s">
        <v>2078</v>
      </c>
      <c r="J208" s="57" t="s">
        <v>1810</v>
      </c>
      <c r="K208" s="3443"/>
      <c r="L208" s="3443"/>
      <c r="M208" s="3606"/>
    </row>
    <row r="209" spans="1:13" ht="30" customHeight="1" x14ac:dyDescent="0.2">
      <c r="A209" s="3451"/>
      <c r="B209" s="3458"/>
      <c r="C209" s="3571"/>
      <c r="D209" s="655">
        <v>210000000</v>
      </c>
      <c r="E209" s="667">
        <v>4.7E-2</v>
      </c>
      <c r="F209" s="658">
        <f>D209*E209</f>
        <v>9870000</v>
      </c>
      <c r="G209" s="3615" t="s">
        <v>2076</v>
      </c>
      <c r="H209" s="3616"/>
      <c r="I209" s="3616"/>
      <c r="J209" s="3616"/>
      <c r="K209" s="3616"/>
      <c r="L209" s="3617"/>
      <c r="M209" s="659"/>
    </row>
    <row r="210" spans="1:13" ht="30" customHeight="1" x14ac:dyDescent="0.2">
      <c r="A210" s="4">
        <v>138</v>
      </c>
      <c r="B210" s="45" t="s">
        <v>262</v>
      </c>
      <c r="C210" s="380" t="s">
        <v>411</v>
      </c>
      <c r="D210" s="594">
        <v>500000000</v>
      </c>
      <c r="E210" s="605">
        <v>0.05</v>
      </c>
      <c r="F210" s="594">
        <f t="shared" si="10"/>
        <v>25000000</v>
      </c>
      <c r="G210" s="594">
        <v>30000000</v>
      </c>
      <c r="H210" s="594" t="s">
        <v>1687</v>
      </c>
      <c r="I210" s="604" t="s">
        <v>1688</v>
      </c>
      <c r="J210" s="24" t="s">
        <v>1689</v>
      </c>
      <c r="K210" s="594">
        <f>G210</f>
        <v>30000000</v>
      </c>
      <c r="L210" s="598">
        <f t="shared" si="11"/>
        <v>-5000000</v>
      </c>
      <c r="M210" s="45" t="s">
        <v>2017</v>
      </c>
    </row>
    <row r="211" spans="1:13" ht="30" customHeight="1" x14ac:dyDescent="0.2">
      <c r="A211" s="4">
        <v>139</v>
      </c>
      <c r="B211" s="22" t="s">
        <v>163</v>
      </c>
      <c r="C211" s="808" t="s">
        <v>1817</v>
      </c>
      <c r="D211" s="809">
        <v>110000000</v>
      </c>
      <c r="E211" s="811">
        <v>0.05</v>
      </c>
      <c r="F211" s="809">
        <f t="shared" si="10"/>
        <v>5500000</v>
      </c>
      <c r="G211" s="807">
        <v>5500000</v>
      </c>
      <c r="H211" s="807" t="s">
        <v>1831</v>
      </c>
      <c r="I211" s="810" t="s">
        <v>1832</v>
      </c>
      <c r="J211" s="30" t="s">
        <v>1833</v>
      </c>
      <c r="K211" s="809">
        <f>G211</f>
        <v>5500000</v>
      </c>
      <c r="L211" s="809">
        <f t="shared" si="11"/>
        <v>0</v>
      </c>
      <c r="M211" s="22"/>
    </row>
    <row r="212" spans="1:13" ht="30" customHeight="1" x14ac:dyDescent="0.2">
      <c r="A212" s="709"/>
      <c r="B212" s="22" t="s">
        <v>2400</v>
      </c>
      <c r="C212" s="808" t="s">
        <v>265</v>
      </c>
      <c r="D212" s="809">
        <v>50000000</v>
      </c>
      <c r="E212" s="811">
        <v>0.05</v>
      </c>
      <c r="F212" s="809">
        <f>D212*E212</f>
        <v>2500000</v>
      </c>
      <c r="G212" s="807">
        <v>2500000</v>
      </c>
      <c r="H212" s="807" t="s">
        <v>2131</v>
      </c>
      <c r="I212" s="810" t="s">
        <v>2156</v>
      </c>
      <c r="J212" s="30" t="s">
        <v>1833</v>
      </c>
      <c r="K212" s="809">
        <f>G212</f>
        <v>2500000</v>
      </c>
      <c r="L212" s="809">
        <f t="shared" si="11"/>
        <v>0</v>
      </c>
      <c r="M212" s="22"/>
    </row>
    <row r="213" spans="1:13" ht="30" customHeight="1" x14ac:dyDescent="0.2">
      <c r="A213" s="4">
        <v>140</v>
      </c>
      <c r="B213" s="45" t="s">
        <v>546</v>
      </c>
      <c r="C213" s="380" t="s">
        <v>380</v>
      </c>
      <c r="D213" s="366"/>
      <c r="E213" s="44"/>
      <c r="F213" s="366">
        <f t="shared" si="10"/>
        <v>0</v>
      </c>
      <c r="G213" s="368">
        <v>6000000</v>
      </c>
      <c r="H213" s="368" t="s">
        <v>1800</v>
      </c>
      <c r="I213" s="374" t="s">
        <v>1803</v>
      </c>
      <c r="J213" s="21" t="s">
        <v>1804</v>
      </c>
      <c r="K213" s="368">
        <f>G213</f>
        <v>6000000</v>
      </c>
      <c r="L213" s="366">
        <f t="shared" si="11"/>
        <v>-6000000</v>
      </c>
      <c r="M213" s="45"/>
    </row>
    <row r="214" spans="1:13" ht="30" customHeight="1" x14ac:dyDescent="0.2">
      <c r="A214" s="4">
        <v>141</v>
      </c>
      <c r="B214" s="45" t="s">
        <v>8</v>
      </c>
      <c r="C214" s="380"/>
      <c r="D214" s="368">
        <v>30000000</v>
      </c>
      <c r="E214" s="20">
        <v>0.05</v>
      </c>
      <c r="F214" s="368">
        <f t="shared" si="10"/>
        <v>1500000</v>
      </c>
      <c r="G214" s="368">
        <v>1500000</v>
      </c>
      <c r="H214" s="368" t="s">
        <v>926</v>
      </c>
      <c r="I214" s="374" t="s">
        <v>1400</v>
      </c>
      <c r="J214" s="24" t="s">
        <v>548</v>
      </c>
      <c r="K214" s="368">
        <f>G214</f>
        <v>1500000</v>
      </c>
      <c r="L214" s="368">
        <f t="shared" si="11"/>
        <v>0</v>
      </c>
      <c r="M214" s="45"/>
    </row>
    <row r="215" spans="1:13" ht="30" customHeight="1" x14ac:dyDescent="0.2">
      <c r="A215" s="3450">
        <v>142</v>
      </c>
      <c r="B215" s="3525" t="s">
        <v>9</v>
      </c>
      <c r="C215" s="3570"/>
      <c r="D215" s="3525"/>
      <c r="E215" s="3444"/>
      <c r="F215" s="3442">
        <f>D216*E215</f>
        <v>0</v>
      </c>
      <c r="G215" s="1119">
        <v>50000000</v>
      </c>
      <c r="H215" s="368" t="s">
        <v>1800</v>
      </c>
      <c r="I215" s="373" t="s">
        <v>1820</v>
      </c>
      <c r="J215" s="24" t="s">
        <v>1821</v>
      </c>
      <c r="K215" s="3442">
        <f>G215+G216+G217+G218+G219+G220+G221+G222+G223+G224+G225+G226+G227+G228+G229</f>
        <v>261900000</v>
      </c>
      <c r="L215" s="3442">
        <f>262330000-K215</f>
        <v>430000</v>
      </c>
      <c r="M215" s="1118" t="s">
        <v>1871</v>
      </c>
    </row>
    <row r="216" spans="1:13" ht="30" customHeight="1" x14ac:dyDescent="0.2">
      <c r="A216" s="3456"/>
      <c r="B216" s="3643"/>
      <c r="C216" s="3576"/>
      <c r="D216" s="3643"/>
      <c r="E216" s="3474"/>
      <c r="F216" s="3461"/>
      <c r="G216" s="1119">
        <v>20000000</v>
      </c>
      <c r="H216" s="544" t="s">
        <v>1848</v>
      </c>
      <c r="I216" s="552" t="s">
        <v>1877</v>
      </c>
      <c r="J216" s="37" t="s">
        <v>1878</v>
      </c>
      <c r="K216" s="3461"/>
      <c r="L216" s="3461"/>
      <c r="M216" s="1132" t="s">
        <v>1879</v>
      </c>
    </row>
    <row r="217" spans="1:13" ht="30" customHeight="1" x14ac:dyDescent="0.2">
      <c r="A217" s="3456"/>
      <c r="B217" s="3643"/>
      <c r="C217" s="3576"/>
      <c r="D217" s="3643"/>
      <c r="E217" s="3474"/>
      <c r="F217" s="3461"/>
      <c r="G217" s="1119">
        <v>7200000</v>
      </c>
      <c r="H217" s="1117" t="s">
        <v>1315</v>
      </c>
      <c r="I217" s="1142"/>
      <c r="J217" s="962"/>
      <c r="K217" s="3461"/>
      <c r="L217" s="3461"/>
      <c r="M217" s="1132"/>
    </row>
    <row r="218" spans="1:13" ht="30" customHeight="1" x14ac:dyDescent="0.2">
      <c r="A218" s="3456"/>
      <c r="B218" s="3643"/>
      <c r="C218" s="3576"/>
      <c r="D218" s="3643"/>
      <c r="E218" s="3474"/>
      <c r="F218" s="3461"/>
      <c r="G218" s="1119">
        <v>42000000</v>
      </c>
      <c r="H218" s="1117" t="s">
        <v>520</v>
      </c>
      <c r="I218" s="1142"/>
      <c r="J218" s="962"/>
      <c r="K218" s="3461"/>
      <c r="L218" s="3461"/>
      <c r="M218" s="1132"/>
    </row>
    <row r="219" spans="1:13" ht="30" customHeight="1" x14ac:dyDescent="0.2">
      <c r="A219" s="3456"/>
      <c r="B219" s="3643"/>
      <c r="C219" s="3576"/>
      <c r="D219" s="3643"/>
      <c r="E219" s="3474"/>
      <c r="F219" s="3461"/>
      <c r="G219" s="1119">
        <v>5000000</v>
      </c>
      <c r="H219" s="1117" t="s">
        <v>933</v>
      </c>
      <c r="I219" s="1142"/>
      <c r="J219" s="962"/>
      <c r="K219" s="3461"/>
      <c r="L219" s="3461"/>
      <c r="M219" s="1132"/>
    </row>
    <row r="220" spans="1:13" ht="30" customHeight="1" x14ac:dyDescent="0.2">
      <c r="A220" s="3456"/>
      <c r="B220" s="3643"/>
      <c r="C220" s="3576"/>
      <c r="D220" s="3643"/>
      <c r="E220" s="3474"/>
      <c r="F220" s="3461"/>
      <c r="G220" s="1119">
        <v>5000000</v>
      </c>
      <c r="H220" s="1117" t="s">
        <v>755</v>
      </c>
      <c r="I220" s="1142"/>
      <c r="J220" s="962"/>
      <c r="K220" s="3461"/>
      <c r="L220" s="3461"/>
      <c r="M220" s="1132"/>
    </row>
    <row r="221" spans="1:13" ht="30" customHeight="1" x14ac:dyDescent="0.2">
      <c r="A221" s="3456"/>
      <c r="B221" s="3643"/>
      <c r="C221" s="3576"/>
      <c r="D221" s="3643"/>
      <c r="E221" s="3474"/>
      <c r="F221" s="3461"/>
      <c r="G221" s="1119">
        <v>10000000</v>
      </c>
      <c r="H221" s="1117" t="s">
        <v>755</v>
      </c>
      <c r="I221" s="1142"/>
      <c r="J221" s="962"/>
      <c r="K221" s="3461"/>
      <c r="L221" s="3461"/>
      <c r="M221" s="1132"/>
    </row>
    <row r="222" spans="1:13" ht="30" customHeight="1" x14ac:dyDescent="0.2">
      <c r="A222" s="3456"/>
      <c r="B222" s="3643"/>
      <c r="C222" s="3576"/>
      <c r="D222" s="3643"/>
      <c r="E222" s="3474"/>
      <c r="F222" s="3461"/>
      <c r="G222" s="1119">
        <v>1000000</v>
      </c>
      <c r="H222" s="1117" t="s">
        <v>329</v>
      </c>
      <c r="I222" s="1142"/>
      <c r="J222" s="962"/>
      <c r="K222" s="3461"/>
      <c r="L222" s="3461"/>
      <c r="M222" s="1132"/>
    </row>
    <row r="223" spans="1:13" ht="30" customHeight="1" x14ac:dyDescent="0.2">
      <c r="A223" s="3456"/>
      <c r="B223" s="3643"/>
      <c r="C223" s="3576"/>
      <c r="D223" s="3643"/>
      <c r="E223" s="3474"/>
      <c r="F223" s="3461"/>
      <c r="G223" s="1119">
        <v>30000000</v>
      </c>
      <c r="H223" s="644" t="s">
        <v>388</v>
      </c>
      <c r="I223" s="648" t="s">
        <v>2041</v>
      </c>
      <c r="J223" s="37" t="s">
        <v>2042</v>
      </c>
      <c r="K223" s="3461"/>
      <c r="L223" s="3461"/>
      <c r="M223" s="3606" t="s">
        <v>1672</v>
      </c>
    </row>
    <row r="224" spans="1:13" ht="30" customHeight="1" x14ac:dyDescent="0.2">
      <c r="A224" s="3456"/>
      <c r="B224" s="3643"/>
      <c r="C224" s="3576"/>
      <c r="D224" s="3643"/>
      <c r="E224" s="3474"/>
      <c r="F224" s="3461"/>
      <c r="G224" s="1119">
        <v>1000000</v>
      </c>
      <c r="H224" s="655" t="s">
        <v>2001</v>
      </c>
      <c r="I224" s="664" t="s">
        <v>2055</v>
      </c>
      <c r="J224" s="37" t="s">
        <v>2057</v>
      </c>
      <c r="K224" s="3461"/>
      <c r="L224" s="3461"/>
      <c r="M224" s="3606"/>
    </row>
    <row r="225" spans="1:13" ht="30" customHeight="1" x14ac:dyDescent="0.2">
      <c r="A225" s="3456"/>
      <c r="B225" s="3643"/>
      <c r="C225" s="3576"/>
      <c r="D225" s="3643"/>
      <c r="E225" s="3474"/>
      <c r="F225" s="3461"/>
      <c r="G225" s="1119">
        <v>14000000</v>
      </c>
      <c r="H225" s="655" t="s">
        <v>2001</v>
      </c>
      <c r="I225" s="664" t="s">
        <v>2054</v>
      </c>
      <c r="J225" s="37" t="s">
        <v>2057</v>
      </c>
      <c r="K225" s="3461"/>
      <c r="L225" s="3461"/>
      <c r="M225" s="3606"/>
    </row>
    <row r="226" spans="1:13" ht="30" customHeight="1" x14ac:dyDescent="0.2">
      <c r="A226" s="3456"/>
      <c r="B226" s="3643"/>
      <c r="C226" s="3576"/>
      <c r="D226" s="3643"/>
      <c r="E226" s="3474"/>
      <c r="F226" s="3461"/>
      <c r="G226" s="1119">
        <v>20000000</v>
      </c>
      <c r="H226" s="655" t="s">
        <v>2001</v>
      </c>
      <c r="I226" s="664" t="s">
        <v>2056</v>
      </c>
      <c r="J226" s="37" t="s">
        <v>2057</v>
      </c>
      <c r="K226" s="3461"/>
      <c r="L226" s="3461"/>
      <c r="M226" s="3606"/>
    </row>
    <row r="227" spans="1:13" ht="30" customHeight="1" x14ac:dyDescent="0.2">
      <c r="A227" s="3456"/>
      <c r="B227" s="3643"/>
      <c r="C227" s="3576"/>
      <c r="D227" s="3643"/>
      <c r="E227" s="3474"/>
      <c r="F227" s="3461"/>
      <c r="G227" s="1119">
        <v>37400000</v>
      </c>
      <c r="H227" s="655" t="s">
        <v>2064</v>
      </c>
      <c r="I227" s="664" t="s">
        <v>2119</v>
      </c>
      <c r="J227" s="427" t="s">
        <v>2057</v>
      </c>
      <c r="K227" s="3461"/>
      <c r="L227" s="3461"/>
      <c r="M227" s="3606"/>
    </row>
    <row r="228" spans="1:13" ht="30" customHeight="1" x14ac:dyDescent="0.2">
      <c r="A228" s="3456"/>
      <c r="B228" s="3643"/>
      <c r="C228" s="3576"/>
      <c r="D228" s="3643"/>
      <c r="E228" s="3474"/>
      <c r="F228" s="3461"/>
      <c r="G228" s="1119">
        <v>2000000</v>
      </c>
      <c r="H228" s="1120"/>
      <c r="I228" s="1142"/>
      <c r="J228" s="962"/>
      <c r="K228" s="3461"/>
      <c r="L228" s="3461"/>
      <c r="M228" s="3606"/>
    </row>
    <row r="229" spans="1:13" ht="30" customHeight="1" x14ac:dyDescent="0.2">
      <c r="A229" s="3456"/>
      <c r="B229" s="3643"/>
      <c r="C229" s="3576"/>
      <c r="D229" s="3643"/>
      <c r="E229" s="3474"/>
      <c r="F229" s="3461"/>
      <c r="G229" s="1119">
        <v>17300000</v>
      </c>
      <c r="H229" s="655" t="s">
        <v>2426</v>
      </c>
      <c r="I229" s="664" t="s">
        <v>2440</v>
      </c>
      <c r="J229" s="682" t="s">
        <v>2057</v>
      </c>
      <c r="K229" s="3461"/>
      <c r="L229" s="3461"/>
      <c r="M229" s="3606"/>
    </row>
    <row r="230" spans="1:13" ht="30" customHeight="1" x14ac:dyDescent="0.2">
      <c r="A230" s="3451"/>
      <c r="B230" s="3526"/>
      <c r="C230" s="3571"/>
      <c r="D230" s="3526"/>
      <c r="E230" s="3445"/>
      <c r="F230" s="3443"/>
      <c r="G230" s="482">
        <v>10000000</v>
      </c>
      <c r="H230" s="482" t="s">
        <v>2572</v>
      </c>
      <c r="I230" s="1140" t="s">
        <v>2596</v>
      </c>
      <c r="J230" s="1141" t="s">
        <v>2057</v>
      </c>
      <c r="K230" s="3443"/>
      <c r="L230" s="3443"/>
      <c r="M230" s="3469"/>
    </row>
    <row r="231" spans="1:13" ht="30" customHeight="1" x14ac:dyDescent="0.2">
      <c r="A231" s="4">
        <v>143</v>
      </c>
      <c r="B231" s="45" t="s">
        <v>10</v>
      </c>
      <c r="C231" s="380"/>
      <c r="D231" s="368">
        <v>50000000</v>
      </c>
      <c r="E231" s="20">
        <v>0.04</v>
      </c>
      <c r="F231" s="368">
        <f t="shared" si="10"/>
        <v>2000000</v>
      </c>
      <c r="G231" s="368"/>
      <c r="H231" s="368"/>
      <c r="I231" s="374"/>
      <c r="J231" s="30"/>
      <c r="K231" s="368"/>
      <c r="L231" s="368">
        <f t="shared" si="11"/>
        <v>2000000</v>
      </c>
      <c r="M231" s="103"/>
    </row>
    <row r="232" spans="1:13" ht="30" customHeight="1" x14ac:dyDescent="0.2">
      <c r="A232" s="4">
        <v>144</v>
      </c>
      <c r="B232" s="45" t="s">
        <v>527</v>
      </c>
      <c r="C232" s="380"/>
      <c r="D232" s="368">
        <v>5000000</v>
      </c>
      <c r="E232" s="20">
        <v>0.05</v>
      </c>
      <c r="F232" s="368">
        <f t="shared" si="10"/>
        <v>250000</v>
      </c>
      <c r="G232" s="368">
        <v>250000</v>
      </c>
      <c r="H232" s="368" t="s">
        <v>1566</v>
      </c>
      <c r="I232" s="374" t="s">
        <v>1677</v>
      </c>
      <c r="J232" s="24" t="s">
        <v>529</v>
      </c>
      <c r="K232" s="368">
        <f>G232</f>
        <v>250000</v>
      </c>
      <c r="L232" s="368">
        <f t="shared" si="11"/>
        <v>0</v>
      </c>
      <c r="M232" s="45"/>
    </row>
    <row r="233" spans="1:13" ht="30" customHeight="1" x14ac:dyDescent="0.2">
      <c r="A233" s="4">
        <v>145</v>
      </c>
      <c r="B233" s="45" t="s">
        <v>11</v>
      </c>
      <c r="C233" s="380" t="s">
        <v>1215</v>
      </c>
      <c r="D233" s="368">
        <v>105000000</v>
      </c>
      <c r="E233" s="20">
        <v>0.04</v>
      </c>
      <c r="F233" s="368">
        <f t="shared" si="10"/>
        <v>4200000</v>
      </c>
      <c r="G233" s="368">
        <v>4200000</v>
      </c>
      <c r="H233" s="368" t="s">
        <v>1800</v>
      </c>
      <c r="I233" s="374" t="s">
        <v>1829</v>
      </c>
      <c r="J233" s="21" t="s">
        <v>1830</v>
      </c>
      <c r="K233" s="368">
        <f>G233</f>
        <v>4200000</v>
      </c>
      <c r="L233" s="368">
        <f t="shared" si="11"/>
        <v>0</v>
      </c>
      <c r="M233" s="45"/>
    </row>
    <row r="234" spans="1:13" ht="30" customHeight="1" x14ac:dyDescent="0.2">
      <c r="A234" s="4">
        <v>146</v>
      </c>
      <c r="B234" s="45" t="s">
        <v>12</v>
      </c>
      <c r="C234" s="380"/>
      <c r="D234" s="368">
        <v>50000000</v>
      </c>
      <c r="E234" s="20">
        <v>4.4999999999999998E-2</v>
      </c>
      <c r="F234" s="368">
        <f t="shared" si="10"/>
        <v>2250000</v>
      </c>
      <c r="G234" s="368"/>
      <c r="H234" s="368"/>
      <c r="I234" s="374"/>
      <c r="J234" s="24"/>
      <c r="K234" s="368"/>
      <c r="L234" s="368">
        <f t="shared" si="11"/>
        <v>2250000</v>
      </c>
      <c r="M234" s="45"/>
    </row>
    <row r="235" spans="1:13" ht="30" customHeight="1" x14ac:dyDescent="0.2">
      <c r="A235" s="4">
        <v>147</v>
      </c>
      <c r="B235" s="45" t="s">
        <v>13</v>
      </c>
      <c r="C235" s="380" t="s">
        <v>1350</v>
      </c>
      <c r="D235" s="368">
        <v>30000000</v>
      </c>
      <c r="E235" s="20">
        <v>0.04</v>
      </c>
      <c r="F235" s="368">
        <f t="shared" si="10"/>
        <v>1200000</v>
      </c>
      <c r="G235" s="368">
        <v>1200000</v>
      </c>
      <c r="H235" s="368" t="s">
        <v>1566</v>
      </c>
      <c r="I235" s="374" t="s">
        <v>1629</v>
      </c>
      <c r="J235" s="30" t="s">
        <v>525</v>
      </c>
      <c r="K235" s="368">
        <f>G235</f>
        <v>1200000</v>
      </c>
      <c r="L235" s="368">
        <f t="shared" si="11"/>
        <v>0</v>
      </c>
      <c r="M235" s="169" t="s">
        <v>526</v>
      </c>
    </row>
    <row r="236" spans="1:13" ht="30" customHeight="1" x14ac:dyDescent="0.2">
      <c r="A236" s="3450">
        <v>148</v>
      </c>
      <c r="B236" s="3457" t="s">
        <v>14</v>
      </c>
      <c r="C236" s="3570" t="s">
        <v>1590</v>
      </c>
      <c r="D236" s="3442">
        <v>55000000</v>
      </c>
      <c r="E236" s="3444">
        <v>0.05</v>
      </c>
      <c r="F236" s="3442">
        <f t="shared" si="10"/>
        <v>2750000</v>
      </c>
      <c r="G236" s="368">
        <v>500000</v>
      </c>
      <c r="H236" s="368" t="s">
        <v>1052</v>
      </c>
      <c r="I236" s="374" t="s">
        <v>1421</v>
      </c>
      <c r="J236" s="24" t="s">
        <v>395</v>
      </c>
      <c r="K236" s="3442">
        <f>G236+G237</f>
        <v>2750000</v>
      </c>
      <c r="L236" s="3442">
        <f t="shared" si="11"/>
        <v>0</v>
      </c>
      <c r="M236" s="3525"/>
    </row>
    <row r="237" spans="1:13" ht="30" customHeight="1" x14ac:dyDescent="0.2">
      <c r="A237" s="3451"/>
      <c r="B237" s="3458"/>
      <c r="C237" s="3571"/>
      <c r="D237" s="3443"/>
      <c r="E237" s="3445"/>
      <c r="F237" s="3443"/>
      <c r="G237" s="594">
        <v>2250000</v>
      </c>
      <c r="H237" s="594" t="s">
        <v>1894</v>
      </c>
      <c r="I237" s="602" t="s">
        <v>1985</v>
      </c>
      <c r="J237" s="427" t="s">
        <v>395</v>
      </c>
      <c r="K237" s="3443"/>
      <c r="L237" s="3443"/>
      <c r="M237" s="3526"/>
    </row>
    <row r="238" spans="1:13" ht="30" customHeight="1" x14ac:dyDescent="0.2">
      <c r="A238" s="4">
        <v>149</v>
      </c>
      <c r="B238" s="45" t="s">
        <v>15</v>
      </c>
      <c r="C238" s="380" t="s">
        <v>1346</v>
      </c>
      <c r="D238" s="368">
        <v>80000000</v>
      </c>
      <c r="E238" s="20">
        <v>0.05</v>
      </c>
      <c r="F238" s="368">
        <f t="shared" si="10"/>
        <v>4000000</v>
      </c>
      <c r="G238" s="368">
        <v>4000000</v>
      </c>
      <c r="H238" s="368" t="s">
        <v>2291</v>
      </c>
      <c r="I238" s="374" t="s">
        <v>2308</v>
      </c>
      <c r="J238" s="30" t="s">
        <v>484</v>
      </c>
      <c r="K238" s="368">
        <f t="shared" ref="K238:K243" si="15">G238</f>
        <v>4000000</v>
      </c>
      <c r="L238" s="368">
        <f t="shared" si="11"/>
        <v>0</v>
      </c>
      <c r="M238" s="168" t="s">
        <v>364</v>
      </c>
    </row>
    <row r="239" spans="1:13" ht="30" customHeight="1" x14ac:dyDescent="0.2">
      <c r="A239" s="4">
        <v>150</v>
      </c>
      <c r="B239" s="45" t="s">
        <v>16</v>
      </c>
      <c r="C239" s="380"/>
      <c r="D239" s="366"/>
      <c r="E239" s="44"/>
      <c r="F239" s="366">
        <f t="shared" si="10"/>
        <v>0</v>
      </c>
      <c r="G239" s="368">
        <v>6400000</v>
      </c>
      <c r="H239" s="368" t="s">
        <v>2198</v>
      </c>
      <c r="I239" s="374" t="s">
        <v>2199</v>
      </c>
      <c r="J239" s="24" t="s">
        <v>2200</v>
      </c>
      <c r="K239" s="368">
        <f t="shared" si="15"/>
        <v>6400000</v>
      </c>
      <c r="L239" s="366">
        <f t="shared" si="11"/>
        <v>-6400000</v>
      </c>
      <c r="M239" s="45"/>
    </row>
    <row r="240" spans="1:13" ht="30" customHeight="1" x14ac:dyDescent="0.2">
      <c r="A240" s="4">
        <v>151</v>
      </c>
      <c r="B240" s="45" t="s">
        <v>17</v>
      </c>
      <c r="C240" s="380" t="s">
        <v>1138</v>
      </c>
      <c r="D240" s="368">
        <v>180000000</v>
      </c>
      <c r="E240" s="20">
        <v>0.05</v>
      </c>
      <c r="F240" s="368">
        <f t="shared" si="10"/>
        <v>9000000</v>
      </c>
      <c r="G240" s="368">
        <v>9000000</v>
      </c>
      <c r="H240" s="368" t="s">
        <v>2273</v>
      </c>
      <c r="I240" s="36" t="s">
        <v>2274</v>
      </c>
      <c r="J240" s="24" t="s">
        <v>2275</v>
      </c>
      <c r="K240" s="368">
        <f t="shared" si="15"/>
        <v>9000000</v>
      </c>
      <c r="L240" s="368">
        <f t="shared" si="11"/>
        <v>0</v>
      </c>
      <c r="M240" s="45"/>
    </row>
    <row r="241" spans="1:13" ht="30" customHeight="1" x14ac:dyDescent="0.2">
      <c r="A241" s="4">
        <v>152</v>
      </c>
      <c r="B241" s="45" t="s">
        <v>1146</v>
      </c>
      <c r="C241" s="380"/>
      <c r="D241" s="368">
        <v>35000000</v>
      </c>
      <c r="E241" s="20">
        <v>4.7E-2</v>
      </c>
      <c r="F241" s="368">
        <v>1650000</v>
      </c>
      <c r="G241" s="368">
        <v>1650000</v>
      </c>
      <c r="H241" s="368" t="s">
        <v>2498</v>
      </c>
      <c r="I241" s="374" t="s">
        <v>2503</v>
      </c>
      <c r="J241" s="24" t="s">
        <v>1148</v>
      </c>
      <c r="K241" s="368">
        <f t="shared" si="15"/>
        <v>1650000</v>
      </c>
      <c r="L241" s="368">
        <f t="shared" si="11"/>
        <v>0</v>
      </c>
      <c r="M241" s="45"/>
    </row>
    <row r="242" spans="1:13" ht="30" customHeight="1" x14ac:dyDescent="0.2">
      <c r="A242" s="4">
        <v>153</v>
      </c>
      <c r="B242" s="45" t="s">
        <v>18</v>
      </c>
      <c r="C242" s="380"/>
      <c r="D242" s="368">
        <v>30000000</v>
      </c>
      <c r="E242" s="20">
        <v>0.04</v>
      </c>
      <c r="F242" s="368">
        <f t="shared" si="10"/>
        <v>1200000</v>
      </c>
      <c r="G242" s="368">
        <v>1200000</v>
      </c>
      <c r="H242" s="368" t="s">
        <v>2340</v>
      </c>
      <c r="I242" s="374" t="s">
        <v>2348</v>
      </c>
      <c r="J242" s="24" t="s">
        <v>2349</v>
      </c>
      <c r="K242" s="368">
        <f t="shared" si="15"/>
        <v>1200000</v>
      </c>
      <c r="L242" s="368">
        <f t="shared" si="11"/>
        <v>0</v>
      </c>
      <c r="M242" s="45"/>
    </row>
    <row r="243" spans="1:13" ht="30" customHeight="1" x14ac:dyDescent="0.2">
      <c r="A243" s="4">
        <v>154</v>
      </c>
      <c r="B243" s="45" t="s">
        <v>19</v>
      </c>
      <c r="C243" s="380" t="s">
        <v>1909</v>
      </c>
      <c r="D243" s="368">
        <v>15000000</v>
      </c>
      <c r="E243" s="20">
        <v>7.0000000000000007E-2</v>
      </c>
      <c r="F243" s="368">
        <f t="shared" si="10"/>
        <v>1050000</v>
      </c>
      <c r="G243" s="368">
        <v>1050000</v>
      </c>
      <c r="H243" s="368" t="s">
        <v>2618</v>
      </c>
      <c r="I243" s="374" t="s">
        <v>2626</v>
      </c>
      <c r="J243" s="24" t="s">
        <v>1330</v>
      </c>
      <c r="K243" s="368">
        <f t="shared" si="15"/>
        <v>1050000</v>
      </c>
      <c r="L243" s="368">
        <f t="shared" si="11"/>
        <v>0</v>
      </c>
      <c r="M243" s="45"/>
    </row>
    <row r="244" spans="1:13" ht="30" customHeight="1" x14ac:dyDescent="0.2">
      <c r="A244" s="4">
        <v>155</v>
      </c>
      <c r="B244" s="45" t="s">
        <v>20</v>
      </c>
      <c r="C244" s="380"/>
      <c r="D244" s="366"/>
      <c r="E244" s="44"/>
      <c r="F244" s="366">
        <f t="shared" si="10"/>
        <v>0</v>
      </c>
      <c r="G244" s="368"/>
      <c r="H244" s="368"/>
      <c r="I244" s="36"/>
      <c r="J244" s="24"/>
      <c r="K244" s="368"/>
      <c r="L244" s="366">
        <f t="shared" si="11"/>
        <v>0</v>
      </c>
      <c r="M244" s="45"/>
    </row>
    <row r="245" spans="1:13" ht="30" customHeight="1" x14ac:dyDescent="0.2">
      <c r="A245" s="686">
        <v>156</v>
      </c>
      <c r="B245" s="188" t="s">
        <v>21</v>
      </c>
      <c r="C245" s="421"/>
      <c r="D245" s="399">
        <v>50000000</v>
      </c>
      <c r="E245" s="20">
        <v>0.04</v>
      </c>
      <c r="F245" s="399">
        <f t="shared" si="10"/>
        <v>2000000</v>
      </c>
      <c r="G245" s="368">
        <v>2000000</v>
      </c>
      <c r="H245" s="368" t="s">
        <v>2131</v>
      </c>
      <c r="I245" s="374" t="s">
        <v>2150</v>
      </c>
      <c r="J245" s="21" t="s">
        <v>472</v>
      </c>
      <c r="K245" s="399">
        <f>G245</f>
        <v>2000000</v>
      </c>
      <c r="L245" s="399">
        <f t="shared" si="11"/>
        <v>0</v>
      </c>
      <c r="M245" s="465" t="s">
        <v>2154</v>
      </c>
    </row>
    <row r="246" spans="1:13" ht="30" customHeight="1" x14ac:dyDescent="0.2">
      <c r="A246" s="4">
        <v>157</v>
      </c>
      <c r="B246" s="45" t="s">
        <v>22</v>
      </c>
      <c r="C246" s="380" t="s">
        <v>1349</v>
      </c>
      <c r="D246" s="368">
        <v>20000000</v>
      </c>
      <c r="E246" s="393">
        <v>0.05</v>
      </c>
      <c r="F246" s="368">
        <f t="shared" si="10"/>
        <v>1000000</v>
      </c>
      <c r="G246" s="368">
        <v>1000000</v>
      </c>
      <c r="H246" s="368" t="s">
        <v>2291</v>
      </c>
      <c r="I246" s="374" t="s">
        <v>2311</v>
      </c>
      <c r="J246" s="24" t="s">
        <v>709</v>
      </c>
      <c r="K246" s="368">
        <f>G246</f>
        <v>1000000</v>
      </c>
      <c r="L246" s="368">
        <f t="shared" si="11"/>
        <v>0</v>
      </c>
      <c r="M246" s="45"/>
    </row>
    <row r="247" spans="1:13" ht="30" customHeight="1" x14ac:dyDescent="0.2">
      <c r="A247" s="3450">
        <v>158</v>
      </c>
      <c r="B247" s="3457" t="s">
        <v>848</v>
      </c>
      <c r="C247" s="380" t="s">
        <v>1378</v>
      </c>
      <c r="D247" s="368">
        <v>120000000</v>
      </c>
      <c r="E247" s="20">
        <v>4.4999999999999998E-2</v>
      </c>
      <c r="F247" s="368">
        <v>5400000</v>
      </c>
      <c r="G247" s="3442">
        <v>6600000</v>
      </c>
      <c r="H247" s="3521" t="s">
        <v>2534</v>
      </c>
      <c r="I247" s="3613"/>
      <c r="J247" s="3613"/>
      <c r="K247" s="3522"/>
      <c r="L247" s="3442">
        <f>(F247+F248)-K247</f>
        <v>6600000</v>
      </c>
      <c r="M247" s="45" t="s">
        <v>2330</v>
      </c>
    </row>
    <row r="248" spans="1:13" ht="30" customHeight="1" x14ac:dyDescent="0.2">
      <c r="A248" s="3456"/>
      <c r="B248" s="3459"/>
      <c r="C248" s="380" t="s">
        <v>1378</v>
      </c>
      <c r="D248" s="368">
        <v>22000000</v>
      </c>
      <c r="E248" s="20">
        <f>F248/D248</f>
        <v>5.4545454545454543E-2</v>
      </c>
      <c r="F248" s="368">
        <v>1200000</v>
      </c>
      <c r="G248" s="3443"/>
      <c r="H248" s="3523"/>
      <c r="I248" s="3614"/>
      <c r="J248" s="3614"/>
      <c r="K248" s="3524"/>
      <c r="L248" s="3443"/>
      <c r="M248" s="45" t="s">
        <v>2339</v>
      </c>
    </row>
    <row r="249" spans="1:13" ht="30" customHeight="1" x14ac:dyDescent="0.2">
      <c r="A249" s="3456"/>
      <c r="B249" s="3459"/>
      <c r="C249" s="761" t="s">
        <v>1378</v>
      </c>
      <c r="D249" s="760">
        <v>160000000</v>
      </c>
      <c r="E249" s="762">
        <v>0.05</v>
      </c>
      <c r="F249" s="760">
        <f>D249*E249</f>
        <v>8000000</v>
      </c>
      <c r="G249" s="3644" t="s">
        <v>2331</v>
      </c>
      <c r="H249" s="3645"/>
      <c r="I249" s="3645"/>
      <c r="J249" s="3645"/>
      <c r="K249" s="3646"/>
      <c r="L249" s="3442"/>
      <c r="M249" s="3525"/>
    </row>
    <row r="250" spans="1:13" ht="30" customHeight="1" x14ac:dyDescent="0.2">
      <c r="A250" s="3451"/>
      <c r="B250" s="3458"/>
      <c r="C250" s="761" t="s">
        <v>1378</v>
      </c>
      <c r="D250" s="760">
        <v>22000000</v>
      </c>
      <c r="E250" s="762">
        <v>5.5E-2</v>
      </c>
      <c r="F250" s="760">
        <v>1200000</v>
      </c>
      <c r="G250" s="3647"/>
      <c r="H250" s="3648"/>
      <c r="I250" s="3648"/>
      <c r="J250" s="3648"/>
      <c r="K250" s="3649"/>
      <c r="L250" s="3443"/>
      <c r="M250" s="3526"/>
    </row>
    <row r="251" spans="1:13" ht="30" customHeight="1" x14ac:dyDescent="0.2">
      <c r="A251" s="4">
        <v>159</v>
      </c>
      <c r="B251" s="45" t="s">
        <v>23</v>
      </c>
      <c r="C251" s="380" t="s">
        <v>1355</v>
      </c>
      <c r="D251" s="368">
        <v>25000000</v>
      </c>
      <c r="E251" s="20">
        <v>0.05</v>
      </c>
      <c r="F251" s="368">
        <f t="shared" si="10"/>
        <v>1250000</v>
      </c>
      <c r="G251" s="368">
        <v>1250000</v>
      </c>
      <c r="H251" s="368" t="s">
        <v>2291</v>
      </c>
      <c r="I251" s="374" t="s">
        <v>2317</v>
      </c>
      <c r="J251" s="24" t="s">
        <v>2318</v>
      </c>
      <c r="K251" s="368">
        <f>G251</f>
        <v>1250000</v>
      </c>
      <c r="L251" s="368">
        <f t="shared" si="11"/>
        <v>0</v>
      </c>
      <c r="M251" s="45"/>
    </row>
    <row r="252" spans="1:13" ht="30" customHeight="1" x14ac:dyDescent="0.2">
      <c r="A252" s="4">
        <v>160</v>
      </c>
      <c r="B252" s="45" t="s">
        <v>24</v>
      </c>
      <c r="C252" s="380"/>
      <c r="D252" s="368">
        <v>55000000</v>
      </c>
      <c r="E252" s="20">
        <v>0.05</v>
      </c>
      <c r="F252" s="368">
        <f t="shared" si="10"/>
        <v>2750000</v>
      </c>
      <c r="G252" s="368">
        <v>2750000</v>
      </c>
      <c r="H252" s="368" t="s">
        <v>2273</v>
      </c>
      <c r="I252" s="374" t="s">
        <v>2287</v>
      </c>
      <c r="J252" s="24" t="s">
        <v>2288</v>
      </c>
      <c r="K252" s="368">
        <f>G252</f>
        <v>2750000</v>
      </c>
      <c r="L252" s="368">
        <f t="shared" si="11"/>
        <v>0</v>
      </c>
      <c r="M252" s="45"/>
    </row>
    <row r="253" spans="1:13" ht="30" customHeight="1" x14ac:dyDescent="0.2">
      <c r="A253" s="4">
        <v>161</v>
      </c>
      <c r="B253" s="45" t="s">
        <v>25</v>
      </c>
      <c r="C253" s="380" t="s">
        <v>1378</v>
      </c>
      <c r="D253" s="368">
        <v>20000000</v>
      </c>
      <c r="E253" s="20">
        <v>4.4999999999999998E-2</v>
      </c>
      <c r="F253" s="368">
        <f t="shared" ref="F253:F321" si="16">D253*E253</f>
        <v>900000</v>
      </c>
      <c r="G253" s="368">
        <v>900000</v>
      </c>
      <c r="H253" s="368" t="s">
        <v>2340</v>
      </c>
      <c r="I253" s="374" t="s">
        <v>2391</v>
      </c>
      <c r="J253" s="24" t="s">
        <v>742</v>
      </c>
      <c r="K253" s="368">
        <f>G253</f>
        <v>900000</v>
      </c>
      <c r="L253" s="368">
        <f t="shared" si="11"/>
        <v>0</v>
      </c>
      <c r="M253" s="45"/>
    </row>
    <row r="254" spans="1:13" ht="30" customHeight="1" x14ac:dyDescent="0.2">
      <c r="A254" s="4">
        <v>162</v>
      </c>
      <c r="B254" s="45" t="s">
        <v>26</v>
      </c>
      <c r="C254" s="380"/>
      <c r="D254" s="368">
        <v>180000000</v>
      </c>
      <c r="E254" s="20">
        <v>0.05</v>
      </c>
      <c r="F254" s="368">
        <f t="shared" si="16"/>
        <v>9000000</v>
      </c>
      <c r="G254" s="368">
        <v>9000000</v>
      </c>
      <c r="H254" s="368" t="s">
        <v>2291</v>
      </c>
      <c r="I254" s="374" t="s">
        <v>2319</v>
      </c>
      <c r="J254" s="24" t="s">
        <v>2320</v>
      </c>
      <c r="K254" s="368">
        <f>G254</f>
        <v>9000000</v>
      </c>
      <c r="L254" s="368">
        <f t="shared" ref="L254:L310" si="17">F254-K254</f>
        <v>0</v>
      </c>
      <c r="M254" s="45"/>
    </row>
    <row r="255" spans="1:13" ht="30" customHeight="1" x14ac:dyDescent="0.2">
      <c r="A255" s="4">
        <v>163</v>
      </c>
      <c r="B255" s="45" t="s">
        <v>854</v>
      </c>
      <c r="C255" s="380"/>
      <c r="D255" s="368">
        <v>200000000</v>
      </c>
      <c r="E255" s="20">
        <v>0.05</v>
      </c>
      <c r="F255" s="368">
        <f t="shared" si="16"/>
        <v>10000000</v>
      </c>
      <c r="G255" s="368">
        <v>10000000</v>
      </c>
      <c r="H255" s="368" t="s">
        <v>2340</v>
      </c>
      <c r="I255" s="374" t="s">
        <v>2343</v>
      </c>
      <c r="J255" s="24" t="s">
        <v>856</v>
      </c>
      <c r="K255" s="368">
        <f>F255</f>
        <v>10000000</v>
      </c>
      <c r="L255" s="368">
        <f t="shared" si="17"/>
        <v>0</v>
      </c>
      <c r="M255" s="45"/>
    </row>
    <row r="256" spans="1:13" ht="30" customHeight="1" x14ac:dyDescent="0.2">
      <c r="A256" s="4">
        <v>164</v>
      </c>
      <c r="B256" s="45" t="s">
        <v>27</v>
      </c>
      <c r="C256" s="380"/>
      <c r="D256" s="368">
        <v>50000000</v>
      </c>
      <c r="E256" s="20">
        <v>0.05</v>
      </c>
      <c r="F256" s="368">
        <f t="shared" si="16"/>
        <v>2500000</v>
      </c>
      <c r="G256" s="368">
        <v>2500000</v>
      </c>
      <c r="H256" s="368" t="s">
        <v>2291</v>
      </c>
      <c r="I256" s="374" t="s">
        <v>2324</v>
      </c>
      <c r="J256" s="24" t="s">
        <v>2325</v>
      </c>
      <c r="K256" s="368">
        <f>G256</f>
        <v>2500000</v>
      </c>
      <c r="L256" s="368">
        <f t="shared" si="17"/>
        <v>0</v>
      </c>
      <c r="M256" s="45"/>
    </row>
    <row r="257" spans="1:13" ht="30" customHeight="1" x14ac:dyDescent="0.2">
      <c r="A257" s="4">
        <v>165</v>
      </c>
      <c r="B257" s="45" t="s">
        <v>28</v>
      </c>
      <c r="C257" s="380" t="s">
        <v>700</v>
      </c>
      <c r="D257" s="368">
        <v>20000000</v>
      </c>
      <c r="E257" s="20">
        <v>0.04</v>
      </c>
      <c r="F257" s="368">
        <f t="shared" si="16"/>
        <v>800000</v>
      </c>
      <c r="G257" s="368">
        <v>800000</v>
      </c>
      <c r="H257" s="368" t="s">
        <v>2426</v>
      </c>
      <c r="I257" s="374" t="s">
        <v>2461</v>
      </c>
      <c r="J257" s="24" t="s">
        <v>764</v>
      </c>
      <c r="K257" s="368">
        <f>G257</f>
        <v>800000</v>
      </c>
      <c r="L257" s="368">
        <f t="shared" si="17"/>
        <v>0</v>
      </c>
      <c r="M257" s="45"/>
    </row>
    <row r="258" spans="1:13" ht="30" customHeight="1" x14ac:dyDescent="0.2">
      <c r="A258" s="4">
        <v>166</v>
      </c>
      <c r="B258" s="45" t="s">
        <v>29</v>
      </c>
      <c r="C258" s="380" t="s">
        <v>564</v>
      </c>
      <c r="D258" s="368">
        <v>100000000</v>
      </c>
      <c r="E258" s="20">
        <v>0.05</v>
      </c>
      <c r="F258" s="368">
        <f t="shared" si="16"/>
        <v>5000000</v>
      </c>
      <c r="G258" s="368">
        <v>5000000</v>
      </c>
      <c r="H258" s="368" t="s">
        <v>2340</v>
      </c>
      <c r="I258" s="374" t="s">
        <v>2352</v>
      </c>
      <c r="J258" s="30" t="s">
        <v>2353</v>
      </c>
      <c r="K258" s="368">
        <f>G258</f>
        <v>5000000</v>
      </c>
      <c r="L258" s="368">
        <f t="shared" si="17"/>
        <v>0</v>
      </c>
      <c r="M258" s="45"/>
    </row>
    <row r="259" spans="1:13" ht="30" customHeight="1" x14ac:dyDescent="0.2">
      <c r="A259" s="4">
        <v>167</v>
      </c>
      <c r="B259" s="45" t="s">
        <v>758</v>
      </c>
      <c r="C259" s="380"/>
      <c r="D259" s="368">
        <v>50000000</v>
      </c>
      <c r="E259" s="20">
        <v>0.05</v>
      </c>
      <c r="F259" s="368">
        <f t="shared" si="16"/>
        <v>2500000</v>
      </c>
      <c r="G259" s="368">
        <v>2500000</v>
      </c>
      <c r="H259" s="368" t="s">
        <v>2291</v>
      </c>
      <c r="I259" s="374" t="s">
        <v>2313</v>
      </c>
      <c r="J259" s="24" t="s">
        <v>760</v>
      </c>
      <c r="K259" s="368">
        <f>G259</f>
        <v>2500000</v>
      </c>
      <c r="L259" s="368">
        <f t="shared" si="17"/>
        <v>0</v>
      </c>
      <c r="M259" s="45"/>
    </row>
    <row r="260" spans="1:13" ht="30" customHeight="1" x14ac:dyDescent="0.2">
      <c r="A260" s="4">
        <v>168</v>
      </c>
      <c r="B260" s="45" t="s">
        <v>844</v>
      </c>
      <c r="C260" s="380"/>
      <c r="D260" s="368">
        <v>50000000</v>
      </c>
      <c r="E260" s="20">
        <v>7.0000000000000007E-2</v>
      </c>
      <c r="F260" s="368">
        <f t="shared" si="16"/>
        <v>3500000.0000000005</v>
      </c>
      <c r="G260" s="368">
        <v>3500000</v>
      </c>
      <c r="H260" s="368" t="s">
        <v>2392</v>
      </c>
      <c r="I260" s="374" t="s">
        <v>2424</v>
      </c>
      <c r="J260" s="24" t="s">
        <v>2425</v>
      </c>
      <c r="K260" s="368">
        <f>G260</f>
        <v>3500000</v>
      </c>
      <c r="L260" s="368">
        <f t="shared" si="17"/>
        <v>0</v>
      </c>
      <c r="M260" s="45"/>
    </row>
    <row r="261" spans="1:13" ht="30" customHeight="1" x14ac:dyDescent="0.2">
      <c r="A261" s="3450">
        <v>169</v>
      </c>
      <c r="B261" s="3457" t="s">
        <v>30</v>
      </c>
      <c r="C261" s="380"/>
      <c r="D261" s="368">
        <v>18000000</v>
      </c>
      <c r="E261" s="20">
        <v>4.4999999999999998E-2</v>
      </c>
      <c r="F261" s="368">
        <f t="shared" si="16"/>
        <v>810000</v>
      </c>
      <c r="G261" s="368"/>
      <c r="H261" s="368"/>
      <c r="I261" s="374"/>
      <c r="J261" s="377"/>
      <c r="K261" s="368"/>
      <c r="L261" s="368">
        <f t="shared" si="17"/>
        <v>810000</v>
      </c>
      <c r="M261" s="45"/>
    </row>
    <row r="262" spans="1:13" ht="30" customHeight="1" x14ac:dyDescent="0.2">
      <c r="A262" s="3451"/>
      <c r="B262" s="3458"/>
      <c r="C262" s="889"/>
      <c r="D262" s="886">
        <v>2000000</v>
      </c>
      <c r="E262" s="895"/>
      <c r="F262" s="886"/>
      <c r="G262" s="3615" t="s">
        <v>2333</v>
      </c>
      <c r="H262" s="3616"/>
      <c r="I262" s="3616"/>
      <c r="J262" s="3616"/>
      <c r="K262" s="3617"/>
      <c r="L262" s="886"/>
      <c r="M262" s="896"/>
    </row>
    <row r="263" spans="1:13" ht="30" customHeight="1" x14ac:dyDescent="0.2">
      <c r="A263" s="4">
        <v>170</v>
      </c>
      <c r="B263" s="45" t="s">
        <v>31</v>
      </c>
      <c r="C263" s="380" t="s">
        <v>1138</v>
      </c>
      <c r="D263" s="368">
        <v>70000000</v>
      </c>
      <c r="E263" s="20">
        <v>0.05</v>
      </c>
      <c r="F263" s="368">
        <f t="shared" si="16"/>
        <v>3500000</v>
      </c>
      <c r="G263" s="368">
        <v>3500000</v>
      </c>
      <c r="H263" s="368" t="s">
        <v>2449</v>
      </c>
      <c r="I263" s="374" t="s">
        <v>2458</v>
      </c>
      <c r="J263" s="24" t="s">
        <v>1158</v>
      </c>
      <c r="K263" s="368">
        <f>G263</f>
        <v>3500000</v>
      </c>
      <c r="L263" s="368">
        <f t="shared" si="17"/>
        <v>0</v>
      </c>
      <c r="M263" s="45"/>
    </row>
    <row r="264" spans="1:13" ht="30" customHeight="1" x14ac:dyDescent="0.2">
      <c r="A264" s="4">
        <v>171</v>
      </c>
      <c r="B264" s="45" t="s">
        <v>32</v>
      </c>
      <c r="C264" s="380" t="s">
        <v>1348</v>
      </c>
      <c r="D264" s="366"/>
      <c r="E264" s="44"/>
      <c r="F264" s="368">
        <v>400000</v>
      </c>
      <c r="G264" s="368"/>
      <c r="H264" s="368"/>
      <c r="I264" s="374"/>
      <c r="J264" s="24"/>
      <c r="K264" s="368"/>
      <c r="L264" s="368">
        <f t="shared" si="17"/>
        <v>400000</v>
      </c>
      <c r="M264" s="103" t="s">
        <v>3069</v>
      </c>
    </row>
    <row r="265" spans="1:13" ht="30" customHeight="1" x14ac:dyDescent="0.2">
      <c r="A265" s="733">
        <v>172</v>
      </c>
      <c r="B265" s="188" t="s">
        <v>33</v>
      </c>
      <c r="C265" s="742"/>
      <c r="D265" s="366">
        <v>5000000</v>
      </c>
      <c r="E265" s="44">
        <v>0.05</v>
      </c>
      <c r="F265" s="366">
        <f t="shared" si="16"/>
        <v>250000</v>
      </c>
      <c r="G265" s="735">
        <v>300000</v>
      </c>
      <c r="H265" s="735" t="s">
        <v>2291</v>
      </c>
      <c r="I265" s="745" t="s">
        <v>2323</v>
      </c>
      <c r="J265" s="24" t="s">
        <v>648</v>
      </c>
      <c r="K265" s="735">
        <f>G265</f>
        <v>300000</v>
      </c>
      <c r="L265" s="737">
        <f t="shared" si="17"/>
        <v>-50000</v>
      </c>
      <c r="M265" s="45"/>
    </row>
    <row r="266" spans="1:13" ht="30" customHeight="1" x14ac:dyDescent="0.2">
      <c r="A266" s="4">
        <v>173</v>
      </c>
      <c r="B266" s="45" t="s">
        <v>34</v>
      </c>
      <c r="C266" s="380"/>
      <c r="D266" s="368">
        <v>40000000</v>
      </c>
      <c r="E266" s="20">
        <v>0.05</v>
      </c>
      <c r="F266" s="368">
        <f t="shared" si="16"/>
        <v>2000000</v>
      </c>
      <c r="G266" s="368">
        <v>2000000</v>
      </c>
      <c r="H266" s="368" t="s">
        <v>2475</v>
      </c>
      <c r="I266" s="374" t="s">
        <v>2483</v>
      </c>
      <c r="J266" s="24" t="s">
        <v>864</v>
      </c>
      <c r="K266" s="368">
        <f>G266</f>
        <v>2000000</v>
      </c>
      <c r="L266" s="368">
        <f t="shared" si="17"/>
        <v>0</v>
      </c>
      <c r="M266" s="45"/>
    </row>
    <row r="267" spans="1:13" ht="30" customHeight="1" x14ac:dyDescent="0.2">
      <c r="A267" s="3450">
        <v>174</v>
      </c>
      <c r="B267" s="3457" t="s">
        <v>35</v>
      </c>
      <c r="C267" s="3570"/>
      <c r="D267" s="829">
        <v>4020000000</v>
      </c>
      <c r="E267" s="832">
        <v>7.0000000000000007E-2</v>
      </c>
      <c r="F267" s="399">
        <f>D267*E267</f>
        <v>281400000</v>
      </c>
      <c r="G267" s="823"/>
      <c r="H267" s="823"/>
      <c r="I267" s="835"/>
      <c r="J267" s="61"/>
      <c r="K267" s="825"/>
      <c r="L267" s="399">
        <f t="shared" si="17"/>
        <v>281400000</v>
      </c>
      <c r="M267" s="45" t="s">
        <v>2453</v>
      </c>
    </row>
    <row r="268" spans="1:13" ht="30" customHeight="1" x14ac:dyDescent="0.2">
      <c r="A268" s="3451"/>
      <c r="B268" s="3458"/>
      <c r="C268" s="3571"/>
      <c r="D268" s="829">
        <v>4545000000</v>
      </c>
      <c r="E268" s="832">
        <v>7.0000000000000007E-2</v>
      </c>
      <c r="F268" s="829">
        <v>318000000</v>
      </c>
      <c r="G268" s="3615" t="s">
        <v>2452</v>
      </c>
      <c r="H268" s="3616"/>
      <c r="I268" s="3616"/>
      <c r="J268" s="3616"/>
      <c r="K268" s="3617"/>
      <c r="L268" s="822"/>
      <c r="M268" s="834" t="s">
        <v>2454</v>
      </c>
    </row>
    <row r="269" spans="1:13" ht="30" customHeight="1" x14ac:dyDescent="0.2">
      <c r="A269" s="4">
        <v>175</v>
      </c>
      <c r="B269" s="45" t="s">
        <v>37</v>
      </c>
      <c r="C269" s="380"/>
      <c r="D269" s="368">
        <v>200000000</v>
      </c>
      <c r="E269" s="393">
        <v>0.05</v>
      </c>
      <c r="F269" s="368">
        <f t="shared" si="16"/>
        <v>10000000</v>
      </c>
      <c r="G269" s="368">
        <v>10000000</v>
      </c>
      <c r="H269" s="368" t="s">
        <v>2340</v>
      </c>
      <c r="I269" s="376" t="s">
        <v>2346</v>
      </c>
      <c r="J269" s="24" t="s">
        <v>2347</v>
      </c>
      <c r="K269" s="368">
        <f t="shared" ref="K269:K272" si="18">G269</f>
        <v>10000000</v>
      </c>
      <c r="L269" s="368">
        <f t="shared" si="17"/>
        <v>0</v>
      </c>
      <c r="M269" s="45"/>
    </row>
    <row r="270" spans="1:13" ht="30" customHeight="1" x14ac:dyDescent="0.2">
      <c r="A270" s="4">
        <v>176</v>
      </c>
      <c r="B270" s="45" t="s">
        <v>38</v>
      </c>
      <c r="C270" s="380" t="s">
        <v>1138</v>
      </c>
      <c r="D270" s="368">
        <v>150000000</v>
      </c>
      <c r="E270" s="20">
        <v>7.0000000000000007E-2</v>
      </c>
      <c r="F270" s="368">
        <f t="shared" si="16"/>
        <v>10500000.000000002</v>
      </c>
      <c r="G270" s="368">
        <v>10500000</v>
      </c>
      <c r="H270" s="368" t="s">
        <v>2426</v>
      </c>
      <c r="I270" s="376" t="s">
        <v>2427</v>
      </c>
      <c r="J270" s="24" t="s">
        <v>2428</v>
      </c>
      <c r="K270" s="368">
        <f t="shared" si="18"/>
        <v>10500000</v>
      </c>
      <c r="L270" s="368">
        <f t="shared" si="17"/>
        <v>0</v>
      </c>
      <c r="M270" s="45"/>
    </row>
    <row r="271" spans="1:13" ht="30" customHeight="1" x14ac:dyDescent="0.2">
      <c r="A271" s="4">
        <v>177</v>
      </c>
      <c r="B271" s="45" t="s">
        <v>39</v>
      </c>
      <c r="C271" s="380"/>
      <c r="D271" s="368">
        <v>25000000</v>
      </c>
      <c r="E271" s="20">
        <v>0.04</v>
      </c>
      <c r="F271" s="368">
        <f t="shared" si="16"/>
        <v>1000000</v>
      </c>
      <c r="G271" s="368">
        <v>1000000</v>
      </c>
      <c r="H271" s="368" t="s">
        <v>2291</v>
      </c>
      <c r="I271" s="374" t="s">
        <v>2300</v>
      </c>
      <c r="J271" s="21" t="s">
        <v>2301</v>
      </c>
      <c r="K271" s="368">
        <f t="shared" si="18"/>
        <v>1000000</v>
      </c>
      <c r="L271" s="368">
        <f t="shared" si="17"/>
        <v>0</v>
      </c>
      <c r="M271" s="45"/>
    </row>
    <row r="272" spans="1:13" ht="30" customHeight="1" x14ac:dyDescent="0.2">
      <c r="A272" s="4">
        <v>178</v>
      </c>
      <c r="B272" s="45" t="s">
        <v>40</v>
      </c>
      <c r="C272" s="380"/>
      <c r="D272" s="368">
        <v>90000000</v>
      </c>
      <c r="E272" s="20">
        <v>4.4999999999999998E-2</v>
      </c>
      <c r="F272" s="368">
        <v>4000000</v>
      </c>
      <c r="G272" s="368">
        <v>4000000</v>
      </c>
      <c r="H272" s="368" t="s">
        <v>2273</v>
      </c>
      <c r="I272" s="374" t="s">
        <v>2289</v>
      </c>
      <c r="J272" s="24" t="s">
        <v>2290</v>
      </c>
      <c r="K272" s="368">
        <f t="shared" si="18"/>
        <v>4000000</v>
      </c>
      <c r="L272" s="368">
        <f t="shared" si="17"/>
        <v>0</v>
      </c>
      <c r="M272" s="45"/>
    </row>
    <row r="273" spans="1:13" ht="30" customHeight="1" x14ac:dyDescent="0.2">
      <c r="A273" s="3450">
        <v>179</v>
      </c>
      <c r="B273" s="3457" t="s">
        <v>41</v>
      </c>
      <c r="C273" s="3570"/>
      <c r="D273" s="3505"/>
      <c r="E273" s="3507"/>
      <c r="F273" s="3505">
        <f t="shared" si="16"/>
        <v>0</v>
      </c>
      <c r="G273" s="869">
        <v>65000000</v>
      </c>
      <c r="H273" s="869" t="s">
        <v>1848</v>
      </c>
      <c r="I273" s="882" t="s">
        <v>2082</v>
      </c>
      <c r="J273" s="24" t="s">
        <v>2083</v>
      </c>
      <c r="K273" s="3442">
        <f>G273+G274</f>
        <v>81000000</v>
      </c>
      <c r="L273" s="3505">
        <f t="shared" si="17"/>
        <v>-81000000</v>
      </c>
      <c r="M273" s="3525"/>
    </row>
    <row r="274" spans="1:13" ht="30" customHeight="1" x14ac:dyDescent="0.2">
      <c r="A274" s="3451"/>
      <c r="B274" s="3458"/>
      <c r="C274" s="3571"/>
      <c r="D274" s="3506"/>
      <c r="E274" s="3508"/>
      <c r="F274" s="3506"/>
      <c r="G274" s="869">
        <v>16000000</v>
      </c>
      <c r="H274" s="869" t="s">
        <v>2498</v>
      </c>
      <c r="I274" s="882" t="s">
        <v>2525</v>
      </c>
      <c r="J274" s="24" t="s">
        <v>1121</v>
      </c>
      <c r="K274" s="3443"/>
      <c r="L274" s="3506"/>
      <c r="M274" s="3526"/>
    </row>
    <row r="275" spans="1:13" ht="30" customHeight="1" x14ac:dyDescent="0.2">
      <c r="A275" s="3450">
        <v>180</v>
      </c>
      <c r="B275" s="3457" t="s">
        <v>42</v>
      </c>
      <c r="C275" s="3466" t="s">
        <v>2533</v>
      </c>
      <c r="D275" s="3442">
        <v>300000000</v>
      </c>
      <c r="E275" s="3444">
        <v>5.7000000000000002E-2</v>
      </c>
      <c r="F275" s="3442">
        <v>17000000</v>
      </c>
      <c r="G275" s="368">
        <v>7000000</v>
      </c>
      <c r="H275" s="368" t="s">
        <v>2340</v>
      </c>
      <c r="I275" s="36" t="s">
        <v>2389</v>
      </c>
      <c r="J275" s="24" t="s">
        <v>2390</v>
      </c>
      <c r="K275" s="3442">
        <f>G275+G276</f>
        <v>17000000</v>
      </c>
      <c r="L275" s="3442">
        <f t="shared" si="17"/>
        <v>0</v>
      </c>
      <c r="M275" s="3525"/>
    </row>
    <row r="276" spans="1:13" ht="30" customHeight="1" x14ac:dyDescent="0.2">
      <c r="A276" s="3451"/>
      <c r="B276" s="3458"/>
      <c r="C276" s="3467"/>
      <c r="D276" s="3443"/>
      <c r="E276" s="3445"/>
      <c r="F276" s="3443"/>
      <c r="G276" s="869">
        <v>10000000</v>
      </c>
      <c r="H276" s="869" t="s">
        <v>2498</v>
      </c>
      <c r="I276" s="882" t="s">
        <v>2522</v>
      </c>
      <c r="J276" s="24" t="s">
        <v>2390</v>
      </c>
      <c r="K276" s="3443"/>
      <c r="L276" s="3443"/>
      <c r="M276" s="3526"/>
    </row>
    <row r="277" spans="1:13" ht="30" customHeight="1" x14ac:dyDescent="0.2">
      <c r="A277" s="4">
        <v>181</v>
      </c>
      <c r="B277" s="45" t="s">
        <v>43</v>
      </c>
      <c r="C277" s="380" t="s">
        <v>1018</v>
      </c>
      <c r="D277" s="368">
        <v>50000000</v>
      </c>
      <c r="E277" s="20">
        <v>0.05</v>
      </c>
      <c r="F277" s="368">
        <f t="shared" si="16"/>
        <v>2500000</v>
      </c>
      <c r="G277" s="368">
        <v>2500000</v>
      </c>
      <c r="H277" s="368" t="s">
        <v>2544</v>
      </c>
      <c r="I277" s="374" t="s">
        <v>2546</v>
      </c>
      <c r="J277" s="24" t="s">
        <v>1017</v>
      </c>
      <c r="K277" s="368">
        <f t="shared" ref="K277:K282" si="19">G277</f>
        <v>2500000</v>
      </c>
      <c r="L277" s="368">
        <f t="shared" si="17"/>
        <v>0</v>
      </c>
      <c r="M277" s="45"/>
    </row>
    <row r="278" spans="1:13" ht="30" customHeight="1" x14ac:dyDescent="0.2">
      <c r="A278" s="4">
        <v>182</v>
      </c>
      <c r="B278" s="45" t="s">
        <v>44</v>
      </c>
      <c r="C278" s="876" t="s">
        <v>1018</v>
      </c>
      <c r="D278" s="368">
        <v>25000000</v>
      </c>
      <c r="E278" s="20">
        <v>0.05</v>
      </c>
      <c r="F278" s="368">
        <f t="shared" si="16"/>
        <v>1250000</v>
      </c>
      <c r="G278" s="368">
        <v>1250000</v>
      </c>
      <c r="H278" s="368" t="s">
        <v>2498</v>
      </c>
      <c r="I278" s="374" t="s">
        <v>2509</v>
      </c>
      <c r="J278" s="24" t="s">
        <v>1036</v>
      </c>
      <c r="K278" s="368">
        <f t="shared" si="19"/>
        <v>1250000</v>
      </c>
      <c r="L278" s="368">
        <f t="shared" si="17"/>
        <v>0</v>
      </c>
      <c r="M278" s="45"/>
    </row>
    <row r="279" spans="1:13" ht="30" customHeight="1" x14ac:dyDescent="0.2">
      <c r="A279" s="4">
        <v>183</v>
      </c>
      <c r="B279" s="45" t="s">
        <v>45</v>
      </c>
      <c r="C279" s="380" t="s">
        <v>1131</v>
      </c>
      <c r="D279" s="368">
        <v>100000000</v>
      </c>
      <c r="E279" s="20">
        <v>0.05</v>
      </c>
      <c r="F279" s="368">
        <f t="shared" si="16"/>
        <v>5000000</v>
      </c>
      <c r="G279" s="368">
        <v>5000000</v>
      </c>
      <c r="H279" s="368" t="s">
        <v>2475</v>
      </c>
      <c r="I279" s="374" t="s">
        <v>2484</v>
      </c>
      <c r="J279" s="24" t="s">
        <v>1186</v>
      </c>
      <c r="K279" s="368">
        <f t="shared" si="19"/>
        <v>5000000</v>
      </c>
      <c r="L279" s="368">
        <f t="shared" si="17"/>
        <v>0</v>
      </c>
      <c r="M279" s="168" t="s">
        <v>2485</v>
      </c>
    </row>
    <row r="280" spans="1:13" ht="30" customHeight="1" x14ac:dyDescent="0.2">
      <c r="A280" s="4">
        <v>184</v>
      </c>
      <c r="B280" s="45" t="s">
        <v>46</v>
      </c>
      <c r="C280" s="380" t="s">
        <v>1018</v>
      </c>
      <c r="D280" s="368">
        <v>20000000</v>
      </c>
      <c r="E280" s="20">
        <v>0.05</v>
      </c>
      <c r="F280" s="368">
        <f t="shared" si="16"/>
        <v>1000000</v>
      </c>
      <c r="G280" s="368">
        <v>1000000</v>
      </c>
      <c r="H280" s="368" t="s">
        <v>2455</v>
      </c>
      <c r="I280" s="374" t="s">
        <v>2456</v>
      </c>
      <c r="J280" s="24" t="s">
        <v>2457</v>
      </c>
      <c r="K280" s="368">
        <f t="shared" si="19"/>
        <v>1000000</v>
      </c>
      <c r="L280" s="368">
        <f t="shared" si="17"/>
        <v>0</v>
      </c>
      <c r="M280" s="45"/>
    </row>
    <row r="281" spans="1:13" ht="30" customHeight="1" x14ac:dyDescent="0.2">
      <c r="A281" s="4">
        <v>185</v>
      </c>
      <c r="B281" s="45" t="s">
        <v>47</v>
      </c>
      <c r="C281" s="380" t="s">
        <v>1019</v>
      </c>
      <c r="D281" s="368">
        <v>70000000</v>
      </c>
      <c r="E281" s="20">
        <v>0.05</v>
      </c>
      <c r="F281" s="368">
        <f t="shared" si="16"/>
        <v>3500000</v>
      </c>
      <c r="G281" s="368">
        <v>3500000</v>
      </c>
      <c r="H281" s="368" t="s">
        <v>2498</v>
      </c>
      <c r="I281" s="374" t="s">
        <v>2504</v>
      </c>
      <c r="J281" s="24" t="s">
        <v>2505</v>
      </c>
      <c r="K281" s="368">
        <f t="shared" si="19"/>
        <v>3500000</v>
      </c>
      <c r="L281" s="368">
        <f t="shared" si="17"/>
        <v>0</v>
      </c>
      <c r="M281" s="45"/>
    </row>
    <row r="282" spans="1:13" ht="30" customHeight="1" x14ac:dyDescent="0.2">
      <c r="A282" s="4">
        <v>186</v>
      </c>
      <c r="B282" s="45" t="s">
        <v>48</v>
      </c>
      <c r="C282" s="380"/>
      <c r="D282" s="368">
        <v>8000000</v>
      </c>
      <c r="E282" s="20">
        <v>0.04</v>
      </c>
      <c r="F282" s="368">
        <f t="shared" si="16"/>
        <v>320000</v>
      </c>
      <c r="G282" s="368">
        <v>320000</v>
      </c>
      <c r="H282" s="368" t="s">
        <v>2426</v>
      </c>
      <c r="I282" s="374" t="s">
        <v>2429</v>
      </c>
      <c r="J282" s="24" t="s">
        <v>2430</v>
      </c>
      <c r="K282" s="368">
        <f t="shared" si="19"/>
        <v>320000</v>
      </c>
      <c r="L282" s="368">
        <f t="shared" si="17"/>
        <v>0</v>
      </c>
      <c r="M282" s="45"/>
    </row>
    <row r="283" spans="1:13" ht="30" customHeight="1" x14ac:dyDescent="0.2">
      <c r="A283" s="4">
        <v>187</v>
      </c>
      <c r="B283" s="45" t="s">
        <v>2601</v>
      </c>
      <c r="C283" s="380" t="s">
        <v>1175</v>
      </c>
      <c r="D283" s="368">
        <v>200000000</v>
      </c>
      <c r="E283" s="20">
        <v>0.05</v>
      </c>
      <c r="F283" s="368">
        <f t="shared" si="16"/>
        <v>10000000</v>
      </c>
      <c r="G283" s="368"/>
      <c r="H283" s="368"/>
      <c r="I283" s="374"/>
      <c r="J283" s="24"/>
      <c r="K283" s="368"/>
      <c r="L283" s="368">
        <f t="shared" si="17"/>
        <v>10000000</v>
      </c>
      <c r="M283" s="45"/>
    </row>
    <row r="284" spans="1:13" ht="30" customHeight="1" x14ac:dyDescent="0.2">
      <c r="A284" s="4">
        <v>188</v>
      </c>
      <c r="B284" s="45" t="s">
        <v>50</v>
      </c>
      <c r="C284" s="380"/>
      <c r="D284" s="368">
        <v>200000000</v>
      </c>
      <c r="E284" s="20">
        <v>0.05</v>
      </c>
      <c r="F284" s="368">
        <f t="shared" si="16"/>
        <v>10000000</v>
      </c>
      <c r="G284" s="368">
        <v>10000000</v>
      </c>
      <c r="H284" s="368" t="s">
        <v>2273</v>
      </c>
      <c r="I284" s="374" t="s">
        <v>2283</v>
      </c>
      <c r="J284" s="24" t="s">
        <v>2284</v>
      </c>
      <c r="K284" s="368">
        <f>G284</f>
        <v>10000000</v>
      </c>
      <c r="L284" s="368">
        <f t="shared" si="17"/>
        <v>0</v>
      </c>
      <c r="M284" s="45"/>
    </row>
    <row r="285" spans="1:13" ht="30" customHeight="1" x14ac:dyDescent="0.2">
      <c r="A285" s="4">
        <v>189</v>
      </c>
      <c r="B285" s="45" t="s">
        <v>51</v>
      </c>
      <c r="C285" s="380" t="s">
        <v>700</v>
      </c>
      <c r="D285" s="368">
        <v>15000000</v>
      </c>
      <c r="E285" s="20">
        <v>0.05</v>
      </c>
      <c r="F285" s="368">
        <f t="shared" si="16"/>
        <v>750000</v>
      </c>
      <c r="G285" s="368">
        <v>750000</v>
      </c>
      <c r="H285" s="368" t="s">
        <v>2449</v>
      </c>
      <c r="I285" s="374" t="s">
        <v>2466</v>
      </c>
      <c r="J285" s="24" t="s">
        <v>860</v>
      </c>
      <c r="K285" s="368">
        <f>G285</f>
        <v>750000</v>
      </c>
      <c r="L285" s="368">
        <f t="shared" si="17"/>
        <v>0</v>
      </c>
      <c r="M285" s="45"/>
    </row>
    <row r="286" spans="1:13" ht="30" customHeight="1" x14ac:dyDescent="0.2">
      <c r="A286" s="3450">
        <v>190</v>
      </c>
      <c r="B286" s="3457" t="s">
        <v>52</v>
      </c>
      <c r="C286" s="380" t="s">
        <v>1131</v>
      </c>
      <c r="D286" s="368">
        <v>80000000</v>
      </c>
      <c r="E286" s="20">
        <v>0.05</v>
      </c>
      <c r="F286" s="368">
        <f t="shared" si="16"/>
        <v>4000000</v>
      </c>
      <c r="G286" s="3442">
        <v>14000000</v>
      </c>
      <c r="H286" s="3442" t="s">
        <v>2618</v>
      </c>
      <c r="I286" s="3577" t="s">
        <v>2619</v>
      </c>
      <c r="J286" s="3452" t="s">
        <v>2587</v>
      </c>
      <c r="K286" s="3442">
        <f>G286</f>
        <v>14000000</v>
      </c>
      <c r="L286" s="3442">
        <f>(F286+F287)-K286</f>
        <v>0</v>
      </c>
      <c r="M286" s="3525"/>
    </row>
    <row r="287" spans="1:13" ht="30" customHeight="1" x14ac:dyDescent="0.2">
      <c r="A287" s="3451"/>
      <c r="B287" s="3458"/>
      <c r="C287" s="380" t="s">
        <v>1131</v>
      </c>
      <c r="D287" s="368">
        <v>200000000</v>
      </c>
      <c r="E287" s="20">
        <v>0.05</v>
      </c>
      <c r="F287" s="368">
        <f t="shared" si="16"/>
        <v>10000000</v>
      </c>
      <c r="G287" s="3443"/>
      <c r="H287" s="3443"/>
      <c r="I287" s="3578"/>
      <c r="J287" s="3453"/>
      <c r="K287" s="3443"/>
      <c r="L287" s="3443"/>
      <c r="M287" s="3526"/>
    </row>
    <row r="288" spans="1:13" ht="30" customHeight="1" x14ac:dyDescent="0.2">
      <c r="A288" s="386">
        <v>191</v>
      </c>
      <c r="B288" s="188" t="s">
        <v>53</v>
      </c>
      <c r="C288" s="380" t="s">
        <v>265</v>
      </c>
      <c r="D288" s="368">
        <v>700000000</v>
      </c>
      <c r="E288" s="20">
        <v>7.6999999999999999E-2</v>
      </c>
      <c r="F288" s="368">
        <v>54000000</v>
      </c>
      <c r="G288" s="368">
        <v>34000000</v>
      </c>
      <c r="H288" s="368" t="s">
        <v>1894</v>
      </c>
      <c r="I288" s="36" t="s">
        <v>1934</v>
      </c>
      <c r="J288" s="24" t="s">
        <v>696</v>
      </c>
      <c r="K288" s="368">
        <f>G288</f>
        <v>34000000</v>
      </c>
      <c r="L288" s="368">
        <f t="shared" si="17"/>
        <v>20000000</v>
      </c>
      <c r="M288" s="168" t="s">
        <v>1396</v>
      </c>
    </row>
    <row r="289" spans="1:13" ht="30" customHeight="1" x14ac:dyDescent="0.2">
      <c r="A289" s="3450">
        <v>192</v>
      </c>
      <c r="B289" s="3457" t="s">
        <v>54</v>
      </c>
      <c r="C289" s="3570" t="s">
        <v>1342</v>
      </c>
      <c r="D289" s="846">
        <v>1500000000</v>
      </c>
      <c r="E289" s="854">
        <v>7.0000000000000007E-2</v>
      </c>
      <c r="F289" s="846">
        <f t="shared" si="16"/>
        <v>105000000.00000001</v>
      </c>
      <c r="G289" s="846">
        <v>45000000</v>
      </c>
      <c r="H289" s="3442" t="s">
        <v>2131</v>
      </c>
      <c r="I289" s="3577" t="s">
        <v>2132</v>
      </c>
      <c r="J289" s="3452" t="s">
        <v>888</v>
      </c>
      <c r="K289" s="846">
        <f>G289</f>
        <v>45000000</v>
      </c>
      <c r="L289" s="846">
        <f>F289-60000000-G289</f>
        <v>0</v>
      </c>
      <c r="M289" s="385" t="s">
        <v>2118</v>
      </c>
    </row>
    <row r="290" spans="1:13" ht="30" customHeight="1" x14ac:dyDescent="0.2">
      <c r="A290" s="3456"/>
      <c r="B290" s="3459"/>
      <c r="C290" s="3576"/>
      <c r="D290" s="3521" t="s">
        <v>2411</v>
      </c>
      <c r="E290" s="3613"/>
      <c r="F290" s="3522"/>
      <c r="G290" s="846">
        <v>5000000</v>
      </c>
      <c r="H290" s="3443"/>
      <c r="I290" s="3578"/>
      <c r="J290" s="3453"/>
      <c r="K290" s="3442">
        <f>G290+G291+G292</f>
        <v>95000000</v>
      </c>
      <c r="L290" s="3442">
        <f>100000000-K290</f>
        <v>5000000</v>
      </c>
      <c r="M290" s="815" t="s">
        <v>2418</v>
      </c>
    </row>
    <row r="291" spans="1:13" ht="30" customHeight="1" x14ac:dyDescent="0.2">
      <c r="A291" s="3456"/>
      <c r="B291" s="3459"/>
      <c r="C291" s="3576"/>
      <c r="D291" s="3691"/>
      <c r="E291" s="3355"/>
      <c r="F291" s="3692"/>
      <c r="G291" s="846">
        <v>50000000</v>
      </c>
      <c r="H291" s="846" t="s">
        <v>2291</v>
      </c>
      <c r="I291" s="852" t="s">
        <v>2292</v>
      </c>
      <c r="J291" s="24" t="s">
        <v>888</v>
      </c>
      <c r="K291" s="3461"/>
      <c r="L291" s="3461"/>
      <c r="M291" s="192" t="s">
        <v>2419</v>
      </c>
    </row>
    <row r="292" spans="1:13" ht="30" customHeight="1" x14ac:dyDescent="0.2">
      <c r="A292" s="3456"/>
      <c r="B292" s="3459"/>
      <c r="C292" s="3576"/>
      <c r="D292" s="3691"/>
      <c r="E292" s="3355"/>
      <c r="F292" s="3692"/>
      <c r="G292" s="846">
        <v>40000000</v>
      </c>
      <c r="H292" s="846" t="s">
        <v>2449</v>
      </c>
      <c r="I292" s="852" t="s">
        <v>2473</v>
      </c>
      <c r="J292" s="24" t="s">
        <v>888</v>
      </c>
      <c r="K292" s="3443"/>
      <c r="L292" s="3443"/>
      <c r="M292" s="3606" t="s">
        <v>2417</v>
      </c>
    </row>
    <row r="293" spans="1:13" ht="30" customHeight="1" x14ac:dyDescent="0.2">
      <c r="A293" s="3456"/>
      <c r="B293" s="3459"/>
      <c r="C293" s="3576"/>
      <c r="D293" s="3523"/>
      <c r="E293" s="3614"/>
      <c r="F293" s="3524"/>
      <c r="G293" s="850"/>
      <c r="H293" s="853"/>
      <c r="I293" s="868"/>
      <c r="J293" s="588"/>
      <c r="K293" s="851"/>
      <c r="L293" s="846"/>
      <c r="M293" s="3606"/>
    </row>
    <row r="294" spans="1:13" ht="30" customHeight="1" x14ac:dyDescent="0.2">
      <c r="A294" s="3451"/>
      <c r="B294" s="3458"/>
      <c r="C294" s="3571"/>
      <c r="D294" s="846">
        <v>1400000000</v>
      </c>
      <c r="E294" s="854">
        <v>7.0000000000000007E-2</v>
      </c>
      <c r="F294" s="846">
        <f>D294*E294</f>
        <v>98000000.000000015</v>
      </c>
      <c r="G294" s="3478" t="s">
        <v>2117</v>
      </c>
      <c r="H294" s="3479"/>
      <c r="I294" s="3479"/>
      <c r="J294" s="3479"/>
      <c r="K294" s="3480"/>
      <c r="L294" s="846"/>
      <c r="M294" s="3469"/>
    </row>
    <row r="295" spans="1:13" ht="30" customHeight="1" x14ac:dyDescent="0.2">
      <c r="A295" s="4">
        <v>193</v>
      </c>
      <c r="B295" s="45" t="s">
        <v>55</v>
      </c>
      <c r="C295" s="380" t="s">
        <v>1378</v>
      </c>
      <c r="D295" s="368">
        <v>45000000</v>
      </c>
      <c r="E295" s="20">
        <v>0.04</v>
      </c>
      <c r="F295" s="368">
        <f t="shared" si="16"/>
        <v>1800000</v>
      </c>
      <c r="G295" s="368">
        <v>1800000</v>
      </c>
      <c r="H295" s="368">
        <v>184048</v>
      </c>
      <c r="I295" s="374" t="s">
        <v>2475</v>
      </c>
      <c r="J295" s="377" t="s">
        <v>1026</v>
      </c>
      <c r="K295" s="368">
        <f>G295</f>
        <v>1800000</v>
      </c>
      <c r="L295" s="368">
        <f t="shared" si="17"/>
        <v>0</v>
      </c>
      <c r="M295" s="45"/>
    </row>
    <row r="296" spans="1:13" ht="30" customHeight="1" x14ac:dyDescent="0.2">
      <c r="A296" s="3450">
        <v>194</v>
      </c>
      <c r="B296" s="3525" t="s">
        <v>56</v>
      </c>
      <c r="C296" s="3570"/>
      <c r="D296" s="3505"/>
      <c r="E296" s="3551"/>
      <c r="F296" s="3505">
        <f t="shared" si="16"/>
        <v>0</v>
      </c>
      <c r="G296" s="399">
        <v>6000000</v>
      </c>
      <c r="H296" s="399" t="s">
        <v>2475</v>
      </c>
      <c r="I296" s="424" t="s">
        <v>2480</v>
      </c>
      <c r="J296" s="37" t="s">
        <v>2481</v>
      </c>
      <c r="K296" s="3442">
        <f>G296+G297</f>
        <v>6500000</v>
      </c>
      <c r="L296" s="3505">
        <f t="shared" si="17"/>
        <v>-6500000</v>
      </c>
      <c r="M296" s="3525"/>
    </row>
    <row r="297" spans="1:13" ht="30" customHeight="1" x14ac:dyDescent="0.2">
      <c r="A297" s="3451"/>
      <c r="B297" s="3526"/>
      <c r="C297" s="3571"/>
      <c r="D297" s="3506"/>
      <c r="E297" s="3552"/>
      <c r="F297" s="3506"/>
      <c r="G297" s="846">
        <v>500000</v>
      </c>
      <c r="H297" s="846" t="s">
        <v>2475</v>
      </c>
      <c r="I297" s="852" t="s">
        <v>2482</v>
      </c>
      <c r="J297" s="856" t="s">
        <v>2481</v>
      </c>
      <c r="K297" s="3443"/>
      <c r="L297" s="3506"/>
      <c r="M297" s="3526"/>
    </row>
    <row r="298" spans="1:13" ht="30" customHeight="1" x14ac:dyDescent="0.2">
      <c r="A298" s="4">
        <v>195</v>
      </c>
      <c r="B298" s="388" t="s">
        <v>57</v>
      </c>
      <c r="C298" s="380" t="s">
        <v>1019</v>
      </c>
      <c r="D298" s="368">
        <v>10000000</v>
      </c>
      <c r="E298" s="393">
        <v>0.05</v>
      </c>
      <c r="F298" s="368">
        <f t="shared" si="16"/>
        <v>500000</v>
      </c>
      <c r="G298" s="368">
        <v>500000</v>
      </c>
      <c r="H298" s="368" t="s">
        <v>2498</v>
      </c>
      <c r="I298" s="374" t="s">
        <v>2508</v>
      </c>
      <c r="J298" s="24" t="s">
        <v>1152</v>
      </c>
      <c r="K298" s="368">
        <f>G298</f>
        <v>500000</v>
      </c>
      <c r="L298" s="368">
        <f t="shared" si="17"/>
        <v>0</v>
      </c>
      <c r="M298" s="45"/>
    </row>
    <row r="299" spans="1:13" ht="30" customHeight="1" x14ac:dyDescent="0.2">
      <c r="A299" s="3450">
        <v>196</v>
      </c>
      <c r="B299" s="3457" t="s">
        <v>58</v>
      </c>
      <c r="C299" s="380" t="s">
        <v>1138</v>
      </c>
      <c r="D299" s="368">
        <v>20000000</v>
      </c>
      <c r="E299" s="20">
        <v>0.04</v>
      </c>
      <c r="F299" s="368">
        <f t="shared" si="16"/>
        <v>800000</v>
      </c>
      <c r="G299" s="368">
        <v>800000</v>
      </c>
      <c r="H299" s="368" t="s">
        <v>2449</v>
      </c>
      <c r="I299" s="374" t="s">
        <v>2462</v>
      </c>
      <c r="J299" s="24" t="s">
        <v>2463</v>
      </c>
      <c r="K299" s="368">
        <f>G299</f>
        <v>800000</v>
      </c>
      <c r="L299" s="368">
        <f t="shared" si="17"/>
        <v>0</v>
      </c>
      <c r="M299" s="45"/>
    </row>
    <row r="300" spans="1:13" ht="30" customHeight="1" x14ac:dyDescent="0.2">
      <c r="A300" s="3451"/>
      <c r="B300" s="3458"/>
      <c r="C300" s="679" t="s">
        <v>2127</v>
      </c>
      <c r="D300" s="674">
        <v>30000000</v>
      </c>
      <c r="E300" s="680">
        <v>0.05</v>
      </c>
      <c r="F300" s="674">
        <f t="shared" si="16"/>
        <v>1500000</v>
      </c>
      <c r="G300" s="3615" t="s">
        <v>2128</v>
      </c>
      <c r="H300" s="3616"/>
      <c r="I300" s="3616"/>
      <c r="J300" s="3616"/>
      <c r="K300" s="3617"/>
      <c r="L300" s="674">
        <f t="shared" si="17"/>
        <v>1500000</v>
      </c>
      <c r="M300" s="45"/>
    </row>
    <row r="301" spans="1:13" ht="30" customHeight="1" x14ac:dyDescent="0.2">
      <c r="A301" s="4">
        <v>197</v>
      </c>
      <c r="B301" s="45" t="s">
        <v>59</v>
      </c>
      <c r="C301" s="380"/>
      <c r="D301" s="368">
        <v>150000000</v>
      </c>
      <c r="E301" s="20">
        <v>0.04</v>
      </c>
      <c r="F301" s="368">
        <f t="shared" si="16"/>
        <v>6000000</v>
      </c>
      <c r="G301" s="368">
        <v>6000000</v>
      </c>
      <c r="H301" s="368" t="s">
        <v>2449</v>
      </c>
      <c r="I301" s="374" t="s">
        <v>2450</v>
      </c>
      <c r="J301" s="377" t="s">
        <v>2451</v>
      </c>
      <c r="K301" s="368">
        <f>G301</f>
        <v>6000000</v>
      </c>
      <c r="L301" s="368">
        <f t="shared" si="17"/>
        <v>0</v>
      </c>
      <c r="M301" s="45"/>
    </row>
    <row r="302" spans="1:13" ht="30" customHeight="1" x14ac:dyDescent="0.2">
      <c r="A302" s="4">
        <v>198</v>
      </c>
      <c r="B302" s="45" t="s">
        <v>60</v>
      </c>
      <c r="C302" s="380"/>
      <c r="D302" s="368">
        <v>30000000</v>
      </c>
      <c r="E302" s="20">
        <v>8.5000000000000006E-2</v>
      </c>
      <c r="F302" s="368">
        <v>2500000</v>
      </c>
      <c r="G302" s="368">
        <v>2500000</v>
      </c>
      <c r="H302" s="368" t="s">
        <v>2618</v>
      </c>
      <c r="I302" s="374" t="s">
        <v>2636</v>
      </c>
      <c r="J302" s="377" t="s">
        <v>2637</v>
      </c>
      <c r="K302" s="368">
        <f>G302</f>
        <v>2500000</v>
      </c>
      <c r="L302" s="975">
        <f t="shared" si="17"/>
        <v>0</v>
      </c>
      <c r="M302" s="45"/>
    </row>
    <row r="303" spans="1:13" ht="30" customHeight="1" x14ac:dyDescent="0.2">
      <c r="A303" s="4">
        <v>199</v>
      </c>
      <c r="B303" s="45" t="s">
        <v>61</v>
      </c>
      <c r="C303" s="380" t="s">
        <v>1131</v>
      </c>
      <c r="D303" s="368">
        <v>50000000</v>
      </c>
      <c r="E303" s="20">
        <v>0.05</v>
      </c>
      <c r="F303" s="368">
        <f t="shared" si="16"/>
        <v>2500000</v>
      </c>
      <c r="G303" s="368">
        <v>2500000</v>
      </c>
      <c r="H303" s="368" t="s">
        <v>2498</v>
      </c>
      <c r="I303" s="374" t="s">
        <v>2540</v>
      </c>
      <c r="J303" s="377" t="s">
        <v>2541</v>
      </c>
      <c r="K303" s="368">
        <f>G303</f>
        <v>2500000</v>
      </c>
      <c r="L303" s="368">
        <f t="shared" si="17"/>
        <v>0</v>
      </c>
      <c r="M303" s="45"/>
    </row>
    <row r="304" spans="1:13" ht="30" customHeight="1" x14ac:dyDescent="0.2">
      <c r="A304" s="4">
        <v>200</v>
      </c>
      <c r="B304" s="45" t="s">
        <v>62</v>
      </c>
      <c r="C304" s="380" t="s">
        <v>1112</v>
      </c>
      <c r="D304" s="368">
        <v>350000000</v>
      </c>
      <c r="E304" s="20">
        <v>7.0000000000000007E-2</v>
      </c>
      <c r="F304" s="368">
        <f t="shared" si="16"/>
        <v>24500000.000000004</v>
      </c>
      <c r="G304" s="368">
        <v>24500000</v>
      </c>
      <c r="H304" s="368" t="s">
        <v>2572</v>
      </c>
      <c r="I304" s="376" t="s">
        <v>2575</v>
      </c>
      <c r="J304" s="24" t="s">
        <v>1667</v>
      </c>
      <c r="K304" s="368">
        <f>G304</f>
        <v>24500000</v>
      </c>
      <c r="L304" s="368">
        <f t="shared" si="17"/>
        <v>0</v>
      </c>
      <c r="M304" s="45"/>
    </row>
    <row r="305" spans="1:13" ht="30" customHeight="1" x14ac:dyDescent="0.2">
      <c r="A305" s="4">
        <v>201</v>
      </c>
      <c r="B305" s="45" t="s">
        <v>63</v>
      </c>
      <c r="C305" s="380"/>
      <c r="D305" s="366"/>
      <c r="E305" s="44"/>
      <c r="F305" s="366">
        <f t="shared" si="16"/>
        <v>0</v>
      </c>
      <c r="G305" s="368">
        <v>4000000</v>
      </c>
      <c r="H305" s="368" t="s">
        <v>2572</v>
      </c>
      <c r="I305" s="374" t="s">
        <v>2576</v>
      </c>
      <c r="J305" s="88" t="s">
        <v>1259</v>
      </c>
      <c r="K305" s="368">
        <f>G305</f>
        <v>4000000</v>
      </c>
      <c r="L305" s="930">
        <f t="shared" si="17"/>
        <v>-4000000</v>
      </c>
      <c r="M305" s="45"/>
    </row>
    <row r="306" spans="1:13" ht="30" customHeight="1" x14ac:dyDescent="0.2">
      <c r="A306" s="4">
        <v>202</v>
      </c>
      <c r="B306" s="45" t="s">
        <v>64</v>
      </c>
      <c r="C306" s="380"/>
      <c r="D306" s="368">
        <v>100000000</v>
      </c>
      <c r="E306" s="20">
        <v>4.4999999999999998E-2</v>
      </c>
      <c r="F306" s="368">
        <f t="shared" si="16"/>
        <v>4500000</v>
      </c>
      <c r="G306" s="368"/>
      <c r="H306" s="368"/>
      <c r="I306" s="374"/>
      <c r="J306" s="24"/>
      <c r="K306" s="368"/>
      <c r="L306" s="368">
        <f t="shared" si="17"/>
        <v>4500000</v>
      </c>
      <c r="M306" s="45"/>
    </row>
    <row r="307" spans="1:13" ht="30" customHeight="1" x14ac:dyDescent="0.2">
      <c r="A307" s="4">
        <v>203</v>
      </c>
      <c r="B307" s="45" t="s">
        <v>1292</v>
      </c>
      <c r="C307" s="380" t="s">
        <v>1112</v>
      </c>
      <c r="D307" s="368">
        <v>60000000</v>
      </c>
      <c r="E307" s="20">
        <v>0.05</v>
      </c>
      <c r="F307" s="368">
        <f t="shared" si="16"/>
        <v>3000000</v>
      </c>
      <c r="G307" s="368">
        <v>3000000</v>
      </c>
      <c r="H307" s="368" t="s">
        <v>2544</v>
      </c>
      <c r="I307" s="374" t="s">
        <v>2545</v>
      </c>
      <c r="J307" s="24" t="s">
        <v>1792</v>
      </c>
      <c r="K307" s="368">
        <f>G307</f>
        <v>3000000</v>
      </c>
      <c r="L307" s="368">
        <f t="shared" si="17"/>
        <v>0</v>
      </c>
      <c r="M307" s="45"/>
    </row>
    <row r="308" spans="1:13" ht="30" customHeight="1" x14ac:dyDescent="0.2">
      <c r="A308" s="4">
        <v>204</v>
      </c>
      <c r="B308" s="45" t="s">
        <v>65</v>
      </c>
      <c r="C308" s="380"/>
      <c r="D308" s="368">
        <v>30000000</v>
      </c>
      <c r="E308" s="20">
        <v>4.4999999999999998E-2</v>
      </c>
      <c r="F308" s="368">
        <f t="shared" si="16"/>
        <v>1350000</v>
      </c>
      <c r="G308" s="368">
        <v>1350000</v>
      </c>
      <c r="H308" s="368" t="s">
        <v>2572</v>
      </c>
      <c r="I308" s="374" t="s">
        <v>2577</v>
      </c>
      <c r="J308" s="24" t="s">
        <v>2578</v>
      </c>
      <c r="K308" s="368">
        <f>G308</f>
        <v>1350000</v>
      </c>
      <c r="L308" s="368">
        <f t="shared" si="17"/>
        <v>0</v>
      </c>
      <c r="M308" s="45"/>
    </row>
    <row r="309" spans="1:13" ht="30" customHeight="1" x14ac:dyDescent="0.2">
      <c r="A309" s="4">
        <v>205</v>
      </c>
      <c r="B309" s="45" t="s">
        <v>66</v>
      </c>
      <c r="C309" s="380"/>
      <c r="D309" s="366"/>
      <c r="E309" s="44"/>
      <c r="F309" s="366">
        <f t="shared" si="16"/>
        <v>0</v>
      </c>
      <c r="G309" s="368">
        <v>600000</v>
      </c>
      <c r="H309" s="368" t="s">
        <v>2498</v>
      </c>
      <c r="I309" s="374" t="s">
        <v>2512</v>
      </c>
      <c r="J309" s="24" t="s">
        <v>2513</v>
      </c>
      <c r="K309" s="368">
        <f>G309</f>
        <v>600000</v>
      </c>
      <c r="L309" s="366">
        <f t="shared" si="17"/>
        <v>-600000</v>
      </c>
      <c r="M309" s="45"/>
    </row>
    <row r="310" spans="1:13" ht="30" customHeight="1" x14ac:dyDescent="0.2">
      <c r="A310" s="4">
        <v>206</v>
      </c>
      <c r="B310" s="45" t="s">
        <v>2531</v>
      </c>
      <c r="C310" s="380" t="s">
        <v>1019</v>
      </c>
      <c r="D310" s="368">
        <v>150000000</v>
      </c>
      <c r="E310" s="20">
        <v>0.05</v>
      </c>
      <c r="F310" s="368">
        <f t="shared" si="16"/>
        <v>7500000</v>
      </c>
      <c r="G310" s="368">
        <v>7500000</v>
      </c>
      <c r="H310" s="368" t="s">
        <v>2498</v>
      </c>
      <c r="I310" s="374" t="s">
        <v>2530</v>
      </c>
      <c r="J310" s="70" t="s">
        <v>1015</v>
      </c>
      <c r="K310" s="368">
        <f>G310</f>
        <v>7500000</v>
      </c>
      <c r="L310" s="368">
        <f t="shared" si="17"/>
        <v>0</v>
      </c>
      <c r="M310" s="45"/>
    </row>
    <row r="311" spans="1:13" ht="30" customHeight="1" x14ac:dyDescent="0.2">
      <c r="A311" s="3450">
        <v>207</v>
      </c>
      <c r="B311" s="3457" t="s">
        <v>69</v>
      </c>
      <c r="C311" s="3570" t="s">
        <v>700</v>
      </c>
      <c r="D311" s="368">
        <v>45000000</v>
      </c>
      <c r="E311" s="20">
        <v>0.04</v>
      </c>
      <c r="F311" s="368">
        <f t="shared" si="16"/>
        <v>1800000</v>
      </c>
      <c r="G311" s="368"/>
      <c r="H311" s="368"/>
      <c r="I311" s="374"/>
      <c r="J311" s="3452"/>
      <c r="K311" s="3442"/>
      <c r="L311" s="3442">
        <f>(F311+F312)-K311</f>
        <v>3800000</v>
      </c>
      <c r="M311" s="3525"/>
    </row>
    <row r="312" spans="1:13" ht="30" customHeight="1" x14ac:dyDescent="0.2">
      <c r="A312" s="3451"/>
      <c r="B312" s="3458"/>
      <c r="C312" s="3571"/>
      <c r="D312" s="368">
        <v>50000000</v>
      </c>
      <c r="E312" s="20">
        <v>0.04</v>
      </c>
      <c r="F312" s="368">
        <f t="shared" si="16"/>
        <v>2000000</v>
      </c>
      <c r="G312" s="368"/>
      <c r="H312" s="368"/>
      <c r="I312" s="374"/>
      <c r="J312" s="3453"/>
      <c r="K312" s="3443"/>
      <c r="L312" s="3443"/>
      <c r="M312" s="3526"/>
    </row>
    <row r="313" spans="1:13" ht="30" customHeight="1" x14ac:dyDescent="0.2">
      <c r="A313" s="4">
        <v>208</v>
      </c>
      <c r="B313" s="45" t="s">
        <v>70</v>
      </c>
      <c r="C313" s="380" t="s">
        <v>1131</v>
      </c>
      <c r="D313" s="368">
        <v>15000000</v>
      </c>
      <c r="E313" s="20">
        <v>0.04</v>
      </c>
      <c r="F313" s="368">
        <f t="shared" si="16"/>
        <v>600000</v>
      </c>
      <c r="G313" s="368">
        <v>600000</v>
      </c>
      <c r="H313" s="368" t="s">
        <v>2498</v>
      </c>
      <c r="I313" s="374" t="s">
        <v>2506</v>
      </c>
      <c r="J313" s="24" t="s">
        <v>1130</v>
      </c>
      <c r="K313" s="368">
        <f t="shared" ref="K313:K321" si="20">G313</f>
        <v>600000</v>
      </c>
      <c r="L313" s="368">
        <f t="shared" ref="L313:L379" si="21">F313-K313</f>
        <v>0</v>
      </c>
      <c r="M313" s="45"/>
    </row>
    <row r="314" spans="1:13" ht="30" customHeight="1" x14ac:dyDescent="0.2">
      <c r="A314" s="4">
        <v>209</v>
      </c>
      <c r="B314" s="45" t="s">
        <v>71</v>
      </c>
      <c r="C314" s="380"/>
      <c r="D314" s="368">
        <v>10000000</v>
      </c>
      <c r="E314" s="20">
        <v>0.05</v>
      </c>
      <c r="F314" s="368">
        <f t="shared" si="16"/>
        <v>500000</v>
      </c>
      <c r="G314" s="368">
        <v>500000</v>
      </c>
      <c r="H314" s="368" t="s">
        <v>2059</v>
      </c>
      <c r="I314" s="374" t="s">
        <v>2597</v>
      </c>
      <c r="J314" s="88" t="s">
        <v>1277</v>
      </c>
      <c r="K314" s="368">
        <f t="shared" si="20"/>
        <v>500000</v>
      </c>
      <c r="L314" s="368">
        <f t="shared" si="21"/>
        <v>0</v>
      </c>
      <c r="M314" s="45"/>
    </row>
    <row r="315" spans="1:13" ht="30" customHeight="1" x14ac:dyDescent="0.2">
      <c r="A315" s="4">
        <v>210</v>
      </c>
      <c r="B315" s="45" t="s">
        <v>73</v>
      </c>
      <c r="C315" s="380"/>
      <c r="D315" s="366"/>
      <c r="E315" s="44"/>
      <c r="F315" s="366">
        <f t="shared" si="16"/>
        <v>0</v>
      </c>
      <c r="G315" s="368">
        <v>3500000</v>
      </c>
      <c r="H315" s="368" t="s">
        <v>1752</v>
      </c>
      <c r="I315" s="374" t="s">
        <v>1799</v>
      </c>
      <c r="J315" s="24" t="s">
        <v>721</v>
      </c>
      <c r="K315" s="368">
        <f t="shared" si="20"/>
        <v>3500000</v>
      </c>
      <c r="L315" s="366">
        <f t="shared" si="21"/>
        <v>-3500000</v>
      </c>
      <c r="M315" s="45"/>
    </row>
    <row r="316" spans="1:13" ht="30" customHeight="1" x14ac:dyDescent="0.2">
      <c r="A316" s="4">
        <v>211</v>
      </c>
      <c r="B316" s="45" t="s">
        <v>74</v>
      </c>
      <c r="C316" s="380" t="s">
        <v>1350</v>
      </c>
      <c r="D316" s="368">
        <v>100000000</v>
      </c>
      <c r="E316" s="20">
        <v>0.05</v>
      </c>
      <c r="F316" s="368">
        <f t="shared" si="16"/>
        <v>5000000</v>
      </c>
      <c r="G316" s="368">
        <v>5000000</v>
      </c>
      <c r="H316" s="368" t="s">
        <v>1477</v>
      </c>
      <c r="I316" s="374" t="s">
        <v>1482</v>
      </c>
      <c r="J316" s="24" t="s">
        <v>1483</v>
      </c>
      <c r="K316" s="368">
        <f t="shared" si="20"/>
        <v>5000000</v>
      </c>
      <c r="L316" s="368">
        <f t="shared" si="21"/>
        <v>0</v>
      </c>
      <c r="M316" s="45"/>
    </row>
    <row r="317" spans="1:13" ht="30" customHeight="1" x14ac:dyDescent="0.2">
      <c r="A317" s="4">
        <v>212</v>
      </c>
      <c r="B317" s="45" t="s">
        <v>75</v>
      </c>
      <c r="C317" s="380"/>
      <c r="D317" s="368">
        <v>30000000</v>
      </c>
      <c r="E317" s="20">
        <v>0.05</v>
      </c>
      <c r="F317" s="368">
        <f t="shared" si="16"/>
        <v>1500000</v>
      </c>
      <c r="G317" s="368">
        <v>1500000</v>
      </c>
      <c r="H317" s="368" t="s">
        <v>2618</v>
      </c>
      <c r="I317" s="374" t="s">
        <v>2638</v>
      </c>
      <c r="J317" s="24" t="s">
        <v>2639</v>
      </c>
      <c r="K317" s="368">
        <f t="shared" si="20"/>
        <v>1500000</v>
      </c>
      <c r="L317" s="368">
        <f t="shared" si="21"/>
        <v>0</v>
      </c>
      <c r="M317" s="45"/>
    </row>
    <row r="318" spans="1:13" ht="30" customHeight="1" x14ac:dyDescent="0.2">
      <c r="A318" s="4">
        <v>213</v>
      </c>
      <c r="B318" s="45" t="s">
        <v>76</v>
      </c>
      <c r="C318" s="380"/>
      <c r="D318" s="368">
        <v>15000000</v>
      </c>
      <c r="E318" s="20">
        <v>4.7E-2</v>
      </c>
      <c r="F318" s="368">
        <v>700000</v>
      </c>
      <c r="G318" s="368">
        <v>700000</v>
      </c>
      <c r="H318" s="368" t="s">
        <v>1431</v>
      </c>
      <c r="I318" s="374" t="s">
        <v>1447</v>
      </c>
      <c r="J318" s="24" t="s">
        <v>331</v>
      </c>
      <c r="K318" s="368">
        <f t="shared" si="20"/>
        <v>700000</v>
      </c>
      <c r="L318" s="368">
        <f t="shared" si="21"/>
        <v>0</v>
      </c>
      <c r="M318" s="45"/>
    </row>
    <row r="319" spans="1:13" ht="30" customHeight="1" x14ac:dyDescent="0.2">
      <c r="A319" s="4">
        <v>214</v>
      </c>
      <c r="B319" s="45" t="s">
        <v>966</v>
      </c>
      <c r="C319" s="380"/>
      <c r="D319" s="368">
        <v>200000000</v>
      </c>
      <c r="E319" s="20">
        <v>5.5E-2</v>
      </c>
      <c r="F319" s="368">
        <f t="shared" si="16"/>
        <v>11000000</v>
      </c>
      <c r="G319" s="368">
        <v>11000000</v>
      </c>
      <c r="H319" s="368" t="s">
        <v>1431</v>
      </c>
      <c r="I319" s="376" t="s">
        <v>1441</v>
      </c>
      <c r="J319" s="24" t="s">
        <v>1442</v>
      </c>
      <c r="K319" s="368">
        <f t="shared" si="20"/>
        <v>11000000</v>
      </c>
      <c r="L319" s="368">
        <f t="shared" si="21"/>
        <v>0</v>
      </c>
      <c r="M319" s="45"/>
    </row>
    <row r="320" spans="1:13" ht="30" customHeight="1" x14ac:dyDescent="0.2">
      <c r="A320" s="4">
        <v>215</v>
      </c>
      <c r="B320" s="45" t="s">
        <v>77</v>
      </c>
      <c r="C320" s="380"/>
      <c r="D320" s="368">
        <v>70000000</v>
      </c>
      <c r="E320" s="20">
        <v>0.05</v>
      </c>
      <c r="F320" s="368">
        <f t="shared" si="16"/>
        <v>3500000</v>
      </c>
      <c r="G320" s="368">
        <v>3500000</v>
      </c>
      <c r="H320" s="368" t="s">
        <v>1894</v>
      </c>
      <c r="I320" s="374" t="s">
        <v>1940</v>
      </c>
      <c r="J320" s="24" t="s">
        <v>1941</v>
      </c>
      <c r="K320" s="368">
        <f t="shared" si="20"/>
        <v>3500000</v>
      </c>
      <c r="L320" s="368">
        <f t="shared" si="21"/>
        <v>0</v>
      </c>
      <c r="M320" s="45"/>
    </row>
    <row r="321" spans="1:13" ht="30" customHeight="1" x14ac:dyDescent="0.2">
      <c r="A321" s="4">
        <v>216</v>
      </c>
      <c r="B321" s="45" t="s">
        <v>78</v>
      </c>
      <c r="C321" s="380" t="s">
        <v>916</v>
      </c>
      <c r="D321" s="460">
        <v>250000000</v>
      </c>
      <c r="E321" s="20">
        <v>4.4999999999999998E-2</v>
      </c>
      <c r="F321" s="460">
        <f t="shared" si="16"/>
        <v>11250000</v>
      </c>
      <c r="G321" s="368">
        <v>11250000</v>
      </c>
      <c r="H321" s="368" t="s">
        <v>1477</v>
      </c>
      <c r="I321" s="374" t="s">
        <v>1501</v>
      </c>
      <c r="J321" s="21" t="s">
        <v>1502</v>
      </c>
      <c r="K321" s="368">
        <f t="shared" si="20"/>
        <v>11250000</v>
      </c>
      <c r="L321" s="366">
        <f t="shared" si="21"/>
        <v>0</v>
      </c>
      <c r="M321" s="45"/>
    </row>
    <row r="322" spans="1:13" ht="30" customHeight="1" x14ac:dyDescent="0.2">
      <c r="A322" s="3450">
        <v>217</v>
      </c>
      <c r="B322" s="3457" t="s">
        <v>80</v>
      </c>
      <c r="C322" s="380"/>
      <c r="D322" s="3442">
        <v>160000000</v>
      </c>
      <c r="E322" s="3444">
        <v>0.05</v>
      </c>
      <c r="F322" s="3442">
        <f t="shared" ref="F322:F385" si="22">D322*E322</f>
        <v>8000000</v>
      </c>
      <c r="G322" s="368">
        <v>1000000</v>
      </c>
      <c r="H322" s="368" t="s">
        <v>2618</v>
      </c>
      <c r="I322" s="374" t="s">
        <v>2627</v>
      </c>
      <c r="J322" s="88" t="s">
        <v>2628</v>
      </c>
      <c r="K322" s="3442">
        <f>G322+G323</f>
        <v>2000000</v>
      </c>
      <c r="L322" s="3442">
        <f t="shared" si="21"/>
        <v>6000000</v>
      </c>
      <c r="M322" s="3468" t="s">
        <v>2629</v>
      </c>
    </row>
    <row r="323" spans="1:13" ht="30" customHeight="1" x14ac:dyDescent="0.2">
      <c r="A323" s="3451"/>
      <c r="B323" s="3458"/>
      <c r="C323" s="980"/>
      <c r="D323" s="3443"/>
      <c r="E323" s="3445"/>
      <c r="F323" s="3443"/>
      <c r="G323" s="975">
        <v>1000000</v>
      </c>
      <c r="H323" s="975" t="s">
        <v>2618</v>
      </c>
      <c r="I323" s="983" t="s">
        <v>2641</v>
      </c>
      <c r="J323" s="88" t="s">
        <v>2628</v>
      </c>
      <c r="K323" s="3443"/>
      <c r="L323" s="3443"/>
      <c r="M323" s="3469"/>
    </row>
    <row r="324" spans="1:13" ht="30" customHeight="1" x14ac:dyDescent="0.2">
      <c r="A324" s="4">
        <v>218</v>
      </c>
      <c r="B324" s="45" t="s">
        <v>81</v>
      </c>
      <c r="C324" s="380"/>
      <c r="D324" s="368">
        <v>45000000</v>
      </c>
      <c r="E324" s="20">
        <v>0.04</v>
      </c>
      <c r="F324" s="368">
        <f t="shared" si="22"/>
        <v>1800000</v>
      </c>
      <c r="G324" s="368">
        <v>1800000</v>
      </c>
      <c r="H324" s="368" t="s">
        <v>1752</v>
      </c>
      <c r="I324" s="374" t="s">
        <v>1793</v>
      </c>
      <c r="J324" s="70" t="s">
        <v>1794</v>
      </c>
      <c r="K324" s="368">
        <f>G324</f>
        <v>1800000</v>
      </c>
      <c r="L324" s="368">
        <f t="shared" si="21"/>
        <v>0</v>
      </c>
      <c r="M324" s="45"/>
    </row>
    <row r="325" spans="1:13" ht="30" customHeight="1" x14ac:dyDescent="0.2">
      <c r="A325" s="4">
        <v>219</v>
      </c>
      <c r="B325" s="45" t="s">
        <v>1903</v>
      </c>
      <c r="C325" s="380"/>
      <c r="D325" s="366"/>
      <c r="E325" s="44"/>
      <c r="F325" s="366">
        <f t="shared" si="22"/>
        <v>0</v>
      </c>
      <c r="G325" s="368"/>
      <c r="H325" s="368"/>
      <c r="I325" s="374"/>
      <c r="J325" s="24"/>
      <c r="K325" s="368"/>
      <c r="L325" s="366">
        <f t="shared" si="21"/>
        <v>0</v>
      </c>
      <c r="M325" s="45"/>
    </row>
    <row r="326" spans="1:13" ht="30" customHeight="1" x14ac:dyDescent="0.2">
      <c r="A326" s="4">
        <v>220</v>
      </c>
      <c r="B326" s="188" t="s">
        <v>83</v>
      </c>
      <c r="C326" s="385"/>
      <c r="D326" s="389">
        <v>203000000</v>
      </c>
      <c r="E326" s="392">
        <v>0.05</v>
      </c>
      <c r="F326" s="389">
        <f t="shared" si="22"/>
        <v>10150000</v>
      </c>
      <c r="G326" s="368">
        <v>10150000</v>
      </c>
      <c r="H326" s="368" t="s">
        <v>1431</v>
      </c>
      <c r="I326" s="420" t="s">
        <v>1464</v>
      </c>
      <c r="J326" s="24" t="s">
        <v>1465</v>
      </c>
      <c r="K326" s="240">
        <f>G326</f>
        <v>10150000</v>
      </c>
      <c r="L326" s="389">
        <f t="shared" si="21"/>
        <v>0</v>
      </c>
      <c r="M326" s="45"/>
    </row>
    <row r="327" spans="1:13" ht="30" customHeight="1" x14ac:dyDescent="0.2">
      <c r="A327" s="4">
        <v>221</v>
      </c>
      <c r="B327" s="188" t="s">
        <v>332</v>
      </c>
      <c r="C327" s="385"/>
      <c r="D327" s="389">
        <v>275000000</v>
      </c>
      <c r="E327" s="392">
        <v>4.2000000000000003E-2</v>
      </c>
      <c r="F327" s="389">
        <f>D327*E327</f>
        <v>11550000</v>
      </c>
      <c r="G327" s="397">
        <v>11550000</v>
      </c>
      <c r="H327" s="397" t="s">
        <v>1709</v>
      </c>
      <c r="I327" s="402" t="s">
        <v>1747</v>
      </c>
      <c r="J327" s="427" t="s">
        <v>1748</v>
      </c>
      <c r="K327" s="240">
        <f>G327</f>
        <v>11550000</v>
      </c>
      <c r="L327" s="389">
        <f t="shared" si="21"/>
        <v>0</v>
      </c>
      <c r="M327" s="396"/>
    </row>
    <row r="328" spans="1:13" ht="30" customHeight="1" x14ac:dyDescent="0.2">
      <c r="A328" s="3450">
        <v>222</v>
      </c>
      <c r="B328" s="3525" t="s">
        <v>1931</v>
      </c>
      <c r="C328" s="3570" t="s">
        <v>1342</v>
      </c>
      <c r="D328" s="399">
        <v>700000000</v>
      </c>
      <c r="E328" s="605">
        <v>5.5E-2</v>
      </c>
      <c r="F328" s="399">
        <f>D328*E328</f>
        <v>38500000</v>
      </c>
      <c r="G328" s="399">
        <v>3500000</v>
      </c>
      <c r="H328" s="399" t="s">
        <v>1052</v>
      </c>
      <c r="I328" s="281" t="s">
        <v>1416</v>
      </c>
      <c r="J328" s="37" t="s">
        <v>1418</v>
      </c>
      <c r="K328" s="399">
        <f>G328+خرداد!G277+خرداد!G278</f>
        <v>38500000</v>
      </c>
      <c r="L328" s="399">
        <f>F328-K328</f>
        <v>0</v>
      </c>
      <c r="M328" s="168" t="s">
        <v>1420</v>
      </c>
    </row>
    <row r="329" spans="1:13" ht="30" customHeight="1" x14ac:dyDescent="0.2">
      <c r="A329" s="3456"/>
      <c r="B329" s="3643"/>
      <c r="C329" s="3576"/>
      <c r="D329" s="573">
        <v>715000000</v>
      </c>
      <c r="E329" s="595"/>
      <c r="F329" s="573"/>
      <c r="G329" s="573">
        <v>15000000</v>
      </c>
      <c r="H329" s="573" t="s">
        <v>1894</v>
      </c>
      <c r="I329" s="585" t="s">
        <v>1929</v>
      </c>
      <c r="J329" s="24" t="s">
        <v>1930</v>
      </c>
      <c r="K329" s="573">
        <f>G329</f>
        <v>15000000</v>
      </c>
      <c r="L329" s="573"/>
      <c r="M329" s="168" t="s">
        <v>1932</v>
      </c>
    </row>
    <row r="330" spans="1:13" ht="30" customHeight="1" x14ac:dyDescent="0.2">
      <c r="A330" s="3456"/>
      <c r="B330" s="3643"/>
      <c r="C330" s="3576"/>
      <c r="D330" s="3631">
        <v>700000000</v>
      </c>
      <c r="E330" s="3637">
        <v>0.06</v>
      </c>
      <c r="F330" s="3631">
        <f>D330*E330</f>
        <v>42000000</v>
      </c>
      <c r="G330" s="607">
        <v>5000000</v>
      </c>
      <c r="H330" s="607" t="s">
        <v>2001</v>
      </c>
      <c r="I330" s="608" t="s">
        <v>2007</v>
      </c>
      <c r="J330" s="609" t="s">
        <v>2270</v>
      </c>
      <c r="K330" s="3631">
        <f>G330+G331+G332+G333+G334+G335</f>
        <v>39500000</v>
      </c>
      <c r="L330" s="3631">
        <f>F330-K330</f>
        <v>2500000</v>
      </c>
      <c r="M330" s="3650" t="s">
        <v>2327</v>
      </c>
    </row>
    <row r="331" spans="1:13" ht="30" customHeight="1" x14ac:dyDescent="0.2">
      <c r="A331" s="3456"/>
      <c r="B331" s="3643"/>
      <c r="C331" s="3576"/>
      <c r="D331" s="3632"/>
      <c r="E331" s="3638"/>
      <c r="F331" s="3632"/>
      <c r="G331" s="607">
        <v>10000000</v>
      </c>
      <c r="H331" s="607" t="s">
        <v>2120</v>
      </c>
      <c r="I331" s="608" t="s">
        <v>2134</v>
      </c>
      <c r="J331" s="609" t="s">
        <v>2270</v>
      </c>
      <c r="K331" s="3632"/>
      <c r="L331" s="3632"/>
      <c r="M331" s="3651"/>
    </row>
    <row r="332" spans="1:13" ht="30" customHeight="1" x14ac:dyDescent="0.2">
      <c r="A332" s="3456"/>
      <c r="B332" s="3643"/>
      <c r="C332" s="3576"/>
      <c r="D332" s="3632"/>
      <c r="E332" s="3638"/>
      <c r="F332" s="3632"/>
      <c r="G332" s="705">
        <v>5000000</v>
      </c>
      <c r="H332" s="705" t="s">
        <v>2131</v>
      </c>
      <c r="I332" s="608" t="s">
        <v>2155</v>
      </c>
      <c r="J332" s="609" t="s">
        <v>2270</v>
      </c>
      <c r="K332" s="3632"/>
      <c r="L332" s="3632"/>
      <c r="M332" s="3651"/>
    </row>
    <row r="333" spans="1:13" ht="30" customHeight="1" x14ac:dyDescent="0.2">
      <c r="A333" s="3456"/>
      <c r="B333" s="3643"/>
      <c r="C333" s="3576"/>
      <c r="D333" s="3632"/>
      <c r="E333" s="3638"/>
      <c r="F333" s="3632"/>
      <c r="G333" s="705">
        <v>10000000</v>
      </c>
      <c r="H333" s="705" t="s">
        <v>2180</v>
      </c>
      <c r="I333" s="608" t="s">
        <v>2197</v>
      </c>
      <c r="J333" s="609" t="s">
        <v>2270</v>
      </c>
      <c r="K333" s="3632"/>
      <c r="L333" s="3632"/>
      <c r="M333" s="3651"/>
    </row>
    <row r="334" spans="1:13" ht="30" customHeight="1" x14ac:dyDescent="0.2">
      <c r="A334" s="3456"/>
      <c r="B334" s="3643"/>
      <c r="C334" s="3576"/>
      <c r="D334" s="3632"/>
      <c r="E334" s="3638"/>
      <c r="F334" s="3632"/>
      <c r="G334" s="746">
        <v>8500000</v>
      </c>
      <c r="H334" s="746" t="s">
        <v>2198</v>
      </c>
      <c r="I334" s="608" t="s">
        <v>2269</v>
      </c>
      <c r="J334" s="609" t="s">
        <v>2270</v>
      </c>
      <c r="K334" s="3632"/>
      <c r="L334" s="3632"/>
      <c r="M334" s="3651"/>
    </row>
    <row r="335" spans="1:13" ht="30" customHeight="1" x14ac:dyDescent="0.2">
      <c r="A335" s="3451"/>
      <c r="B335" s="3526"/>
      <c r="C335" s="3571"/>
      <c r="D335" s="3633"/>
      <c r="E335" s="3639"/>
      <c r="F335" s="3633"/>
      <c r="G335" s="746">
        <v>1000000</v>
      </c>
      <c r="H335" s="746" t="s">
        <v>2291</v>
      </c>
      <c r="I335" s="608" t="s">
        <v>2326</v>
      </c>
      <c r="J335" s="609" t="s">
        <v>2270</v>
      </c>
      <c r="K335" s="3633"/>
      <c r="L335" s="3633"/>
      <c r="M335" s="3652"/>
    </row>
    <row r="336" spans="1:13" ht="30" customHeight="1" x14ac:dyDescent="0.2">
      <c r="A336" s="387">
        <v>223</v>
      </c>
      <c r="B336" s="388" t="s">
        <v>85</v>
      </c>
      <c r="C336" s="380" t="s">
        <v>1746</v>
      </c>
      <c r="D336" s="508">
        <v>100000000</v>
      </c>
      <c r="E336" s="507">
        <v>0.05</v>
      </c>
      <c r="F336" s="508">
        <f t="shared" si="22"/>
        <v>5000000</v>
      </c>
      <c r="G336" s="508">
        <v>5000000</v>
      </c>
      <c r="H336" s="508" t="s">
        <v>1894</v>
      </c>
      <c r="I336" s="514" t="s">
        <v>1978</v>
      </c>
      <c r="J336" s="24" t="s">
        <v>1979</v>
      </c>
      <c r="K336" s="508">
        <f>G336</f>
        <v>5000000</v>
      </c>
      <c r="L336" s="508">
        <f t="shared" si="21"/>
        <v>0</v>
      </c>
      <c r="M336" s="45"/>
    </row>
    <row r="337" spans="1:13" ht="30" customHeight="1" x14ac:dyDescent="0.2">
      <c r="A337" s="4">
        <v>224</v>
      </c>
      <c r="B337" s="45" t="s">
        <v>86</v>
      </c>
      <c r="C337" s="380"/>
      <c r="D337" s="368">
        <v>10000000</v>
      </c>
      <c r="E337" s="20">
        <v>0.05</v>
      </c>
      <c r="F337" s="368">
        <f t="shared" si="22"/>
        <v>500000</v>
      </c>
      <c r="G337" s="368">
        <v>500000</v>
      </c>
      <c r="H337" s="368" t="s">
        <v>1800</v>
      </c>
      <c r="I337" s="374" t="s">
        <v>1806</v>
      </c>
      <c r="J337" s="24" t="s">
        <v>362</v>
      </c>
      <c r="K337" s="368">
        <f>G337</f>
        <v>500000</v>
      </c>
      <c r="L337" s="368">
        <f t="shared" si="21"/>
        <v>0</v>
      </c>
      <c r="M337" s="45"/>
    </row>
    <row r="338" spans="1:13" ht="30" customHeight="1" x14ac:dyDescent="0.2">
      <c r="A338" s="4">
        <v>225</v>
      </c>
      <c r="B338" s="45" t="s">
        <v>87</v>
      </c>
      <c r="C338" s="380"/>
      <c r="D338" s="366"/>
      <c r="E338" s="44"/>
      <c r="F338" s="366">
        <f t="shared" si="22"/>
        <v>0</v>
      </c>
      <c r="G338" s="368"/>
      <c r="H338" s="368"/>
      <c r="I338" s="374"/>
      <c r="J338" s="21"/>
      <c r="K338" s="368"/>
      <c r="L338" s="366">
        <f t="shared" si="21"/>
        <v>0</v>
      </c>
      <c r="M338" s="103" t="s">
        <v>733</v>
      </c>
    </row>
    <row r="339" spans="1:13" ht="30" customHeight="1" x14ac:dyDescent="0.2">
      <c r="A339" s="3450">
        <v>226</v>
      </c>
      <c r="B339" s="3457" t="s">
        <v>88</v>
      </c>
      <c r="C339" s="3570"/>
      <c r="D339" s="890">
        <v>500000000</v>
      </c>
      <c r="E339" s="895">
        <v>0.06</v>
      </c>
      <c r="F339" s="890">
        <f>D339*E339</f>
        <v>30000000</v>
      </c>
      <c r="G339" s="368">
        <v>30000000</v>
      </c>
      <c r="H339" s="368" t="s">
        <v>2498</v>
      </c>
      <c r="I339" s="374" t="s">
        <v>2520</v>
      </c>
      <c r="J339" s="24" t="s">
        <v>2521</v>
      </c>
      <c r="K339" s="368">
        <f>G339</f>
        <v>30000000</v>
      </c>
      <c r="L339" s="869">
        <f t="shared" si="21"/>
        <v>0</v>
      </c>
      <c r="M339" s="888" t="s">
        <v>1285</v>
      </c>
    </row>
    <row r="340" spans="1:13" ht="30" customHeight="1" x14ac:dyDescent="0.2">
      <c r="A340" s="3456"/>
      <c r="B340" s="3459"/>
      <c r="C340" s="3576"/>
      <c r="D340" s="3521" t="s">
        <v>2547</v>
      </c>
      <c r="E340" s="3613"/>
      <c r="F340" s="3522"/>
      <c r="G340" s="886">
        <v>40000000</v>
      </c>
      <c r="H340" s="886" t="s">
        <v>2544</v>
      </c>
      <c r="I340" s="891" t="s">
        <v>2548</v>
      </c>
      <c r="J340" s="24" t="s">
        <v>2521</v>
      </c>
      <c r="K340" s="3442">
        <f>G340+G341</f>
        <v>90000000</v>
      </c>
      <c r="L340" s="3442">
        <f>90000000-K340</f>
        <v>0</v>
      </c>
      <c r="M340" s="3475"/>
    </row>
    <row r="341" spans="1:13" ht="30" customHeight="1" x14ac:dyDescent="0.2">
      <c r="A341" s="3456"/>
      <c r="B341" s="3459"/>
      <c r="C341" s="3576"/>
      <c r="D341" s="3523"/>
      <c r="E341" s="3614"/>
      <c r="F341" s="3524"/>
      <c r="G341" s="886">
        <v>50000000</v>
      </c>
      <c r="H341" s="886" t="s">
        <v>2572</v>
      </c>
      <c r="I341" s="891" t="s">
        <v>2588</v>
      </c>
      <c r="J341" s="24" t="s">
        <v>2521</v>
      </c>
      <c r="K341" s="3443"/>
      <c r="L341" s="3443"/>
      <c r="M341" s="3475"/>
    </row>
    <row r="342" spans="1:13" ht="30" customHeight="1" x14ac:dyDescent="0.2">
      <c r="A342" s="3451"/>
      <c r="B342" s="3458"/>
      <c r="C342" s="3571"/>
      <c r="D342" s="890">
        <v>410000000</v>
      </c>
      <c r="E342" s="895">
        <v>0.06</v>
      </c>
      <c r="F342" s="890">
        <f>D342*E342</f>
        <v>24600000</v>
      </c>
      <c r="G342" s="3610" t="s">
        <v>2589</v>
      </c>
      <c r="H342" s="3611"/>
      <c r="I342" s="3611"/>
      <c r="J342" s="3611"/>
      <c r="K342" s="3612"/>
      <c r="L342" s="886"/>
      <c r="M342" s="3467"/>
    </row>
    <row r="343" spans="1:13" ht="30" customHeight="1" x14ac:dyDescent="0.2">
      <c r="A343" s="4">
        <v>227</v>
      </c>
      <c r="B343" s="45" t="s">
        <v>89</v>
      </c>
      <c r="C343" s="380" t="s">
        <v>916</v>
      </c>
      <c r="D343" s="368">
        <v>20000000</v>
      </c>
      <c r="E343" s="20">
        <v>0.05</v>
      </c>
      <c r="F343" s="368">
        <f>D343*E343</f>
        <v>1000000</v>
      </c>
      <c r="G343" s="368">
        <v>1000000</v>
      </c>
      <c r="H343" s="368" t="s">
        <v>1477</v>
      </c>
      <c r="I343" s="374" t="s">
        <v>1507</v>
      </c>
      <c r="J343" s="21" t="s">
        <v>1508</v>
      </c>
      <c r="K343" s="368">
        <f>G343</f>
        <v>1000000</v>
      </c>
      <c r="L343" s="368">
        <f t="shared" si="21"/>
        <v>0</v>
      </c>
      <c r="M343" s="45"/>
    </row>
    <row r="344" spans="1:13" ht="30" customHeight="1" x14ac:dyDescent="0.2">
      <c r="A344" s="4">
        <v>228</v>
      </c>
      <c r="B344" s="45" t="s">
        <v>90</v>
      </c>
      <c r="C344" s="380"/>
      <c r="D344" s="366"/>
      <c r="E344" s="44"/>
      <c r="F344" s="366">
        <f t="shared" si="22"/>
        <v>0</v>
      </c>
      <c r="G344" s="368">
        <v>400000</v>
      </c>
      <c r="H344" s="368" t="s">
        <v>1848</v>
      </c>
      <c r="I344" s="374" t="s">
        <v>1912</v>
      </c>
      <c r="J344" s="30" t="s">
        <v>426</v>
      </c>
      <c r="K344" s="368">
        <f>G344</f>
        <v>400000</v>
      </c>
      <c r="L344" s="366">
        <f t="shared" si="21"/>
        <v>-400000</v>
      </c>
      <c r="M344" s="45"/>
    </row>
    <row r="345" spans="1:13" ht="30" customHeight="1" x14ac:dyDescent="0.2">
      <c r="A345" s="4">
        <v>229</v>
      </c>
      <c r="B345" s="45" t="s">
        <v>91</v>
      </c>
      <c r="C345" s="380" t="s">
        <v>916</v>
      </c>
      <c r="D345" s="544">
        <v>52000000</v>
      </c>
      <c r="E345" s="553">
        <v>0.05</v>
      </c>
      <c r="F345" s="544">
        <f t="shared" si="22"/>
        <v>2600000</v>
      </c>
      <c r="G345" s="544">
        <v>2600000</v>
      </c>
      <c r="H345" s="544" t="s">
        <v>1709</v>
      </c>
      <c r="I345" s="551" t="s">
        <v>1710</v>
      </c>
      <c r="J345" s="24" t="s">
        <v>390</v>
      </c>
      <c r="K345" s="544">
        <f>G345</f>
        <v>2600000</v>
      </c>
      <c r="L345" s="544">
        <f t="shared" si="21"/>
        <v>0</v>
      </c>
      <c r="M345" s="45"/>
    </row>
    <row r="346" spans="1:13" ht="30" customHeight="1" x14ac:dyDescent="0.2">
      <c r="A346" s="4">
        <v>230</v>
      </c>
      <c r="B346" s="45" t="s">
        <v>92</v>
      </c>
      <c r="C346" s="380"/>
      <c r="D346" s="368">
        <v>20000000</v>
      </c>
      <c r="E346" s="20">
        <v>0.05</v>
      </c>
      <c r="F346" s="368">
        <f t="shared" si="22"/>
        <v>1000000</v>
      </c>
      <c r="G346" s="368"/>
      <c r="H346" s="368"/>
      <c r="I346" s="374"/>
      <c r="J346" s="24"/>
      <c r="K346" s="368"/>
      <c r="L346" s="368">
        <f t="shared" si="21"/>
        <v>1000000</v>
      </c>
      <c r="M346" s="45"/>
    </row>
    <row r="347" spans="1:13" ht="30" customHeight="1" x14ac:dyDescent="0.2">
      <c r="A347" s="4">
        <v>231</v>
      </c>
      <c r="B347" s="45" t="s">
        <v>93</v>
      </c>
      <c r="C347" s="380" t="s">
        <v>1110</v>
      </c>
      <c r="D347" s="368">
        <v>30000000</v>
      </c>
      <c r="E347" s="20">
        <v>4.4999999999999998E-2</v>
      </c>
      <c r="F347" s="368">
        <f t="shared" si="22"/>
        <v>1350000</v>
      </c>
      <c r="G347" s="368">
        <v>1350000</v>
      </c>
      <c r="H347" s="368" t="s">
        <v>1831</v>
      </c>
      <c r="I347" s="374" t="s">
        <v>1845</v>
      </c>
      <c r="J347" s="30" t="s">
        <v>1846</v>
      </c>
      <c r="K347" s="368">
        <f>G347</f>
        <v>1350000</v>
      </c>
      <c r="L347" s="368">
        <f t="shared" si="21"/>
        <v>0</v>
      </c>
      <c r="M347" s="45"/>
    </row>
    <row r="348" spans="1:13" ht="30" customHeight="1" x14ac:dyDescent="0.2">
      <c r="A348" s="4">
        <v>232</v>
      </c>
      <c r="B348" s="45" t="s">
        <v>1695</v>
      </c>
      <c r="C348" s="380" t="s">
        <v>1215</v>
      </c>
      <c r="D348" s="368">
        <v>55000000</v>
      </c>
      <c r="E348" s="20">
        <v>0.04</v>
      </c>
      <c r="F348" s="368">
        <f t="shared" si="22"/>
        <v>2200000</v>
      </c>
      <c r="G348" s="368">
        <v>2200000</v>
      </c>
      <c r="H348" s="368" t="s">
        <v>1687</v>
      </c>
      <c r="I348" s="374" t="s">
        <v>1696</v>
      </c>
      <c r="J348" s="24" t="s">
        <v>1697</v>
      </c>
      <c r="K348" s="368">
        <f>G348</f>
        <v>2200000</v>
      </c>
      <c r="L348" s="368">
        <f t="shared" si="21"/>
        <v>0</v>
      </c>
      <c r="M348" s="45"/>
    </row>
    <row r="349" spans="1:13" ht="30" customHeight="1" x14ac:dyDescent="0.2">
      <c r="A349" s="4">
        <v>233</v>
      </c>
      <c r="B349" s="45" t="s">
        <v>280</v>
      </c>
      <c r="C349" s="380" t="s">
        <v>380</v>
      </c>
      <c r="D349" s="368">
        <v>50000000</v>
      </c>
      <c r="E349" s="20">
        <v>0.05</v>
      </c>
      <c r="F349" s="368">
        <f t="shared" si="22"/>
        <v>2500000</v>
      </c>
      <c r="G349" s="368">
        <v>2500000</v>
      </c>
      <c r="H349" s="368" t="s">
        <v>1894</v>
      </c>
      <c r="I349" s="374" t="s">
        <v>1986</v>
      </c>
      <c r="J349" s="24" t="s">
        <v>1987</v>
      </c>
      <c r="K349" s="368">
        <f>G349</f>
        <v>2500000</v>
      </c>
      <c r="L349" s="368">
        <f t="shared" si="21"/>
        <v>0</v>
      </c>
      <c r="M349" s="170" t="s">
        <v>279</v>
      </c>
    </row>
    <row r="350" spans="1:13" ht="30" customHeight="1" x14ac:dyDescent="0.2">
      <c r="A350" s="4">
        <v>234</v>
      </c>
      <c r="B350" s="188" t="s">
        <v>95</v>
      </c>
      <c r="C350" s="1187" t="s">
        <v>916</v>
      </c>
      <c r="D350" s="394"/>
      <c r="E350" s="44"/>
      <c r="F350" s="399">
        <v>21000000</v>
      </c>
      <c r="G350" s="399"/>
      <c r="H350" s="399"/>
      <c r="I350" s="281"/>
      <c r="J350" s="37"/>
      <c r="K350" s="399"/>
      <c r="L350" s="390">
        <f t="shared" si="21"/>
        <v>21000000</v>
      </c>
      <c r="M350" s="405"/>
    </row>
    <row r="351" spans="1:13" ht="30" customHeight="1" x14ac:dyDescent="0.2">
      <c r="A351" s="4">
        <v>235</v>
      </c>
      <c r="B351" s="45" t="s">
        <v>96</v>
      </c>
      <c r="C351" s="380" t="s">
        <v>1215</v>
      </c>
      <c r="D351" s="368">
        <v>50000000</v>
      </c>
      <c r="E351" s="393">
        <v>0.04</v>
      </c>
      <c r="F351" s="368">
        <f t="shared" si="22"/>
        <v>2000000</v>
      </c>
      <c r="G351" s="368">
        <v>2000000</v>
      </c>
      <c r="H351" s="368" t="s">
        <v>1894</v>
      </c>
      <c r="I351" s="374" t="s">
        <v>1976</v>
      </c>
      <c r="J351" s="24" t="s">
        <v>1977</v>
      </c>
      <c r="K351" s="368">
        <f t="shared" ref="K351:K357" si="23">G351</f>
        <v>2000000</v>
      </c>
      <c r="L351" s="368">
        <f t="shared" si="21"/>
        <v>0</v>
      </c>
      <c r="M351" s="45"/>
    </row>
    <row r="352" spans="1:13" ht="30" customHeight="1" x14ac:dyDescent="0.2">
      <c r="A352" s="4">
        <v>236</v>
      </c>
      <c r="B352" s="45" t="s">
        <v>97</v>
      </c>
      <c r="C352" s="380"/>
      <c r="D352" s="368">
        <v>37000000</v>
      </c>
      <c r="E352" s="20">
        <v>4.1000000000000002E-2</v>
      </c>
      <c r="F352" s="368">
        <v>1500000</v>
      </c>
      <c r="G352" s="368">
        <v>1500000</v>
      </c>
      <c r="H352" s="368" t="s">
        <v>1848</v>
      </c>
      <c r="I352" s="374" t="s">
        <v>1924</v>
      </c>
      <c r="J352" s="378" t="s">
        <v>340</v>
      </c>
      <c r="K352" s="368">
        <f t="shared" si="23"/>
        <v>1500000</v>
      </c>
      <c r="L352" s="368">
        <f t="shared" si="21"/>
        <v>0</v>
      </c>
      <c r="M352" s="45"/>
    </row>
    <row r="353" spans="1:15" ht="30" customHeight="1" x14ac:dyDescent="0.2">
      <c r="A353" s="4">
        <v>237</v>
      </c>
      <c r="B353" s="45" t="s">
        <v>98</v>
      </c>
      <c r="C353" s="380" t="s">
        <v>1817</v>
      </c>
      <c r="D353" s="368">
        <v>62500000</v>
      </c>
      <c r="E353" s="20">
        <v>4.8000000000000001E-2</v>
      </c>
      <c r="F353" s="368">
        <f t="shared" si="22"/>
        <v>3000000</v>
      </c>
      <c r="G353" s="368">
        <v>3000000</v>
      </c>
      <c r="H353" s="368" t="s">
        <v>2273</v>
      </c>
      <c r="I353" s="374" t="s">
        <v>2279</v>
      </c>
      <c r="J353" s="24" t="s">
        <v>2280</v>
      </c>
      <c r="K353" s="368">
        <f t="shared" si="23"/>
        <v>3000000</v>
      </c>
      <c r="L353" s="368">
        <f t="shared" si="21"/>
        <v>0</v>
      </c>
      <c r="M353" s="45"/>
    </row>
    <row r="354" spans="1:15" ht="30" customHeight="1" x14ac:dyDescent="0.2">
      <c r="A354" s="4">
        <v>238</v>
      </c>
      <c r="B354" s="45" t="s">
        <v>99</v>
      </c>
      <c r="C354" s="380"/>
      <c r="D354" s="368">
        <v>100000000</v>
      </c>
      <c r="E354" s="20">
        <v>0.05</v>
      </c>
      <c r="F354" s="368">
        <f t="shared" si="22"/>
        <v>5000000</v>
      </c>
      <c r="G354" s="368">
        <v>5000000</v>
      </c>
      <c r="H354" s="368" t="s">
        <v>1831</v>
      </c>
      <c r="I354" s="21">
        <v>228048</v>
      </c>
      <c r="J354" s="21" t="s">
        <v>306</v>
      </c>
      <c r="K354" s="368">
        <f t="shared" si="23"/>
        <v>5000000</v>
      </c>
      <c r="L354" s="368">
        <f t="shared" si="21"/>
        <v>0</v>
      </c>
      <c r="M354" s="45"/>
    </row>
    <row r="355" spans="1:15" ht="30" customHeight="1" x14ac:dyDescent="0.2">
      <c r="A355" s="4">
        <v>239</v>
      </c>
      <c r="B355" s="45" t="s">
        <v>100</v>
      </c>
      <c r="C355" s="380" t="s">
        <v>380</v>
      </c>
      <c r="D355" s="368">
        <v>50000000</v>
      </c>
      <c r="E355" s="20">
        <v>0.05</v>
      </c>
      <c r="F355" s="368">
        <f t="shared" si="22"/>
        <v>2500000</v>
      </c>
      <c r="G355" s="368">
        <v>2500000</v>
      </c>
      <c r="H355" s="368" t="s">
        <v>1894</v>
      </c>
      <c r="I355" s="374" t="s">
        <v>1995</v>
      </c>
      <c r="J355" s="24" t="s">
        <v>1996</v>
      </c>
      <c r="K355" s="368">
        <f t="shared" si="23"/>
        <v>2500000</v>
      </c>
      <c r="L355" s="368">
        <f t="shared" si="21"/>
        <v>0</v>
      </c>
      <c r="M355" s="45"/>
    </row>
    <row r="356" spans="1:15" ht="30" customHeight="1" x14ac:dyDescent="0.2">
      <c r="A356" s="4">
        <v>240</v>
      </c>
      <c r="B356" s="3457" t="s">
        <v>2404</v>
      </c>
      <c r="C356" s="3570" t="s">
        <v>1019</v>
      </c>
      <c r="D356" s="3442">
        <v>100000000</v>
      </c>
      <c r="E356" s="3444">
        <v>0.04</v>
      </c>
      <c r="F356" s="3442">
        <f t="shared" si="22"/>
        <v>4000000</v>
      </c>
      <c r="G356" s="368">
        <v>4000000</v>
      </c>
      <c r="H356" s="368" t="s">
        <v>2001</v>
      </c>
      <c r="I356" s="374" t="s">
        <v>2048</v>
      </c>
      <c r="J356" s="24" t="s">
        <v>2049</v>
      </c>
      <c r="K356" s="368">
        <f t="shared" si="23"/>
        <v>4000000</v>
      </c>
      <c r="L356" s="368">
        <f t="shared" si="21"/>
        <v>0</v>
      </c>
      <c r="M356" s="103" t="s">
        <v>2050</v>
      </c>
    </row>
    <row r="357" spans="1:15" ht="30" customHeight="1" x14ac:dyDescent="0.2">
      <c r="A357" s="884"/>
      <c r="B357" s="3458"/>
      <c r="C357" s="3571"/>
      <c r="D357" s="3443"/>
      <c r="E357" s="3445"/>
      <c r="F357" s="3443"/>
      <c r="G357" s="886">
        <v>4000000</v>
      </c>
      <c r="H357" s="886" t="s">
        <v>2542</v>
      </c>
      <c r="I357" s="891" t="s">
        <v>2543</v>
      </c>
      <c r="J357" s="24" t="s">
        <v>353</v>
      </c>
      <c r="K357" s="886">
        <f t="shared" si="23"/>
        <v>4000000</v>
      </c>
      <c r="L357" s="886">
        <f>G357-K357</f>
        <v>0</v>
      </c>
      <c r="M357" s="888" t="s">
        <v>1379</v>
      </c>
    </row>
    <row r="358" spans="1:15" ht="30" customHeight="1" x14ac:dyDescent="0.2">
      <c r="A358" s="3450">
        <v>241</v>
      </c>
      <c r="B358" s="3457" t="s">
        <v>573</v>
      </c>
      <c r="C358" s="421"/>
      <c r="D358" s="739">
        <v>30000000</v>
      </c>
      <c r="E358" s="44"/>
      <c r="F358" s="739">
        <v>2350000</v>
      </c>
      <c r="G358" s="737"/>
      <c r="H358" s="737"/>
      <c r="I358" s="60"/>
      <c r="J358" s="757"/>
      <c r="K358" s="174"/>
      <c r="L358" s="399">
        <f>F358-K358</f>
        <v>2350000</v>
      </c>
      <c r="M358" s="3452"/>
    </row>
    <row r="359" spans="1:15" ht="30" customHeight="1" x14ac:dyDescent="0.2">
      <c r="A359" s="3456"/>
      <c r="B359" s="3459"/>
      <c r="C359" s="756"/>
      <c r="D359" s="735">
        <v>20000000</v>
      </c>
      <c r="E359" s="736">
        <v>7.0000000000000007E-2</v>
      </c>
      <c r="F359" s="735">
        <f>D359*E359</f>
        <v>1400000.0000000002</v>
      </c>
      <c r="G359" s="735">
        <v>1400000</v>
      </c>
      <c r="H359" s="735" t="s">
        <v>2291</v>
      </c>
      <c r="I359" s="745" t="s">
        <v>2315</v>
      </c>
      <c r="J359" s="102" t="s">
        <v>571</v>
      </c>
      <c r="K359" s="735">
        <f>G359</f>
        <v>1400000</v>
      </c>
      <c r="L359" s="735">
        <f>F359-K359</f>
        <v>0</v>
      </c>
      <c r="M359" s="3653"/>
    </row>
    <row r="360" spans="1:15" ht="30" customHeight="1" x14ac:dyDescent="0.2">
      <c r="A360" s="3451"/>
      <c r="B360" s="3458"/>
      <c r="C360" s="756"/>
      <c r="D360" s="735">
        <v>10000000</v>
      </c>
      <c r="E360" s="736">
        <v>0.09</v>
      </c>
      <c r="F360" s="735">
        <f>D360*E360</f>
        <v>900000</v>
      </c>
      <c r="G360" s="735">
        <v>900000</v>
      </c>
      <c r="H360" s="735" t="s">
        <v>2273</v>
      </c>
      <c r="I360" s="745" t="s">
        <v>2276</v>
      </c>
      <c r="J360" s="102" t="s">
        <v>571</v>
      </c>
      <c r="K360" s="735">
        <f>F360</f>
        <v>900000</v>
      </c>
      <c r="L360" s="735">
        <f>F360-K360</f>
        <v>0</v>
      </c>
      <c r="M360" s="3453"/>
    </row>
    <row r="361" spans="1:15" ht="30" customHeight="1" x14ac:dyDescent="0.2">
      <c r="A361" s="4">
        <v>242</v>
      </c>
      <c r="B361" s="45" t="s">
        <v>102</v>
      </c>
      <c r="C361" s="380"/>
      <c r="D361" s="368">
        <v>100000000</v>
      </c>
      <c r="E361" s="393">
        <v>4.4999999999999998E-2</v>
      </c>
      <c r="F361" s="368">
        <f t="shared" si="22"/>
        <v>4500000</v>
      </c>
      <c r="G361" s="368">
        <v>4500000</v>
      </c>
      <c r="H361" s="368" t="s">
        <v>1752</v>
      </c>
      <c r="I361" s="374" t="s">
        <v>1758</v>
      </c>
      <c r="J361" s="24" t="s">
        <v>1759</v>
      </c>
      <c r="K361" s="368">
        <f>G361</f>
        <v>4500000</v>
      </c>
      <c r="L361" s="368">
        <f t="shared" si="21"/>
        <v>0</v>
      </c>
      <c r="M361" s="2178" t="s">
        <v>4135</v>
      </c>
    </row>
    <row r="362" spans="1:15" ht="30" customHeight="1" x14ac:dyDescent="0.2">
      <c r="A362" s="4">
        <v>243</v>
      </c>
      <c r="B362" s="22" t="s">
        <v>519</v>
      </c>
      <c r="C362" s="422" t="s">
        <v>265</v>
      </c>
      <c r="D362" s="399">
        <v>20000000</v>
      </c>
      <c r="E362" s="20">
        <v>0.04</v>
      </c>
      <c r="F362" s="601">
        <f>D362*E362</f>
        <v>800000</v>
      </c>
      <c r="G362" s="601">
        <v>800000</v>
      </c>
      <c r="H362" s="601" t="s">
        <v>2001</v>
      </c>
      <c r="I362" s="601">
        <v>122220558759</v>
      </c>
      <c r="J362" s="601" t="s">
        <v>2012</v>
      </c>
      <c r="K362" s="601">
        <f>G362</f>
        <v>800000</v>
      </c>
      <c r="L362" s="601">
        <f>F362-K362</f>
        <v>0</v>
      </c>
      <c r="M362" s="103" t="s">
        <v>1382</v>
      </c>
      <c r="N362" s="264"/>
      <c r="O362" s="264"/>
    </row>
    <row r="363" spans="1:15" ht="30" customHeight="1" x14ac:dyDescent="0.2">
      <c r="A363" s="4">
        <v>244</v>
      </c>
      <c r="B363" s="388" t="s">
        <v>103</v>
      </c>
      <c r="C363" s="380"/>
      <c r="D363" s="368">
        <v>50000000</v>
      </c>
      <c r="E363" s="20">
        <v>0.05</v>
      </c>
      <c r="F363" s="368">
        <f t="shared" si="22"/>
        <v>2500000</v>
      </c>
      <c r="G363" s="368">
        <v>2500000</v>
      </c>
      <c r="H363" s="368" t="s">
        <v>2001</v>
      </c>
      <c r="I363" s="374" t="s">
        <v>2005</v>
      </c>
      <c r="J363" s="24" t="s">
        <v>310</v>
      </c>
      <c r="K363" s="368">
        <f>G363</f>
        <v>2500000</v>
      </c>
      <c r="L363" s="368">
        <f t="shared" si="21"/>
        <v>0</v>
      </c>
      <c r="M363" s="45"/>
    </row>
    <row r="364" spans="1:15" ht="30" customHeight="1" x14ac:dyDescent="0.2">
      <c r="A364" s="4">
        <v>245</v>
      </c>
      <c r="B364" s="45" t="s">
        <v>4198</v>
      </c>
      <c r="C364" s="380" t="s">
        <v>265</v>
      </c>
      <c r="D364" s="368">
        <v>60000000</v>
      </c>
      <c r="E364" s="20">
        <v>0.05</v>
      </c>
      <c r="F364" s="368">
        <f t="shared" si="22"/>
        <v>3000000</v>
      </c>
      <c r="G364" s="368">
        <v>3000000</v>
      </c>
      <c r="H364" s="368" t="s">
        <v>388</v>
      </c>
      <c r="I364" s="374" t="s">
        <v>2045</v>
      </c>
      <c r="J364" s="373" t="s">
        <v>2046</v>
      </c>
      <c r="K364" s="368">
        <f>G364</f>
        <v>3000000</v>
      </c>
      <c r="L364" s="368">
        <f t="shared" si="21"/>
        <v>0</v>
      </c>
      <c r="M364" s="45"/>
    </row>
    <row r="365" spans="1:15" ht="30" customHeight="1" x14ac:dyDescent="0.2">
      <c r="A365" s="4">
        <v>246</v>
      </c>
      <c r="B365" s="45" t="s">
        <v>105</v>
      </c>
      <c r="C365" s="380"/>
      <c r="D365" s="368">
        <v>85000000</v>
      </c>
      <c r="E365" s="20">
        <v>5.0999999999999997E-2</v>
      </c>
      <c r="F365" s="368">
        <v>4300000</v>
      </c>
      <c r="G365" s="368">
        <v>4300000</v>
      </c>
      <c r="H365" s="368" t="s">
        <v>1894</v>
      </c>
      <c r="I365" s="374" t="s">
        <v>1938</v>
      </c>
      <c r="J365" s="31" t="s">
        <v>1939</v>
      </c>
      <c r="K365" s="368">
        <f t="shared" ref="K365:K372" si="24">G365</f>
        <v>4300000</v>
      </c>
      <c r="L365" s="368">
        <f t="shared" si="21"/>
        <v>0</v>
      </c>
      <c r="M365" s="45"/>
    </row>
    <row r="366" spans="1:15" ht="30" customHeight="1" x14ac:dyDescent="0.2">
      <c r="A366" s="4">
        <v>247</v>
      </c>
      <c r="B366" s="45" t="s">
        <v>106</v>
      </c>
      <c r="C366" s="380"/>
      <c r="D366" s="368">
        <v>220000000</v>
      </c>
      <c r="E366" s="20">
        <v>7.0000000000000007E-2</v>
      </c>
      <c r="F366" s="368">
        <f t="shared" si="22"/>
        <v>15400000.000000002</v>
      </c>
      <c r="G366" s="368">
        <v>15400000</v>
      </c>
      <c r="H366" s="368" t="s">
        <v>1848</v>
      </c>
      <c r="I366" s="376" t="s">
        <v>1881</v>
      </c>
      <c r="J366" s="24" t="s">
        <v>1882</v>
      </c>
      <c r="K366" s="368">
        <f t="shared" si="24"/>
        <v>15400000</v>
      </c>
      <c r="L366" s="368">
        <f t="shared" si="21"/>
        <v>0</v>
      </c>
      <c r="M366" s="103" t="s">
        <v>347</v>
      </c>
      <c r="N366" s="911"/>
      <c r="O366" s="912"/>
    </row>
    <row r="367" spans="1:15" ht="30" customHeight="1" x14ac:dyDescent="0.2">
      <c r="A367" s="4">
        <v>248</v>
      </c>
      <c r="B367" s="45" t="s">
        <v>107</v>
      </c>
      <c r="C367" s="380" t="s">
        <v>1215</v>
      </c>
      <c r="D367" s="508">
        <v>95000000</v>
      </c>
      <c r="E367" s="517">
        <v>4.4999999999999998E-2</v>
      </c>
      <c r="F367" s="508">
        <v>4000000</v>
      </c>
      <c r="G367" s="508">
        <v>4000000</v>
      </c>
      <c r="H367" s="508" t="s">
        <v>1848</v>
      </c>
      <c r="I367" s="514" t="s">
        <v>1872</v>
      </c>
      <c r="J367" s="24" t="s">
        <v>1873</v>
      </c>
      <c r="K367" s="508">
        <f t="shared" si="24"/>
        <v>4000000</v>
      </c>
      <c r="L367" s="508">
        <f t="shared" si="21"/>
        <v>0</v>
      </c>
      <c r="M367" s="45"/>
    </row>
    <row r="368" spans="1:15" ht="30" customHeight="1" x14ac:dyDescent="0.2">
      <c r="A368" s="4">
        <v>249</v>
      </c>
      <c r="B368" s="45" t="s">
        <v>108</v>
      </c>
      <c r="C368" s="380" t="s">
        <v>265</v>
      </c>
      <c r="D368" s="368">
        <v>10000000</v>
      </c>
      <c r="E368" s="20">
        <v>0.05</v>
      </c>
      <c r="F368" s="368">
        <f t="shared" si="22"/>
        <v>500000</v>
      </c>
      <c r="G368" s="368">
        <v>500000</v>
      </c>
      <c r="H368" s="368" t="s">
        <v>1894</v>
      </c>
      <c r="I368" s="374" t="s">
        <v>1928</v>
      </c>
      <c r="J368" s="30" t="s">
        <v>413</v>
      </c>
      <c r="K368" s="368">
        <f t="shared" si="24"/>
        <v>500000</v>
      </c>
      <c r="L368" s="368">
        <f t="shared" si="21"/>
        <v>0</v>
      </c>
      <c r="M368" s="45"/>
    </row>
    <row r="369" spans="1:15" ht="30" customHeight="1" x14ac:dyDescent="0.2">
      <c r="A369" s="4">
        <v>250</v>
      </c>
      <c r="B369" s="45" t="s">
        <v>109</v>
      </c>
      <c r="C369" s="380"/>
      <c r="D369" s="368">
        <v>200000000</v>
      </c>
      <c r="E369" s="20">
        <v>0.04</v>
      </c>
      <c r="F369" s="368">
        <f t="shared" si="22"/>
        <v>8000000</v>
      </c>
      <c r="G369" s="368">
        <v>8000000</v>
      </c>
      <c r="H369" s="368" t="s">
        <v>2001</v>
      </c>
      <c r="I369" s="36" t="s">
        <v>2011</v>
      </c>
      <c r="J369" s="604" t="s">
        <v>1268</v>
      </c>
      <c r="K369" s="368">
        <f t="shared" si="24"/>
        <v>8000000</v>
      </c>
      <c r="L369" s="368">
        <f t="shared" si="21"/>
        <v>0</v>
      </c>
      <c r="M369" s="45"/>
    </row>
    <row r="370" spans="1:15" ht="30" customHeight="1" x14ac:dyDescent="0.2">
      <c r="A370" s="4">
        <v>251</v>
      </c>
      <c r="B370" s="45" t="s">
        <v>1944</v>
      </c>
      <c r="C370" s="380" t="s">
        <v>379</v>
      </c>
      <c r="D370" s="3092">
        <v>90000000</v>
      </c>
      <c r="E370" s="3101">
        <v>0.06</v>
      </c>
      <c r="F370" s="3092">
        <f t="shared" si="22"/>
        <v>5400000</v>
      </c>
      <c r="G370" s="3092">
        <v>5400000</v>
      </c>
      <c r="H370" s="3092" t="s">
        <v>1894</v>
      </c>
      <c r="I370" s="3096" t="s">
        <v>1946</v>
      </c>
      <c r="J370" s="24" t="s">
        <v>1945</v>
      </c>
      <c r="K370" s="3092">
        <f t="shared" si="24"/>
        <v>5400000</v>
      </c>
      <c r="L370" s="3092">
        <f t="shared" si="21"/>
        <v>0</v>
      </c>
      <c r="M370" s="45"/>
    </row>
    <row r="371" spans="1:15" ht="30" customHeight="1" x14ac:dyDescent="0.2">
      <c r="A371" s="4">
        <v>252</v>
      </c>
      <c r="B371" s="45" t="s">
        <v>111</v>
      </c>
      <c r="C371" s="380"/>
      <c r="D371" s="368">
        <v>270000000</v>
      </c>
      <c r="E371" s="20">
        <v>0.05</v>
      </c>
      <c r="F371" s="368">
        <f>D371*E371</f>
        <v>13500000</v>
      </c>
      <c r="G371" s="368">
        <v>13500000</v>
      </c>
      <c r="H371" s="368" t="s">
        <v>1848</v>
      </c>
      <c r="I371" s="376" t="s">
        <v>1922</v>
      </c>
      <c r="J371" s="24" t="s">
        <v>1923</v>
      </c>
      <c r="K371" s="368">
        <f t="shared" si="24"/>
        <v>13500000</v>
      </c>
      <c r="L371" s="368">
        <f t="shared" si="21"/>
        <v>0</v>
      </c>
      <c r="M371" s="45"/>
    </row>
    <row r="372" spans="1:15" ht="30" customHeight="1" x14ac:dyDescent="0.2">
      <c r="A372" s="3450">
        <v>253</v>
      </c>
      <c r="B372" s="3457" t="s">
        <v>112</v>
      </c>
      <c r="C372" s="3570"/>
      <c r="D372" s="368">
        <v>20000000</v>
      </c>
      <c r="E372" s="20">
        <v>0.05</v>
      </c>
      <c r="F372" s="368">
        <f t="shared" si="22"/>
        <v>1000000</v>
      </c>
      <c r="G372" s="368">
        <v>1500000</v>
      </c>
      <c r="H372" s="368" t="s">
        <v>1894</v>
      </c>
      <c r="I372" s="374" t="s">
        <v>1974</v>
      </c>
      <c r="J372" s="88" t="s">
        <v>836</v>
      </c>
      <c r="K372" s="368">
        <f t="shared" si="24"/>
        <v>1500000</v>
      </c>
      <c r="L372" s="368">
        <f t="shared" si="21"/>
        <v>-500000</v>
      </c>
      <c r="M372" s="45" t="s">
        <v>1975</v>
      </c>
    </row>
    <row r="373" spans="1:15" ht="30" customHeight="1" x14ac:dyDescent="0.2">
      <c r="A373" s="3451"/>
      <c r="B373" s="3458"/>
      <c r="C373" s="3571"/>
      <c r="D373" s="594">
        <v>20000000</v>
      </c>
      <c r="E373" s="605"/>
      <c r="F373" s="594"/>
      <c r="G373" s="3610" t="s">
        <v>1989</v>
      </c>
      <c r="H373" s="3611"/>
      <c r="I373" s="3611"/>
      <c r="J373" s="3611"/>
      <c r="K373" s="3612"/>
      <c r="L373" s="594"/>
      <c r="M373" s="45"/>
    </row>
    <row r="374" spans="1:15" ht="30" customHeight="1" x14ac:dyDescent="0.2">
      <c r="A374" s="3450">
        <v>254</v>
      </c>
      <c r="B374" s="3457" t="s">
        <v>2013</v>
      </c>
      <c r="C374" s="3570"/>
      <c r="D374" s="368">
        <v>295000000</v>
      </c>
      <c r="E374" s="20">
        <v>0.05</v>
      </c>
      <c r="F374" s="368">
        <f t="shared" si="22"/>
        <v>14750000</v>
      </c>
      <c r="G374" s="368">
        <v>14050000</v>
      </c>
      <c r="H374" s="669" t="s">
        <v>2001</v>
      </c>
      <c r="I374" s="36" t="s">
        <v>2047</v>
      </c>
      <c r="J374" s="24" t="s">
        <v>450</v>
      </c>
      <c r="K374" s="368">
        <f>G374</f>
        <v>14050000</v>
      </c>
      <c r="L374" s="368">
        <f t="shared" si="21"/>
        <v>700000</v>
      </c>
      <c r="M374" s="3478" t="s">
        <v>2014</v>
      </c>
      <c r="N374" s="3479"/>
      <c r="O374" s="3480"/>
    </row>
    <row r="375" spans="1:15" ht="30" customHeight="1" x14ac:dyDescent="0.2">
      <c r="A375" s="3456"/>
      <c r="B375" s="3459"/>
      <c r="C375" s="3576"/>
      <c r="D375" s="3325" t="s">
        <v>1284</v>
      </c>
      <c r="E375" s="3340"/>
      <c r="F375" s="3341"/>
      <c r="G375" s="751">
        <v>100000000</v>
      </c>
      <c r="H375" s="755" t="s">
        <v>2198</v>
      </c>
      <c r="I375" s="755" t="s">
        <v>2328</v>
      </c>
      <c r="J375" s="24" t="s">
        <v>450</v>
      </c>
      <c r="K375" s="751">
        <f>G375</f>
        <v>100000000</v>
      </c>
      <c r="L375" s="751"/>
      <c r="M375" s="752"/>
      <c r="N375" s="763"/>
      <c r="O375" s="763"/>
    </row>
    <row r="376" spans="1:15" ht="30" customHeight="1" x14ac:dyDescent="0.2">
      <c r="A376" s="3451"/>
      <c r="B376" s="3458"/>
      <c r="C376" s="3571"/>
      <c r="D376" s="751">
        <v>195000000</v>
      </c>
      <c r="E376" s="754"/>
      <c r="F376" s="751"/>
      <c r="G376" s="3610" t="s">
        <v>2329</v>
      </c>
      <c r="H376" s="3611"/>
      <c r="I376" s="3611"/>
      <c r="J376" s="3611"/>
      <c r="K376" s="3612"/>
      <c r="L376" s="751"/>
      <c r="M376" s="752"/>
      <c r="N376" s="763"/>
      <c r="O376" s="763"/>
    </row>
    <row r="377" spans="1:15" ht="30" customHeight="1" x14ac:dyDescent="0.2">
      <c r="A377" s="4">
        <v>255</v>
      </c>
      <c r="B377" s="45" t="s">
        <v>115</v>
      </c>
      <c r="C377" s="380" t="s">
        <v>265</v>
      </c>
      <c r="D377" s="368">
        <v>40000000</v>
      </c>
      <c r="E377" s="20">
        <v>0.05</v>
      </c>
      <c r="F377" s="368">
        <f t="shared" si="22"/>
        <v>2000000</v>
      </c>
      <c r="G377" s="368">
        <v>2000000</v>
      </c>
      <c r="H377" s="368" t="s">
        <v>1894</v>
      </c>
      <c r="I377" s="374" t="s">
        <v>1935</v>
      </c>
      <c r="J377" s="21" t="s">
        <v>349</v>
      </c>
      <c r="K377" s="368">
        <f>G377</f>
        <v>2000000</v>
      </c>
      <c r="L377" s="368">
        <f t="shared" si="21"/>
        <v>0</v>
      </c>
      <c r="M377" s="45"/>
    </row>
    <row r="378" spans="1:15" ht="30" customHeight="1" x14ac:dyDescent="0.2">
      <c r="A378" s="4">
        <v>256</v>
      </c>
      <c r="B378" s="45" t="s">
        <v>116</v>
      </c>
      <c r="C378" s="380"/>
      <c r="D378" s="368">
        <v>100000000</v>
      </c>
      <c r="E378" s="20">
        <v>0.05</v>
      </c>
      <c r="F378" s="368">
        <f t="shared" si="22"/>
        <v>5000000</v>
      </c>
      <c r="G378" s="368">
        <v>5000000</v>
      </c>
      <c r="H378" s="368" t="s">
        <v>1894</v>
      </c>
      <c r="I378" s="374" t="s">
        <v>1942</v>
      </c>
      <c r="J378" s="21" t="s">
        <v>1943</v>
      </c>
      <c r="K378" s="368">
        <f>G378</f>
        <v>5000000</v>
      </c>
      <c r="L378" s="368">
        <f t="shared" si="21"/>
        <v>0</v>
      </c>
      <c r="M378" s="45"/>
    </row>
    <row r="379" spans="1:15" ht="30" customHeight="1" x14ac:dyDescent="0.2">
      <c r="A379" s="4">
        <v>257</v>
      </c>
      <c r="B379" s="45" t="s">
        <v>117</v>
      </c>
      <c r="C379" s="380" t="s">
        <v>1347</v>
      </c>
      <c r="D379" s="368">
        <v>30000000</v>
      </c>
      <c r="E379" s="20">
        <v>0.05</v>
      </c>
      <c r="F379" s="368">
        <f t="shared" si="22"/>
        <v>1500000</v>
      </c>
      <c r="G379" s="368"/>
      <c r="H379" s="368"/>
      <c r="I379" s="374"/>
      <c r="J379" s="24"/>
      <c r="K379" s="368"/>
      <c r="L379" s="368">
        <f t="shared" si="21"/>
        <v>1500000</v>
      </c>
      <c r="M379" s="45"/>
    </row>
    <row r="380" spans="1:15" ht="30" customHeight="1" x14ac:dyDescent="0.2">
      <c r="A380" s="4">
        <v>258</v>
      </c>
      <c r="B380" s="45" t="s">
        <v>876</v>
      </c>
      <c r="C380" s="380" t="s">
        <v>265</v>
      </c>
      <c r="D380" s="368">
        <v>12000000</v>
      </c>
      <c r="E380" s="20">
        <v>0.05</v>
      </c>
      <c r="F380" s="368">
        <f t="shared" si="22"/>
        <v>600000</v>
      </c>
      <c r="G380" s="3442">
        <v>1600000</v>
      </c>
      <c r="H380" s="3442" t="s">
        <v>2001</v>
      </c>
      <c r="I380" s="3577" t="s">
        <v>2006</v>
      </c>
      <c r="J380" s="3586" t="s">
        <v>485</v>
      </c>
      <c r="K380" s="3442">
        <f>G380</f>
        <v>1600000</v>
      </c>
      <c r="L380" s="3442">
        <f>(F380+F381)-K380</f>
        <v>0</v>
      </c>
      <c r="M380" s="3525"/>
    </row>
    <row r="381" spans="1:15" ht="30" customHeight="1" x14ac:dyDescent="0.2">
      <c r="A381" s="4">
        <v>259</v>
      </c>
      <c r="B381" s="45" t="s">
        <v>159</v>
      </c>
      <c r="C381" s="380" t="s">
        <v>265</v>
      </c>
      <c r="D381" s="368">
        <v>20000000</v>
      </c>
      <c r="E381" s="20">
        <v>0.05</v>
      </c>
      <c r="F381" s="368">
        <f>D381*E381</f>
        <v>1000000</v>
      </c>
      <c r="G381" s="3443"/>
      <c r="H381" s="3443"/>
      <c r="I381" s="3578"/>
      <c r="J381" s="3587"/>
      <c r="K381" s="3443"/>
      <c r="L381" s="3443"/>
      <c r="M381" s="3526"/>
    </row>
    <row r="382" spans="1:15" ht="30" customHeight="1" x14ac:dyDescent="0.2">
      <c r="A382" s="4">
        <v>261</v>
      </c>
      <c r="B382" s="45" t="s">
        <v>120</v>
      </c>
      <c r="C382" s="380"/>
      <c r="D382" s="594">
        <v>10500000</v>
      </c>
      <c r="E382" s="605">
        <v>0.05</v>
      </c>
      <c r="F382" s="594">
        <f t="shared" si="22"/>
        <v>525000</v>
      </c>
      <c r="G382" s="368">
        <v>525000</v>
      </c>
      <c r="H382" s="368" t="s">
        <v>2001</v>
      </c>
      <c r="I382" s="374" t="s">
        <v>2003</v>
      </c>
      <c r="J382" s="21" t="s">
        <v>423</v>
      </c>
      <c r="K382" s="368">
        <f>G382</f>
        <v>525000</v>
      </c>
      <c r="L382" s="368">
        <f t="shared" ref="L382:L444" si="25">F382-K382</f>
        <v>0</v>
      </c>
      <c r="M382" s="45"/>
    </row>
    <row r="383" spans="1:15" ht="30" customHeight="1" x14ac:dyDescent="0.2">
      <c r="A383" s="3450">
        <v>262</v>
      </c>
      <c r="B383" s="3457" t="s">
        <v>121</v>
      </c>
      <c r="C383" s="3570"/>
      <c r="D383" s="3442">
        <v>7000000</v>
      </c>
      <c r="E383" s="3444">
        <v>0.04</v>
      </c>
      <c r="F383" s="3442">
        <f t="shared" si="22"/>
        <v>280000</v>
      </c>
      <c r="G383" s="368">
        <v>5000000</v>
      </c>
      <c r="H383" s="368" t="s">
        <v>1431</v>
      </c>
      <c r="I383" s="374" t="s">
        <v>1460</v>
      </c>
      <c r="J383" s="24" t="s">
        <v>1461</v>
      </c>
      <c r="K383" s="368"/>
      <c r="L383" s="368"/>
      <c r="M383" s="3618" t="s">
        <v>1463</v>
      </c>
    </row>
    <row r="384" spans="1:15" ht="30" customHeight="1" x14ac:dyDescent="0.2">
      <c r="A384" s="3451"/>
      <c r="B384" s="3458"/>
      <c r="C384" s="3571"/>
      <c r="D384" s="3443"/>
      <c r="E384" s="3445"/>
      <c r="F384" s="3443"/>
      <c r="G384" s="411">
        <v>2000000</v>
      </c>
      <c r="H384" s="411" t="s">
        <v>1431</v>
      </c>
      <c r="I384" s="419" t="s">
        <v>1462</v>
      </c>
      <c r="J384" s="24" t="s">
        <v>1461</v>
      </c>
      <c r="K384" s="411"/>
      <c r="L384" s="411"/>
      <c r="M384" s="3619"/>
    </row>
    <row r="385" spans="1:13" ht="30" customHeight="1" x14ac:dyDescent="0.2">
      <c r="A385" s="4">
        <v>263</v>
      </c>
      <c r="B385" s="45" t="s">
        <v>586</v>
      </c>
      <c r="C385" s="380"/>
      <c r="D385" s="366"/>
      <c r="E385" s="44"/>
      <c r="F385" s="366">
        <f t="shared" si="22"/>
        <v>0</v>
      </c>
      <c r="G385" s="368">
        <v>4000000</v>
      </c>
      <c r="H385" s="368" t="s">
        <v>2064</v>
      </c>
      <c r="I385" s="374" t="s">
        <v>2067</v>
      </c>
      <c r="J385" s="24" t="s">
        <v>2068</v>
      </c>
      <c r="K385" s="368">
        <f>G385</f>
        <v>4000000</v>
      </c>
      <c r="L385" s="366">
        <f t="shared" si="25"/>
        <v>-4000000</v>
      </c>
      <c r="M385" s="171" t="s">
        <v>462</v>
      </c>
    </row>
    <row r="386" spans="1:13" ht="30" customHeight="1" x14ac:dyDescent="0.2">
      <c r="A386" s="4">
        <v>264</v>
      </c>
      <c r="B386" s="45" t="s">
        <v>122</v>
      </c>
      <c r="C386" s="380" t="s">
        <v>265</v>
      </c>
      <c r="D386" s="547"/>
      <c r="E386" s="44"/>
      <c r="F386" s="544">
        <v>2000000</v>
      </c>
      <c r="G386" s="368">
        <v>2000000</v>
      </c>
      <c r="H386" s="368" t="s">
        <v>2064</v>
      </c>
      <c r="I386" s="374" t="s">
        <v>2069</v>
      </c>
      <c r="J386" s="28" t="s">
        <v>2070</v>
      </c>
      <c r="K386" s="368">
        <f>G386</f>
        <v>2000000</v>
      </c>
      <c r="L386" s="368">
        <f t="shared" si="25"/>
        <v>0</v>
      </c>
      <c r="M386" s="377" t="s">
        <v>421</v>
      </c>
    </row>
    <row r="387" spans="1:13" ht="30" customHeight="1" x14ac:dyDescent="0.2">
      <c r="A387" s="3450">
        <v>265</v>
      </c>
      <c r="B387" s="3513" t="s">
        <v>124</v>
      </c>
      <c r="C387" s="3622"/>
      <c r="D387" s="3505">
        <v>800000000</v>
      </c>
      <c r="E387" s="3507">
        <v>7.0000000000000007E-2</v>
      </c>
      <c r="F387" s="3505">
        <f t="shared" ref="F387:F462" si="26">D387*E387</f>
        <v>56000000.000000007</v>
      </c>
      <c r="G387" s="842">
        <v>56000000</v>
      </c>
      <c r="H387" s="842" t="s">
        <v>1848</v>
      </c>
      <c r="I387" s="118" t="s">
        <v>1849</v>
      </c>
      <c r="J387" s="61" t="s">
        <v>512</v>
      </c>
      <c r="K387" s="3505">
        <f>G387+G388+G389+G390</f>
        <v>113000000</v>
      </c>
      <c r="L387" s="3505">
        <f t="shared" si="25"/>
        <v>-56999999.999999993</v>
      </c>
      <c r="M387" s="3607" t="s">
        <v>2465</v>
      </c>
    </row>
    <row r="388" spans="1:13" ht="30" customHeight="1" x14ac:dyDescent="0.2">
      <c r="A388" s="3456"/>
      <c r="B388" s="3553"/>
      <c r="C388" s="3623"/>
      <c r="D388" s="3549"/>
      <c r="E388" s="3550"/>
      <c r="F388" s="3549"/>
      <c r="G388" s="842">
        <v>50000000</v>
      </c>
      <c r="H388" s="842" t="s">
        <v>2120</v>
      </c>
      <c r="I388" s="118" t="s">
        <v>2133</v>
      </c>
      <c r="J388" s="61" t="s">
        <v>512</v>
      </c>
      <c r="K388" s="3549"/>
      <c r="L388" s="3549"/>
      <c r="M388" s="3608"/>
    </row>
    <row r="389" spans="1:13" ht="30" customHeight="1" x14ac:dyDescent="0.2">
      <c r="A389" s="3456"/>
      <c r="B389" s="3553"/>
      <c r="C389" s="3623"/>
      <c r="D389" s="3549"/>
      <c r="E389" s="3550"/>
      <c r="F389" s="3549"/>
      <c r="G389" s="842">
        <v>5000000</v>
      </c>
      <c r="H389" s="842" t="s">
        <v>2131</v>
      </c>
      <c r="I389" s="118" t="s">
        <v>2157</v>
      </c>
      <c r="J389" s="61" t="s">
        <v>512</v>
      </c>
      <c r="K389" s="3549"/>
      <c r="L389" s="3549"/>
      <c r="M389" s="3608"/>
    </row>
    <row r="390" spans="1:13" ht="30" customHeight="1" x14ac:dyDescent="0.2">
      <c r="A390" s="3456"/>
      <c r="B390" s="3553"/>
      <c r="C390" s="3623"/>
      <c r="D390" s="3549"/>
      <c r="E390" s="3508"/>
      <c r="F390" s="3506"/>
      <c r="G390" s="842">
        <v>2000000</v>
      </c>
      <c r="H390" s="842" t="s">
        <v>2131</v>
      </c>
      <c r="I390" s="118" t="s">
        <v>2158</v>
      </c>
      <c r="J390" s="61" t="s">
        <v>2159</v>
      </c>
      <c r="K390" s="3506"/>
      <c r="L390" s="3506"/>
      <c r="M390" s="3609"/>
    </row>
    <row r="391" spans="1:13" ht="30" customHeight="1" x14ac:dyDescent="0.2">
      <c r="A391" s="3451"/>
      <c r="B391" s="3514"/>
      <c r="C391" s="3624"/>
      <c r="D391" s="863">
        <v>961000000</v>
      </c>
      <c r="E391" s="862">
        <v>7.0000000000000007E-2</v>
      </c>
      <c r="F391" s="861">
        <f>D391*E391</f>
        <v>67270000</v>
      </c>
      <c r="G391" s="3615" t="s">
        <v>2487</v>
      </c>
      <c r="H391" s="3616"/>
      <c r="I391" s="3616"/>
      <c r="J391" s="3616"/>
      <c r="K391" s="3617"/>
      <c r="L391" s="861"/>
      <c r="M391" s="866" t="s">
        <v>2486</v>
      </c>
    </row>
    <row r="392" spans="1:13" ht="30" customHeight="1" x14ac:dyDescent="0.2">
      <c r="A392" s="4">
        <v>266</v>
      </c>
      <c r="B392" s="45" t="s">
        <v>2038</v>
      </c>
      <c r="C392" s="380"/>
      <c r="D392" s="368">
        <v>80000000</v>
      </c>
      <c r="E392" s="20">
        <v>4.4999999999999998E-2</v>
      </c>
      <c r="F392" s="368">
        <f t="shared" si="26"/>
        <v>3600000</v>
      </c>
      <c r="G392" s="368">
        <v>3600000</v>
      </c>
      <c r="H392" s="368" t="s">
        <v>2001</v>
      </c>
      <c r="I392" s="374" t="s">
        <v>2039</v>
      </c>
      <c r="J392" s="21" t="s">
        <v>2040</v>
      </c>
      <c r="K392" s="368">
        <f>G392</f>
        <v>3600000</v>
      </c>
      <c r="L392" s="368">
        <f t="shared" si="25"/>
        <v>0</v>
      </c>
      <c r="M392" s="45"/>
    </row>
    <row r="393" spans="1:13" ht="30" customHeight="1" x14ac:dyDescent="0.2">
      <c r="A393" s="4">
        <v>267</v>
      </c>
      <c r="B393" s="45" t="s">
        <v>508</v>
      </c>
      <c r="C393" s="380" t="s">
        <v>379</v>
      </c>
      <c r="D393" s="368">
        <v>250000000</v>
      </c>
      <c r="E393" s="20">
        <v>0.04</v>
      </c>
      <c r="F393" s="368">
        <f t="shared" si="26"/>
        <v>10000000</v>
      </c>
      <c r="G393" s="3478" t="s">
        <v>3024</v>
      </c>
      <c r="H393" s="3479"/>
      <c r="I393" s="3479"/>
      <c r="J393" s="3479"/>
      <c r="K393" s="3480"/>
      <c r="L393" s="368">
        <f t="shared" si="25"/>
        <v>10000000</v>
      </c>
      <c r="M393" s="45"/>
    </row>
    <row r="394" spans="1:13" ht="30" customHeight="1" x14ac:dyDescent="0.2">
      <c r="A394" s="4">
        <v>268</v>
      </c>
      <c r="B394" s="45" t="s">
        <v>400</v>
      </c>
      <c r="C394" s="380" t="s">
        <v>401</v>
      </c>
      <c r="D394" s="368">
        <v>130000000</v>
      </c>
      <c r="E394" s="20">
        <v>4.4999999999999998E-2</v>
      </c>
      <c r="F394" s="368">
        <f t="shared" si="26"/>
        <v>5850000</v>
      </c>
      <c r="G394" s="368">
        <v>5850000</v>
      </c>
      <c r="H394" s="368" t="s">
        <v>2180</v>
      </c>
      <c r="I394" s="374" t="s">
        <v>2181</v>
      </c>
      <c r="J394" s="21" t="s">
        <v>2182</v>
      </c>
      <c r="K394" s="368">
        <f>G394</f>
        <v>5850000</v>
      </c>
      <c r="L394" s="368">
        <f t="shared" si="25"/>
        <v>0</v>
      </c>
      <c r="M394" s="45"/>
    </row>
    <row r="395" spans="1:13" ht="30" customHeight="1" x14ac:dyDescent="0.2">
      <c r="A395" s="4">
        <v>269</v>
      </c>
      <c r="B395" s="45" t="s">
        <v>126</v>
      </c>
      <c r="C395" s="380"/>
      <c r="D395" s="368">
        <v>200000000</v>
      </c>
      <c r="E395" s="20">
        <v>0.05</v>
      </c>
      <c r="F395" s="368">
        <f t="shared" si="26"/>
        <v>10000000</v>
      </c>
      <c r="G395" s="368">
        <v>10000000</v>
      </c>
      <c r="H395" s="368" t="s">
        <v>1848</v>
      </c>
      <c r="I395" s="374" t="s">
        <v>1890</v>
      </c>
      <c r="J395" s="24" t="s">
        <v>1891</v>
      </c>
      <c r="K395" s="368">
        <f>G395</f>
        <v>10000000</v>
      </c>
      <c r="L395" s="368">
        <f t="shared" si="25"/>
        <v>0</v>
      </c>
      <c r="M395" s="45"/>
    </row>
    <row r="396" spans="1:13" ht="30" customHeight="1" x14ac:dyDescent="0.2">
      <c r="A396" s="4">
        <v>270</v>
      </c>
      <c r="B396" s="45" t="s">
        <v>127</v>
      </c>
      <c r="C396" s="380"/>
      <c r="D396" s="368">
        <v>20000000</v>
      </c>
      <c r="E396" s="20">
        <v>5.5E-2</v>
      </c>
      <c r="F396" s="368">
        <f t="shared" si="26"/>
        <v>1100000</v>
      </c>
      <c r="G396" s="368">
        <v>1100000</v>
      </c>
      <c r="H396" s="368" t="s">
        <v>2001</v>
      </c>
      <c r="I396" s="374" t="s">
        <v>2002</v>
      </c>
      <c r="J396" s="24" t="s">
        <v>503</v>
      </c>
      <c r="K396" s="368">
        <f>G396</f>
        <v>1100000</v>
      </c>
      <c r="L396" s="368">
        <f t="shared" si="25"/>
        <v>0</v>
      </c>
      <c r="M396" s="45"/>
    </row>
    <row r="397" spans="1:13" ht="30" customHeight="1" x14ac:dyDescent="0.2">
      <c r="A397" s="4">
        <v>271</v>
      </c>
      <c r="B397" s="22" t="s">
        <v>128</v>
      </c>
      <c r="C397" s="422" t="s">
        <v>367</v>
      </c>
      <c r="D397" s="399">
        <v>40000000</v>
      </c>
      <c r="E397" s="20">
        <v>5.5E-2</v>
      </c>
      <c r="F397" s="399">
        <f t="shared" si="26"/>
        <v>2200000</v>
      </c>
      <c r="G397" s="399">
        <v>2200000</v>
      </c>
      <c r="H397" s="399" t="s">
        <v>1894</v>
      </c>
      <c r="I397" s="424" t="s">
        <v>1949</v>
      </c>
      <c r="J397" s="21" t="s">
        <v>514</v>
      </c>
      <c r="K397" s="581">
        <f>G397</f>
        <v>2200000</v>
      </c>
      <c r="L397" s="399">
        <f t="shared" si="25"/>
        <v>0</v>
      </c>
      <c r="M397" s="45"/>
    </row>
    <row r="398" spans="1:13" ht="30" customHeight="1" x14ac:dyDescent="0.2">
      <c r="A398" s="3450">
        <v>272</v>
      </c>
      <c r="B398" s="3457" t="s">
        <v>129</v>
      </c>
      <c r="C398" s="3570" t="s">
        <v>1342</v>
      </c>
      <c r="D398" s="887">
        <v>560000000</v>
      </c>
      <c r="E398" s="393">
        <v>5.5E-2</v>
      </c>
      <c r="F398" s="563">
        <f t="shared" si="26"/>
        <v>30800000</v>
      </c>
      <c r="G398" s="368">
        <v>5000000</v>
      </c>
      <c r="H398" s="368" t="s">
        <v>1477</v>
      </c>
      <c r="I398" s="36" t="s">
        <v>1616</v>
      </c>
      <c r="J398" s="24" t="s">
        <v>1617</v>
      </c>
      <c r="K398" s="3575">
        <f>G398+G399</f>
        <v>35000000</v>
      </c>
      <c r="L398" s="3575">
        <f>(F398+F399+F400+F401)-K398-3400000</f>
        <v>0</v>
      </c>
      <c r="M398" s="385" t="s">
        <v>2553</v>
      </c>
    </row>
    <row r="399" spans="1:13" ht="30" customHeight="1" x14ac:dyDescent="0.2">
      <c r="A399" s="3456"/>
      <c r="B399" s="3459"/>
      <c r="C399" s="3576"/>
      <c r="D399" s="887">
        <v>65000000</v>
      </c>
      <c r="E399" s="564">
        <v>0.06</v>
      </c>
      <c r="F399" s="563">
        <f>D399*E399</f>
        <v>3900000</v>
      </c>
      <c r="G399" s="562">
        <v>30000000</v>
      </c>
      <c r="H399" s="562" t="s">
        <v>2120</v>
      </c>
      <c r="I399" s="566" t="s">
        <v>2135</v>
      </c>
      <c r="J399" s="24" t="s">
        <v>2136</v>
      </c>
      <c r="K399" s="3575"/>
      <c r="L399" s="3575"/>
      <c r="M399" s="785" t="s">
        <v>2552</v>
      </c>
    </row>
    <row r="400" spans="1:13" ht="30" customHeight="1" x14ac:dyDescent="0.2">
      <c r="A400" s="3456"/>
      <c r="B400" s="3459"/>
      <c r="C400" s="3576"/>
      <c r="D400" s="904">
        <v>40000000</v>
      </c>
      <c r="E400" s="903">
        <v>0.06</v>
      </c>
      <c r="F400" s="904">
        <f>D400*E400</f>
        <v>2400000</v>
      </c>
      <c r="G400" s="902">
        <v>40000000</v>
      </c>
      <c r="H400" s="902" t="s">
        <v>2340</v>
      </c>
      <c r="I400" s="910" t="s">
        <v>2341</v>
      </c>
      <c r="J400" s="24" t="s">
        <v>2342</v>
      </c>
      <c r="K400" s="905">
        <f>G400</f>
        <v>40000000</v>
      </c>
      <c r="L400" s="905">
        <f>D400-K400</f>
        <v>0</v>
      </c>
      <c r="M400" s="785"/>
    </row>
    <row r="401" spans="1:13" ht="30" customHeight="1" x14ac:dyDescent="0.2">
      <c r="A401" s="3456"/>
      <c r="B401" s="3459"/>
      <c r="C401" s="3576"/>
      <c r="D401" s="3325" t="s">
        <v>1899</v>
      </c>
      <c r="E401" s="3341"/>
      <c r="F401" s="563">
        <v>1300000</v>
      </c>
      <c r="G401" s="565"/>
      <c r="H401" s="586"/>
      <c r="I401" s="587"/>
      <c r="J401" s="588"/>
      <c r="K401" s="187"/>
      <c r="L401" s="187"/>
      <c r="M401" s="785"/>
    </row>
    <row r="402" spans="1:13" ht="30" customHeight="1" x14ac:dyDescent="0.2">
      <c r="A402" s="3456"/>
      <c r="B402" s="3459"/>
      <c r="C402" s="3576"/>
      <c r="D402" s="3325" t="s">
        <v>2556</v>
      </c>
      <c r="E402" s="3340"/>
      <c r="F402" s="3340"/>
      <c r="G402" s="3340"/>
      <c r="H402" s="3340"/>
      <c r="I402" s="3340"/>
      <c r="J402" s="3341"/>
      <c r="K402" s="187"/>
      <c r="L402" s="187"/>
      <c r="M402" s="785"/>
    </row>
    <row r="403" spans="1:13" ht="30" customHeight="1" x14ac:dyDescent="0.2">
      <c r="A403" s="3456"/>
      <c r="B403" s="3459"/>
      <c r="C403" s="3576"/>
      <c r="D403" s="368">
        <v>45000000</v>
      </c>
      <c r="E403" s="367">
        <v>0.06</v>
      </c>
      <c r="F403" s="368">
        <f>D403*E403</f>
        <v>2700000</v>
      </c>
      <c r="G403" s="3610" t="s">
        <v>2128</v>
      </c>
      <c r="H403" s="3611"/>
      <c r="I403" s="3611"/>
      <c r="J403" s="3612"/>
      <c r="K403" s="7"/>
      <c r="L403" s="7"/>
      <c r="M403" s="756"/>
    </row>
    <row r="404" spans="1:13" ht="30" customHeight="1" x14ac:dyDescent="0.2">
      <c r="A404" s="3451"/>
      <c r="B404" s="3458"/>
      <c r="C404" s="3571"/>
      <c r="D404" s="886">
        <v>100000000</v>
      </c>
      <c r="E404" s="885">
        <v>0.06</v>
      </c>
      <c r="F404" s="886">
        <f>D404*E404</f>
        <v>6000000</v>
      </c>
      <c r="G404" s="3610" t="s">
        <v>2554</v>
      </c>
      <c r="H404" s="3611"/>
      <c r="I404" s="3611"/>
      <c r="J404" s="3612"/>
      <c r="K404" s="7"/>
      <c r="L404" s="7"/>
      <c r="M404" s="756" t="s">
        <v>2559</v>
      </c>
    </row>
    <row r="405" spans="1:13" ht="30" customHeight="1" x14ac:dyDescent="0.2">
      <c r="A405" s="3450"/>
      <c r="B405" s="3457" t="s">
        <v>2555</v>
      </c>
      <c r="C405" s="3570" t="s">
        <v>1342</v>
      </c>
      <c r="D405" s="916">
        <v>520000000</v>
      </c>
      <c r="E405" s="917">
        <v>5.5E-2</v>
      </c>
      <c r="F405" s="916">
        <f>D405*E405</f>
        <v>28600000</v>
      </c>
      <c r="G405" s="918">
        <f>F405+F406+F407+F408+F409</f>
        <v>44900000</v>
      </c>
      <c r="H405" s="918"/>
      <c r="I405" s="918"/>
      <c r="J405" s="918"/>
      <c r="K405" s="919"/>
      <c r="L405" s="919"/>
      <c r="M405" s="3634" t="s">
        <v>2557</v>
      </c>
    </row>
    <row r="406" spans="1:13" ht="30" customHeight="1" x14ac:dyDescent="0.2">
      <c r="A406" s="3456"/>
      <c r="B406" s="3459"/>
      <c r="C406" s="3576"/>
      <c r="D406" s="916">
        <v>65000000</v>
      </c>
      <c r="E406" s="917">
        <v>0.06</v>
      </c>
      <c r="F406" s="916">
        <f>D406*E406</f>
        <v>3900000</v>
      </c>
      <c r="G406" s="918"/>
      <c r="H406" s="918"/>
      <c r="I406" s="918"/>
      <c r="J406" s="918"/>
      <c r="K406" s="919"/>
      <c r="L406" s="919"/>
      <c r="M406" s="3635"/>
    </row>
    <row r="407" spans="1:13" ht="30" customHeight="1" x14ac:dyDescent="0.2">
      <c r="A407" s="3456"/>
      <c r="B407" s="3459"/>
      <c r="C407" s="3576"/>
      <c r="D407" s="916">
        <v>85000000</v>
      </c>
      <c r="E407" s="917">
        <v>0.06</v>
      </c>
      <c r="F407" s="916">
        <f>D407*E407</f>
        <v>5100000</v>
      </c>
      <c r="G407" s="918"/>
      <c r="H407" s="918"/>
      <c r="I407" s="918"/>
      <c r="J407" s="918"/>
      <c r="K407" s="919"/>
      <c r="L407" s="919"/>
      <c r="M407" s="3635"/>
    </row>
    <row r="408" spans="1:13" ht="30" customHeight="1" x14ac:dyDescent="0.2">
      <c r="A408" s="3456"/>
      <c r="B408" s="3459"/>
      <c r="C408" s="3576"/>
      <c r="D408" s="3697" t="s">
        <v>1899</v>
      </c>
      <c r="E408" s="3698"/>
      <c r="F408" s="916">
        <v>1300000</v>
      </c>
      <c r="G408" s="918"/>
      <c r="H408" s="918"/>
      <c r="I408" s="918"/>
      <c r="J408" s="918"/>
      <c r="K408" s="919"/>
      <c r="L408" s="919"/>
      <c r="M408" s="3636"/>
    </row>
    <row r="409" spans="1:13" ht="30" customHeight="1" x14ac:dyDescent="0.2">
      <c r="A409" s="3451"/>
      <c r="B409" s="3458"/>
      <c r="C409" s="3571"/>
      <c r="D409" s="920">
        <v>100000000</v>
      </c>
      <c r="E409" s="921">
        <v>0.06</v>
      </c>
      <c r="F409" s="920">
        <f>D409*E409</f>
        <v>6000000</v>
      </c>
      <c r="G409" s="922"/>
      <c r="H409" s="922"/>
      <c r="I409" s="922"/>
      <c r="J409" s="922"/>
      <c r="K409" s="923"/>
      <c r="L409" s="923"/>
      <c r="M409" s="924" t="s">
        <v>2558</v>
      </c>
    </row>
    <row r="410" spans="1:13" ht="30" customHeight="1" x14ac:dyDescent="0.2">
      <c r="A410" s="4">
        <v>273</v>
      </c>
      <c r="B410" s="45" t="s">
        <v>130</v>
      </c>
      <c r="C410" s="380" t="s">
        <v>1346</v>
      </c>
      <c r="D410" s="368">
        <v>20000000</v>
      </c>
      <c r="E410" s="20">
        <v>0.05</v>
      </c>
      <c r="F410" s="368">
        <f t="shared" si="26"/>
        <v>1000000</v>
      </c>
      <c r="G410" s="368">
        <v>1000000</v>
      </c>
      <c r="H410" s="368" t="s">
        <v>2180</v>
      </c>
      <c r="I410" s="374" t="s">
        <v>2190</v>
      </c>
      <c r="J410" s="24" t="s">
        <v>490</v>
      </c>
      <c r="K410" s="368">
        <f t="shared" ref="K410:K415" si="27">G410</f>
        <v>1000000</v>
      </c>
      <c r="L410" s="368">
        <f t="shared" si="25"/>
        <v>0</v>
      </c>
      <c r="M410" s="45"/>
    </row>
    <row r="411" spans="1:13" ht="30" customHeight="1" x14ac:dyDescent="0.2">
      <c r="A411" s="4">
        <v>274</v>
      </c>
      <c r="B411" s="45" t="s">
        <v>131</v>
      </c>
      <c r="C411" s="380"/>
      <c r="D411" s="368">
        <v>8000000</v>
      </c>
      <c r="E411" s="20">
        <v>0.05</v>
      </c>
      <c r="F411" s="368">
        <f t="shared" si="26"/>
        <v>400000</v>
      </c>
      <c r="G411" s="368">
        <v>400000</v>
      </c>
      <c r="H411" s="368" t="s">
        <v>2064</v>
      </c>
      <c r="I411" s="374" t="s">
        <v>2112</v>
      </c>
      <c r="J411" s="24" t="s">
        <v>397</v>
      </c>
      <c r="K411" s="368">
        <f t="shared" si="27"/>
        <v>400000</v>
      </c>
      <c r="L411" s="368">
        <f t="shared" si="25"/>
        <v>0</v>
      </c>
      <c r="M411" s="45"/>
    </row>
    <row r="412" spans="1:13" ht="30" customHeight="1" x14ac:dyDescent="0.2">
      <c r="A412" s="4">
        <v>275</v>
      </c>
      <c r="B412" s="45" t="s">
        <v>132</v>
      </c>
      <c r="C412" s="380" t="s">
        <v>1346</v>
      </c>
      <c r="D412" s="368">
        <v>130000000</v>
      </c>
      <c r="E412" s="20">
        <v>0.05</v>
      </c>
      <c r="F412" s="368">
        <f t="shared" si="26"/>
        <v>6500000</v>
      </c>
      <c r="G412" s="368">
        <v>6500000</v>
      </c>
      <c r="H412" s="368" t="s">
        <v>2291</v>
      </c>
      <c r="I412" s="374" t="s">
        <v>2309</v>
      </c>
      <c r="J412" s="24" t="s">
        <v>2310</v>
      </c>
      <c r="K412" s="368">
        <f t="shared" si="27"/>
        <v>6500000</v>
      </c>
      <c r="L412" s="368">
        <f t="shared" si="25"/>
        <v>0</v>
      </c>
      <c r="M412" s="45"/>
    </row>
    <row r="413" spans="1:13" ht="30" customHeight="1" x14ac:dyDescent="0.2">
      <c r="A413" s="4">
        <v>276</v>
      </c>
      <c r="B413" s="45" t="s">
        <v>133</v>
      </c>
      <c r="C413" s="380"/>
      <c r="D413" s="368">
        <v>95000000</v>
      </c>
      <c r="E413" s="20">
        <v>5.2999999999999999E-2</v>
      </c>
      <c r="F413" s="368">
        <v>5000000</v>
      </c>
      <c r="G413" s="368">
        <v>5000000</v>
      </c>
      <c r="H413" s="368" t="s">
        <v>2180</v>
      </c>
      <c r="I413" s="374" t="s">
        <v>2193</v>
      </c>
      <c r="J413" s="24" t="s">
        <v>2194</v>
      </c>
      <c r="K413" s="368">
        <f t="shared" si="27"/>
        <v>5000000</v>
      </c>
      <c r="L413" s="368">
        <f t="shared" si="25"/>
        <v>0</v>
      </c>
      <c r="M413" s="45"/>
    </row>
    <row r="414" spans="1:13" ht="30" customHeight="1" x14ac:dyDescent="0.2">
      <c r="A414" s="4">
        <v>277</v>
      </c>
      <c r="B414" s="45" t="s">
        <v>134</v>
      </c>
      <c r="C414" s="380"/>
      <c r="D414" s="368">
        <v>200000000</v>
      </c>
      <c r="E414" s="20">
        <v>0.05</v>
      </c>
      <c r="F414" s="368">
        <f t="shared" si="26"/>
        <v>10000000</v>
      </c>
      <c r="G414" s="368">
        <v>10000000</v>
      </c>
      <c r="H414" s="368" t="s">
        <v>2273</v>
      </c>
      <c r="I414" s="374" t="s">
        <v>2277</v>
      </c>
      <c r="J414" s="24" t="s">
        <v>2278</v>
      </c>
      <c r="K414" s="368">
        <f t="shared" si="27"/>
        <v>10000000</v>
      </c>
      <c r="L414" s="368">
        <f t="shared" si="25"/>
        <v>0</v>
      </c>
      <c r="M414" s="45"/>
    </row>
    <row r="415" spans="1:13" ht="30" customHeight="1" x14ac:dyDescent="0.2">
      <c r="A415" s="3450">
        <v>278</v>
      </c>
      <c r="B415" s="3457" t="s">
        <v>634</v>
      </c>
      <c r="C415" s="3570"/>
      <c r="D415" s="714">
        <v>30000000</v>
      </c>
      <c r="E415" s="721">
        <v>4.4999999999999998E-2</v>
      </c>
      <c r="F415" s="714">
        <f>D415*E415</f>
        <v>1350000</v>
      </c>
      <c r="G415" s="3442">
        <v>1750000</v>
      </c>
      <c r="H415" s="3442" t="s">
        <v>2180</v>
      </c>
      <c r="I415" s="3577" t="s">
        <v>2191</v>
      </c>
      <c r="J415" s="3452" t="s">
        <v>2192</v>
      </c>
      <c r="K415" s="3442">
        <f t="shared" si="27"/>
        <v>1750000</v>
      </c>
      <c r="L415" s="3442">
        <f>(F415+F416)-K415</f>
        <v>0</v>
      </c>
      <c r="M415" s="3525"/>
    </row>
    <row r="416" spans="1:13" ht="30" customHeight="1" x14ac:dyDescent="0.2">
      <c r="A416" s="3451"/>
      <c r="B416" s="3458"/>
      <c r="C416" s="3571"/>
      <c r="D416" s="714">
        <v>10000000</v>
      </c>
      <c r="E416" s="721">
        <v>0.04</v>
      </c>
      <c r="F416" s="714">
        <f>D416*E416</f>
        <v>400000</v>
      </c>
      <c r="G416" s="3443"/>
      <c r="H416" s="3443"/>
      <c r="I416" s="3578"/>
      <c r="J416" s="3453"/>
      <c r="K416" s="3443"/>
      <c r="L416" s="3443"/>
      <c r="M416" s="3526"/>
    </row>
    <row r="417" spans="1:13" ht="30" customHeight="1" x14ac:dyDescent="0.2">
      <c r="A417" s="4">
        <v>279</v>
      </c>
      <c r="B417" s="45" t="s">
        <v>135</v>
      </c>
      <c r="C417" s="380"/>
      <c r="D417" s="368">
        <v>11000000</v>
      </c>
      <c r="E417" s="20">
        <v>4.4999999999999998E-2</v>
      </c>
      <c r="F417" s="368">
        <v>500000</v>
      </c>
      <c r="G417" s="368">
        <v>500000</v>
      </c>
      <c r="H417" s="368" t="s">
        <v>1687</v>
      </c>
      <c r="I417" s="374" t="s">
        <v>1701</v>
      </c>
      <c r="J417" s="24" t="s">
        <v>751</v>
      </c>
      <c r="K417" s="368">
        <f>G417</f>
        <v>500000</v>
      </c>
      <c r="L417" s="368">
        <f t="shared" si="25"/>
        <v>0</v>
      </c>
      <c r="M417" s="45"/>
    </row>
    <row r="418" spans="1:13" ht="30" customHeight="1" x14ac:dyDescent="0.2">
      <c r="A418" s="4">
        <v>280</v>
      </c>
      <c r="B418" s="3457" t="s">
        <v>468</v>
      </c>
      <c r="C418" s="3570"/>
      <c r="D418" s="3505"/>
      <c r="E418" s="3507"/>
      <c r="F418" s="3505">
        <f t="shared" si="26"/>
        <v>0</v>
      </c>
      <c r="G418" s="368">
        <v>1000000</v>
      </c>
      <c r="H418" s="368" t="s">
        <v>2291</v>
      </c>
      <c r="I418" s="374" t="s">
        <v>2302</v>
      </c>
      <c r="J418" s="28" t="s">
        <v>2303</v>
      </c>
      <c r="K418" s="3442">
        <f>G418+G419</f>
        <v>3000000</v>
      </c>
      <c r="L418" s="3505">
        <f t="shared" si="25"/>
        <v>-3000000</v>
      </c>
      <c r="M418" s="3525"/>
    </row>
    <row r="419" spans="1:13" ht="30" customHeight="1" x14ac:dyDescent="0.2">
      <c r="A419" s="734"/>
      <c r="B419" s="3458"/>
      <c r="C419" s="3571"/>
      <c r="D419" s="3506"/>
      <c r="E419" s="3508"/>
      <c r="F419" s="3506"/>
      <c r="G419" s="735">
        <v>2000000</v>
      </c>
      <c r="H419" s="735" t="s">
        <v>2291</v>
      </c>
      <c r="I419" s="745" t="s">
        <v>2304</v>
      </c>
      <c r="J419" s="28" t="s">
        <v>2303</v>
      </c>
      <c r="K419" s="3443"/>
      <c r="L419" s="3506"/>
      <c r="M419" s="3526"/>
    </row>
    <row r="420" spans="1:13" ht="30" customHeight="1" x14ac:dyDescent="0.2">
      <c r="A420" s="713">
        <v>281</v>
      </c>
      <c r="B420" s="188" t="s">
        <v>136</v>
      </c>
      <c r="C420" s="716" t="s">
        <v>1345</v>
      </c>
      <c r="D420" s="368">
        <v>40000000</v>
      </c>
      <c r="E420" s="20">
        <v>0.05</v>
      </c>
      <c r="F420" s="368">
        <f t="shared" si="26"/>
        <v>2000000</v>
      </c>
      <c r="G420" s="714">
        <v>1600000</v>
      </c>
      <c r="H420" s="714" t="s">
        <v>2198</v>
      </c>
      <c r="I420" s="718" t="s">
        <v>2210</v>
      </c>
      <c r="J420" s="247" t="s">
        <v>651</v>
      </c>
      <c r="K420" s="717">
        <f>G420</f>
        <v>1600000</v>
      </c>
      <c r="L420" s="368">
        <f>F420-K420</f>
        <v>400000</v>
      </c>
      <c r="M420" s="13" t="s">
        <v>1296</v>
      </c>
    </row>
    <row r="421" spans="1:13" ht="30" customHeight="1" x14ac:dyDescent="0.2">
      <c r="A421" s="4">
        <v>282</v>
      </c>
      <c r="B421" s="45" t="s">
        <v>1054</v>
      </c>
      <c r="C421" s="380"/>
      <c r="D421" s="368">
        <v>20000000</v>
      </c>
      <c r="E421" s="20">
        <v>0.04</v>
      </c>
      <c r="F421" s="368">
        <f t="shared" si="26"/>
        <v>800000</v>
      </c>
      <c r="G421" s="368">
        <v>800000</v>
      </c>
      <c r="H421" s="368" t="s">
        <v>2572</v>
      </c>
      <c r="I421" s="374" t="s">
        <v>2583</v>
      </c>
      <c r="J421" s="36" t="s">
        <v>2584</v>
      </c>
      <c r="K421" s="368">
        <f>G421</f>
        <v>800000</v>
      </c>
      <c r="L421" s="368">
        <f t="shared" si="25"/>
        <v>0</v>
      </c>
      <c r="M421" s="45"/>
    </row>
    <row r="422" spans="1:13" ht="30" customHeight="1" x14ac:dyDescent="0.2">
      <c r="A422" s="3450">
        <v>283</v>
      </c>
      <c r="B422" s="3457" t="s">
        <v>137</v>
      </c>
      <c r="C422" s="3570" t="s">
        <v>1349</v>
      </c>
      <c r="D422" s="809">
        <v>31000000</v>
      </c>
      <c r="E422" s="811">
        <v>0.05</v>
      </c>
      <c r="F422" s="399">
        <f>D422*E422</f>
        <v>1550000</v>
      </c>
      <c r="G422" s="368">
        <v>1505000</v>
      </c>
      <c r="H422" s="368" t="s">
        <v>2198</v>
      </c>
      <c r="I422" s="374" t="s">
        <v>2271</v>
      </c>
      <c r="J422" s="24" t="s">
        <v>2272</v>
      </c>
      <c r="K422" s="240">
        <f>G422</f>
        <v>1505000</v>
      </c>
      <c r="L422" s="389">
        <f>F422-K422</f>
        <v>45000</v>
      </c>
      <c r="M422" s="813" t="s">
        <v>2402</v>
      </c>
    </row>
    <row r="423" spans="1:13" ht="30" customHeight="1" x14ac:dyDescent="0.2">
      <c r="A423" s="3451"/>
      <c r="B423" s="3458"/>
      <c r="C423" s="3571"/>
      <c r="D423" s="807">
        <v>37093000</v>
      </c>
      <c r="E423" s="805">
        <v>0.05</v>
      </c>
      <c r="F423" s="807">
        <f>D423*E423</f>
        <v>1854650</v>
      </c>
      <c r="G423" s="3680" t="s">
        <v>2329</v>
      </c>
      <c r="H423" s="3681"/>
      <c r="I423" s="3681"/>
      <c r="J423" s="3681"/>
      <c r="K423" s="3681"/>
      <c r="L423" s="3682"/>
      <c r="M423" s="567" t="s">
        <v>2403</v>
      </c>
    </row>
    <row r="424" spans="1:13" ht="30" customHeight="1" x14ac:dyDescent="0.2">
      <c r="A424" s="3450">
        <v>284</v>
      </c>
      <c r="B424" s="3677" t="s">
        <v>1197</v>
      </c>
      <c r="C424" s="3570" t="s">
        <v>379</v>
      </c>
      <c r="D424" s="368">
        <v>115000000</v>
      </c>
      <c r="E424" s="393">
        <v>4.4999999999999998E-2</v>
      </c>
      <c r="F424" s="368">
        <f t="shared" si="26"/>
        <v>5175000</v>
      </c>
      <c r="G424" s="3442">
        <v>8175000</v>
      </c>
      <c r="H424" s="3442" t="s">
        <v>2340</v>
      </c>
      <c r="I424" s="3577" t="s">
        <v>2344</v>
      </c>
      <c r="J424" s="3452" t="s">
        <v>2345</v>
      </c>
      <c r="K424" s="3575">
        <f>G424</f>
        <v>8175000</v>
      </c>
      <c r="L424" s="3442">
        <f>(F424+F425)-K424</f>
        <v>0</v>
      </c>
      <c r="M424" s="3495"/>
    </row>
    <row r="425" spans="1:13" ht="30" customHeight="1" x14ac:dyDescent="0.2">
      <c r="A425" s="3451"/>
      <c r="B425" s="3678"/>
      <c r="C425" s="3576"/>
      <c r="D425" s="368">
        <v>60000000</v>
      </c>
      <c r="E425" s="20">
        <v>0.05</v>
      </c>
      <c r="F425" s="368">
        <f t="shared" si="26"/>
        <v>3000000</v>
      </c>
      <c r="G425" s="3443"/>
      <c r="H425" s="3461"/>
      <c r="I425" s="3588"/>
      <c r="J425" s="3653"/>
      <c r="K425" s="3575"/>
      <c r="L425" s="3443"/>
      <c r="M425" s="3496"/>
    </row>
    <row r="426" spans="1:13" ht="30" customHeight="1" x14ac:dyDescent="0.2">
      <c r="A426" s="768"/>
      <c r="B426" s="3679"/>
      <c r="C426" s="3571"/>
      <c r="D426" s="3325" t="s">
        <v>1284</v>
      </c>
      <c r="E426" s="3340"/>
      <c r="F426" s="3341"/>
      <c r="G426" s="770">
        <v>5000000</v>
      </c>
      <c r="H426" s="3443"/>
      <c r="I426" s="3578"/>
      <c r="J426" s="3453"/>
      <c r="K426" s="770">
        <f>G426</f>
        <v>5000000</v>
      </c>
      <c r="L426" s="770"/>
      <c r="M426" s="773" t="s">
        <v>2401</v>
      </c>
    </row>
    <row r="427" spans="1:13" ht="30" customHeight="1" x14ac:dyDescent="0.2">
      <c r="A427" s="4">
        <v>285</v>
      </c>
      <c r="B427" s="45" t="s">
        <v>138</v>
      </c>
      <c r="C427" s="380" t="s">
        <v>2408</v>
      </c>
      <c r="D427" s="368">
        <v>100000000</v>
      </c>
      <c r="E427" s="20">
        <v>7.0000000000000007E-2</v>
      </c>
      <c r="F427" s="368">
        <f t="shared" si="26"/>
        <v>7000000.0000000009</v>
      </c>
      <c r="G427" s="368">
        <v>7000000</v>
      </c>
      <c r="H427" s="368" t="s">
        <v>2291</v>
      </c>
      <c r="I427" s="374" t="s">
        <v>2335</v>
      </c>
      <c r="J427" s="24" t="s">
        <v>2336</v>
      </c>
      <c r="K427" s="368">
        <f>G427</f>
        <v>7000000</v>
      </c>
      <c r="L427" s="368">
        <f t="shared" si="25"/>
        <v>0</v>
      </c>
      <c r="M427" s="45"/>
    </row>
    <row r="428" spans="1:13" ht="30" customHeight="1" x14ac:dyDescent="0.2">
      <c r="A428" s="3450">
        <v>286</v>
      </c>
      <c r="B428" s="3457" t="s">
        <v>1715</v>
      </c>
      <c r="C428" s="3570"/>
      <c r="D428" s="3442">
        <v>35000000</v>
      </c>
      <c r="E428" s="3444">
        <v>0.04</v>
      </c>
      <c r="F428" s="3442">
        <f t="shared" si="26"/>
        <v>1400000</v>
      </c>
      <c r="G428" s="368">
        <v>400000</v>
      </c>
      <c r="H428" s="368" t="s">
        <v>1709</v>
      </c>
      <c r="I428" s="374" t="s">
        <v>1716</v>
      </c>
      <c r="J428" s="21" t="s">
        <v>312</v>
      </c>
      <c r="K428" s="3442">
        <f>G428+G429</f>
        <v>1400000</v>
      </c>
      <c r="L428" s="3442">
        <f t="shared" si="25"/>
        <v>0</v>
      </c>
      <c r="M428" s="3525"/>
    </row>
    <row r="429" spans="1:13" ht="30" customHeight="1" x14ac:dyDescent="0.2">
      <c r="A429" s="3451"/>
      <c r="B429" s="3458"/>
      <c r="C429" s="3571"/>
      <c r="D429" s="3443"/>
      <c r="E429" s="3445"/>
      <c r="F429" s="3443"/>
      <c r="G429" s="498">
        <v>1000000</v>
      </c>
      <c r="H429" s="498" t="s">
        <v>1709</v>
      </c>
      <c r="I429" s="503" t="s">
        <v>1720</v>
      </c>
      <c r="J429" s="102" t="s">
        <v>1721</v>
      </c>
      <c r="K429" s="3443"/>
      <c r="L429" s="3443"/>
      <c r="M429" s="3526"/>
    </row>
    <row r="430" spans="1:13" ht="30" customHeight="1" x14ac:dyDescent="0.2">
      <c r="A430" s="3450">
        <v>287</v>
      </c>
      <c r="B430" s="3457" t="s">
        <v>140</v>
      </c>
      <c r="C430" s="3570"/>
      <c r="D430" s="368">
        <v>15000000</v>
      </c>
      <c r="E430" s="20">
        <v>0.05</v>
      </c>
      <c r="F430" s="368">
        <f t="shared" si="26"/>
        <v>750000</v>
      </c>
      <c r="G430" s="368">
        <v>2475000</v>
      </c>
      <c r="H430" s="368" t="s">
        <v>2273</v>
      </c>
      <c r="I430" s="374" t="s">
        <v>2296</v>
      </c>
      <c r="J430" s="24" t="s">
        <v>2297</v>
      </c>
      <c r="K430" s="368">
        <f t="shared" ref="K430:K436" si="28">G430</f>
        <v>2475000</v>
      </c>
      <c r="L430" s="3442">
        <f>2475000-G430</f>
        <v>0</v>
      </c>
      <c r="M430" s="3446"/>
    </row>
    <row r="431" spans="1:13" ht="30" customHeight="1" x14ac:dyDescent="0.2">
      <c r="A431" s="3451"/>
      <c r="B431" s="3458"/>
      <c r="C431" s="3571"/>
      <c r="D431" s="1282">
        <v>45000000</v>
      </c>
      <c r="E431" s="1287">
        <v>0.05</v>
      </c>
      <c r="F431" s="1282">
        <f>D431*E431</f>
        <v>2250000</v>
      </c>
      <c r="G431" s="3478" t="s">
        <v>3115</v>
      </c>
      <c r="H431" s="3479"/>
      <c r="I431" s="3479"/>
      <c r="J431" s="3479"/>
      <c r="K431" s="3480"/>
      <c r="L431" s="3443"/>
      <c r="M431" s="3447"/>
    </row>
    <row r="432" spans="1:13" ht="30" customHeight="1" x14ac:dyDescent="0.2">
      <c r="A432" s="4">
        <v>288</v>
      </c>
      <c r="B432" s="45" t="s">
        <v>141</v>
      </c>
      <c r="C432" s="380" t="s">
        <v>1344</v>
      </c>
      <c r="D432" s="368">
        <v>50000000</v>
      </c>
      <c r="E432" s="20">
        <v>4.4999999999999998E-2</v>
      </c>
      <c r="F432" s="368">
        <f t="shared" si="26"/>
        <v>2250000</v>
      </c>
      <c r="G432" s="368">
        <v>2250000</v>
      </c>
      <c r="H432" s="368" t="s">
        <v>2198</v>
      </c>
      <c r="I432" s="374" t="s">
        <v>2208</v>
      </c>
      <c r="J432" s="24" t="s">
        <v>2209</v>
      </c>
      <c r="K432" s="368">
        <f t="shared" si="28"/>
        <v>2250000</v>
      </c>
      <c r="L432" s="368">
        <f t="shared" si="25"/>
        <v>0</v>
      </c>
      <c r="M432" s="45"/>
    </row>
    <row r="433" spans="1:13" ht="30" customHeight="1" x14ac:dyDescent="0.2">
      <c r="A433" s="4">
        <v>289</v>
      </c>
      <c r="B433" s="45" t="s">
        <v>653</v>
      </c>
      <c r="C433" s="380"/>
      <c r="D433" s="366"/>
      <c r="E433" s="44"/>
      <c r="F433" s="366">
        <f t="shared" si="26"/>
        <v>0</v>
      </c>
      <c r="G433" s="368">
        <v>1350000</v>
      </c>
      <c r="H433" s="368" t="s">
        <v>2273</v>
      </c>
      <c r="I433" s="374" t="s">
        <v>2281</v>
      </c>
      <c r="J433" s="21" t="s">
        <v>654</v>
      </c>
      <c r="K433" s="368">
        <f t="shared" si="28"/>
        <v>1350000</v>
      </c>
      <c r="L433" s="366">
        <f t="shared" si="25"/>
        <v>-1350000</v>
      </c>
      <c r="M433" s="45"/>
    </row>
    <row r="434" spans="1:13" ht="30" customHeight="1" x14ac:dyDescent="0.2">
      <c r="A434" s="4">
        <v>290</v>
      </c>
      <c r="B434" s="45" t="s">
        <v>652</v>
      </c>
      <c r="C434" s="380" t="s">
        <v>1343</v>
      </c>
      <c r="D434" s="368">
        <v>800000000</v>
      </c>
      <c r="E434" s="20">
        <v>5.5E-2</v>
      </c>
      <c r="F434" s="368">
        <f t="shared" si="26"/>
        <v>44000000</v>
      </c>
      <c r="G434" s="368">
        <v>44000000</v>
      </c>
      <c r="H434" s="368" t="s">
        <v>2198</v>
      </c>
      <c r="I434" s="374" t="s">
        <v>2201</v>
      </c>
      <c r="J434" s="24" t="s">
        <v>2202</v>
      </c>
      <c r="K434" s="368">
        <f t="shared" si="28"/>
        <v>44000000</v>
      </c>
      <c r="L434" s="368">
        <f t="shared" si="25"/>
        <v>0</v>
      </c>
      <c r="M434" s="171" t="s">
        <v>639</v>
      </c>
    </row>
    <row r="435" spans="1:13" ht="30" customHeight="1" x14ac:dyDescent="0.2">
      <c r="A435" s="3450">
        <v>291</v>
      </c>
      <c r="B435" s="3525" t="s">
        <v>1900</v>
      </c>
      <c r="C435" s="3570"/>
      <c r="D435" s="714">
        <v>15000000</v>
      </c>
      <c r="E435" s="721">
        <v>0.05</v>
      </c>
      <c r="F435" s="714">
        <f t="shared" si="26"/>
        <v>750000</v>
      </c>
      <c r="G435" s="368">
        <v>850000</v>
      </c>
      <c r="H435" s="368" t="s">
        <v>2180</v>
      </c>
      <c r="I435" s="374" t="s">
        <v>2183</v>
      </c>
      <c r="J435" s="24" t="s">
        <v>2184</v>
      </c>
      <c r="K435" s="368">
        <f t="shared" si="28"/>
        <v>850000</v>
      </c>
      <c r="L435" s="368">
        <f t="shared" si="25"/>
        <v>-100000</v>
      </c>
      <c r="M435" s="171" t="s">
        <v>2185</v>
      </c>
    </row>
    <row r="436" spans="1:13" ht="30" customHeight="1" x14ac:dyDescent="0.2">
      <c r="A436" s="3456"/>
      <c r="B436" s="3643"/>
      <c r="C436" s="3576"/>
      <c r="D436" s="3442">
        <v>15000000</v>
      </c>
      <c r="E436" s="3538" t="s">
        <v>884</v>
      </c>
      <c r="F436" s="3539"/>
      <c r="G436" s="3442">
        <v>15000000</v>
      </c>
      <c r="H436" s="3442" t="s">
        <v>2131</v>
      </c>
      <c r="I436" s="3577" t="s">
        <v>2151</v>
      </c>
      <c r="J436" s="3452" t="s">
        <v>2152</v>
      </c>
      <c r="K436" s="3442">
        <f t="shared" si="28"/>
        <v>15000000</v>
      </c>
      <c r="L436" s="3442">
        <f>D436-K436</f>
        <v>0</v>
      </c>
      <c r="M436" s="3495" t="s">
        <v>2153</v>
      </c>
    </row>
    <row r="437" spans="1:13" ht="30" customHeight="1" x14ac:dyDescent="0.2">
      <c r="A437" s="3456"/>
      <c r="B437" s="3643"/>
      <c r="C437" s="3576"/>
      <c r="D437" s="3443"/>
      <c r="E437" s="3540"/>
      <c r="F437" s="3541"/>
      <c r="G437" s="3443"/>
      <c r="H437" s="3443"/>
      <c r="I437" s="3578"/>
      <c r="J437" s="3453"/>
      <c r="K437" s="3443"/>
      <c r="L437" s="3443"/>
      <c r="M437" s="3496"/>
    </row>
    <row r="438" spans="1:13" ht="30" customHeight="1" x14ac:dyDescent="0.2">
      <c r="A438" s="4">
        <v>292</v>
      </c>
      <c r="B438" s="45" t="s">
        <v>143</v>
      </c>
      <c r="C438" s="970" t="s">
        <v>1354</v>
      </c>
      <c r="D438" s="963">
        <v>100000000</v>
      </c>
      <c r="E438" s="971">
        <v>0.05</v>
      </c>
      <c r="F438" s="963">
        <f t="shared" si="26"/>
        <v>5000000</v>
      </c>
      <c r="G438" s="963">
        <v>5000000</v>
      </c>
      <c r="H438" s="963" t="s">
        <v>2291</v>
      </c>
      <c r="I438" s="968" t="s">
        <v>2312</v>
      </c>
      <c r="J438" s="70">
        <f>G438</f>
        <v>5000000</v>
      </c>
      <c r="K438" s="963">
        <f>G438</f>
        <v>5000000</v>
      </c>
      <c r="L438" s="963">
        <f t="shared" si="25"/>
        <v>0</v>
      </c>
      <c r="M438" s="45"/>
    </row>
    <row r="439" spans="1:13" ht="30" customHeight="1" x14ac:dyDescent="0.2">
      <c r="A439" s="4">
        <v>293</v>
      </c>
      <c r="B439" s="45" t="s">
        <v>144</v>
      </c>
      <c r="C439" s="380"/>
      <c r="D439" s="368">
        <v>75000000</v>
      </c>
      <c r="E439" s="20">
        <v>0.04</v>
      </c>
      <c r="F439" s="368">
        <f>D439*E439</f>
        <v>3000000</v>
      </c>
      <c r="G439" s="368">
        <v>3000000</v>
      </c>
      <c r="H439" s="368" t="s">
        <v>2291</v>
      </c>
      <c r="I439" s="374" t="s">
        <v>2306</v>
      </c>
      <c r="J439" s="21" t="s">
        <v>2307</v>
      </c>
      <c r="K439" s="368">
        <f>G439</f>
        <v>3000000</v>
      </c>
      <c r="L439" s="368">
        <f t="shared" si="25"/>
        <v>0</v>
      </c>
      <c r="M439" s="45"/>
    </row>
    <row r="440" spans="1:13" ht="30" customHeight="1" x14ac:dyDescent="0.2">
      <c r="A440" s="759"/>
      <c r="B440" s="188" t="s">
        <v>145</v>
      </c>
      <c r="C440" s="761" t="s">
        <v>1354</v>
      </c>
      <c r="D440" s="368">
        <v>100000000</v>
      </c>
      <c r="E440" s="20">
        <v>0.05</v>
      </c>
      <c r="F440" s="368">
        <f t="shared" si="26"/>
        <v>5000000</v>
      </c>
      <c r="G440" s="3442">
        <v>5500000</v>
      </c>
      <c r="H440" s="3521" t="s">
        <v>2615</v>
      </c>
      <c r="I440" s="3613"/>
      <c r="J440" s="3613"/>
      <c r="K440" s="3522"/>
      <c r="L440" s="3442">
        <f>(F440+F441)-G440</f>
        <v>0</v>
      </c>
      <c r="M440" s="3495" t="s">
        <v>2616</v>
      </c>
    </row>
    <row r="441" spans="1:13" ht="30" customHeight="1" x14ac:dyDescent="0.2">
      <c r="A441" s="4">
        <v>295</v>
      </c>
      <c r="B441" s="45" t="s">
        <v>727</v>
      </c>
      <c r="C441" s="380" t="s">
        <v>1354</v>
      </c>
      <c r="D441" s="368">
        <v>10000000</v>
      </c>
      <c r="E441" s="20">
        <v>0.05</v>
      </c>
      <c r="F441" s="368">
        <f>D441*E441</f>
        <v>500000</v>
      </c>
      <c r="G441" s="3443"/>
      <c r="H441" s="3523"/>
      <c r="I441" s="3614"/>
      <c r="J441" s="3614"/>
      <c r="K441" s="3524"/>
      <c r="L441" s="3443"/>
      <c r="M441" s="3496"/>
    </row>
    <row r="442" spans="1:13" ht="30" customHeight="1" x14ac:dyDescent="0.2">
      <c r="A442" s="4">
        <v>296</v>
      </c>
      <c r="B442" s="45" t="s">
        <v>146</v>
      </c>
      <c r="C442" s="380" t="s">
        <v>1378</v>
      </c>
      <c r="D442" s="368">
        <v>35000000</v>
      </c>
      <c r="E442" s="20">
        <v>0.04</v>
      </c>
      <c r="F442" s="368">
        <f t="shared" si="26"/>
        <v>1400000</v>
      </c>
      <c r="G442" s="368">
        <v>1400000</v>
      </c>
      <c r="H442" s="368" t="s">
        <v>2498</v>
      </c>
      <c r="I442" s="374" t="s">
        <v>2510</v>
      </c>
      <c r="J442" s="24" t="s">
        <v>2511</v>
      </c>
      <c r="K442" s="368">
        <f>G442</f>
        <v>1400000</v>
      </c>
      <c r="L442" s="368">
        <f t="shared" si="25"/>
        <v>0</v>
      </c>
      <c r="M442" s="45"/>
    </row>
    <row r="443" spans="1:13" ht="30" customHeight="1" x14ac:dyDescent="0.2">
      <c r="A443" s="4">
        <v>297</v>
      </c>
      <c r="B443" s="45" t="s">
        <v>147</v>
      </c>
      <c r="C443" s="380"/>
      <c r="D443" s="368">
        <v>50000000</v>
      </c>
      <c r="E443" s="44"/>
      <c r="F443" s="366">
        <f t="shared" si="26"/>
        <v>0</v>
      </c>
      <c r="G443" s="368"/>
      <c r="H443" s="368"/>
      <c r="I443" s="374"/>
      <c r="J443" s="377"/>
      <c r="K443" s="368"/>
      <c r="L443" s="366">
        <f t="shared" si="25"/>
        <v>0</v>
      </c>
      <c r="M443" s="45"/>
    </row>
    <row r="444" spans="1:13" ht="30" customHeight="1" x14ac:dyDescent="0.2">
      <c r="A444" s="4">
        <v>298</v>
      </c>
      <c r="B444" s="45" t="s">
        <v>148</v>
      </c>
      <c r="C444" s="380" t="s">
        <v>1165</v>
      </c>
      <c r="D444" s="368">
        <v>40000000</v>
      </c>
      <c r="E444" s="20">
        <v>5.1999999999999998E-2</v>
      </c>
      <c r="F444" s="368">
        <v>2000000</v>
      </c>
      <c r="G444" s="368">
        <v>2000000</v>
      </c>
      <c r="H444" s="368" t="s">
        <v>2392</v>
      </c>
      <c r="I444" s="374" t="s">
        <v>2395</v>
      </c>
      <c r="J444" s="24" t="s">
        <v>2396</v>
      </c>
      <c r="K444" s="368">
        <f>G444</f>
        <v>2000000</v>
      </c>
      <c r="L444" s="368">
        <f t="shared" si="25"/>
        <v>0</v>
      </c>
      <c r="M444" s="45"/>
    </row>
    <row r="445" spans="1:13" ht="30" customHeight="1" x14ac:dyDescent="0.2">
      <c r="A445" s="4">
        <v>299</v>
      </c>
      <c r="B445" s="45" t="s">
        <v>149</v>
      </c>
      <c r="C445" s="380"/>
      <c r="D445" s="368">
        <v>10000000</v>
      </c>
      <c r="E445" s="20">
        <v>0.05</v>
      </c>
      <c r="F445" s="368">
        <f t="shared" si="26"/>
        <v>500000</v>
      </c>
      <c r="G445" s="368">
        <v>10500000</v>
      </c>
      <c r="H445" s="368" t="s">
        <v>2131</v>
      </c>
      <c r="I445" s="374" t="s">
        <v>2163</v>
      </c>
      <c r="J445" s="24" t="s">
        <v>2164</v>
      </c>
      <c r="K445" s="368">
        <f>G445</f>
        <v>10500000</v>
      </c>
      <c r="L445" s="368">
        <f>(F445+D445)-K445</f>
        <v>0</v>
      </c>
      <c r="M445" s="168" t="s">
        <v>2165</v>
      </c>
    </row>
    <row r="446" spans="1:13" ht="30" customHeight="1" x14ac:dyDescent="0.2">
      <c r="A446" s="4">
        <v>300</v>
      </c>
      <c r="B446" s="188" t="s">
        <v>150</v>
      </c>
      <c r="C446" s="422" t="s">
        <v>917</v>
      </c>
      <c r="D446" s="399">
        <v>178000000</v>
      </c>
      <c r="E446" s="20">
        <v>5.8999999999999997E-2</v>
      </c>
      <c r="F446" s="399">
        <v>10500000</v>
      </c>
      <c r="G446" s="368">
        <v>10500000</v>
      </c>
      <c r="H446" s="368" t="s">
        <v>2426</v>
      </c>
      <c r="I446" s="374" t="s">
        <v>2426</v>
      </c>
      <c r="J446" s="24" t="s">
        <v>2448</v>
      </c>
      <c r="K446" s="829">
        <f>G446</f>
        <v>10500000</v>
      </c>
      <c r="L446" s="394">
        <f>F446-K446</f>
        <v>0</v>
      </c>
      <c r="M446" s="45"/>
    </row>
    <row r="447" spans="1:13" ht="30" customHeight="1" x14ac:dyDescent="0.2">
      <c r="A447" s="4">
        <v>301</v>
      </c>
      <c r="B447" s="45" t="s">
        <v>2477</v>
      </c>
      <c r="C447" s="380"/>
      <c r="D447" s="368">
        <v>10000000</v>
      </c>
      <c r="E447" s="393">
        <v>0.04</v>
      </c>
      <c r="F447" s="368">
        <f>D447*E447</f>
        <v>400000</v>
      </c>
      <c r="G447" s="368">
        <v>400000</v>
      </c>
      <c r="H447" s="368" t="s">
        <v>2475</v>
      </c>
      <c r="I447" s="374" t="s">
        <v>2479</v>
      </c>
      <c r="J447" s="852" t="s">
        <v>2478</v>
      </c>
      <c r="K447" s="368">
        <f>G447</f>
        <v>400000</v>
      </c>
      <c r="L447" s="368">
        <f t="shared" ref="L447:L480" si="29">F447-K447</f>
        <v>0</v>
      </c>
      <c r="M447" s="103"/>
    </row>
    <row r="448" spans="1:13" ht="30" customHeight="1" x14ac:dyDescent="0.2">
      <c r="A448" s="4">
        <v>302</v>
      </c>
      <c r="B448" s="45" t="s">
        <v>152</v>
      </c>
      <c r="C448" s="380"/>
      <c r="D448" s="368">
        <v>60000000</v>
      </c>
      <c r="E448" s="20">
        <v>4.4999999999999998E-2</v>
      </c>
      <c r="F448" s="368">
        <f t="shared" si="26"/>
        <v>2700000</v>
      </c>
      <c r="G448" s="368"/>
      <c r="H448" s="368"/>
      <c r="I448" s="374"/>
      <c r="J448" s="24"/>
      <c r="K448" s="368"/>
      <c r="L448" s="368">
        <f t="shared" si="29"/>
        <v>2700000</v>
      </c>
      <c r="M448" s="45"/>
    </row>
    <row r="449" spans="1:13" ht="30" customHeight="1" x14ac:dyDescent="0.2">
      <c r="A449" s="3450">
        <v>303</v>
      </c>
      <c r="B449" s="3457" t="s">
        <v>153</v>
      </c>
      <c r="C449" s="3570" t="s">
        <v>1909</v>
      </c>
      <c r="D449" s="3442">
        <v>1776000000</v>
      </c>
      <c r="E449" s="3444">
        <v>7.0999999999999994E-2</v>
      </c>
      <c r="F449" s="3442">
        <v>127140000</v>
      </c>
      <c r="G449" s="931">
        <v>80000000</v>
      </c>
      <c r="H449" s="931" t="s">
        <v>2498</v>
      </c>
      <c r="I449" s="936" t="s">
        <v>2514</v>
      </c>
      <c r="J449" s="937" t="s">
        <v>1115</v>
      </c>
      <c r="K449" s="3442">
        <f>G449+G450</f>
        <v>127140000</v>
      </c>
      <c r="L449" s="3442">
        <f t="shared" si="29"/>
        <v>0</v>
      </c>
      <c r="M449" s="935" t="s">
        <v>2111</v>
      </c>
    </row>
    <row r="450" spans="1:13" ht="30" customHeight="1" x14ac:dyDescent="0.2">
      <c r="A450" s="3456"/>
      <c r="B450" s="3459"/>
      <c r="C450" s="3576"/>
      <c r="D450" s="3443"/>
      <c r="E450" s="3445"/>
      <c r="F450" s="3443"/>
      <c r="G450" s="925">
        <v>47140000</v>
      </c>
      <c r="H450" s="3478" t="s">
        <v>2534</v>
      </c>
      <c r="I450" s="3479"/>
      <c r="J450" s="3480"/>
      <c r="K450" s="3443"/>
      <c r="L450" s="3443"/>
      <c r="M450" s="785" t="s">
        <v>2568</v>
      </c>
    </row>
    <row r="451" spans="1:13" ht="30" customHeight="1" x14ac:dyDescent="0.2">
      <c r="A451" s="3456"/>
      <c r="B451" s="3459"/>
      <c r="C451" s="3576"/>
      <c r="D451" s="925">
        <v>1876000000</v>
      </c>
      <c r="E451" s="929"/>
      <c r="F451" s="925">
        <v>137480000</v>
      </c>
      <c r="G451" s="3478" t="s">
        <v>2569</v>
      </c>
      <c r="H451" s="3479"/>
      <c r="I451" s="3479"/>
      <c r="J451" s="3480"/>
      <c r="K451" s="925"/>
      <c r="L451" s="925"/>
      <c r="M451" s="785"/>
    </row>
    <row r="452" spans="1:13" ht="30" customHeight="1" x14ac:dyDescent="0.2">
      <c r="A452" s="3456"/>
      <c r="B452" s="3459"/>
      <c r="C452" s="3576"/>
      <c r="D452" s="240">
        <v>1816000000</v>
      </c>
      <c r="E452" s="989">
        <f>F452/D452</f>
        <v>7.306167400881057E-2</v>
      </c>
      <c r="F452" s="240">
        <v>132680000</v>
      </c>
      <c r="G452" s="3674" t="s">
        <v>2567</v>
      </c>
      <c r="H452" s="3675"/>
      <c r="I452" s="3675"/>
      <c r="J452" s="3675"/>
      <c r="K452" s="3675"/>
      <c r="L452" s="3676"/>
      <c r="M452" s="756"/>
    </row>
    <row r="453" spans="1:13" ht="30" customHeight="1" x14ac:dyDescent="0.2">
      <c r="A453" s="3456"/>
      <c r="B453" s="3459"/>
      <c r="C453" s="3576"/>
      <c r="D453" s="3575" t="s">
        <v>2630</v>
      </c>
      <c r="E453" s="3575"/>
      <c r="F453" s="3575"/>
      <c r="G453" s="944">
        <v>5000000</v>
      </c>
      <c r="H453" s="944" t="s">
        <v>2572</v>
      </c>
      <c r="I453" s="945" t="s">
        <v>2590</v>
      </c>
      <c r="J453" s="946" t="s">
        <v>2591</v>
      </c>
      <c r="K453" s="3442">
        <f>G453+G454</f>
        <v>8400000</v>
      </c>
      <c r="L453" s="3442">
        <f>(G453+G454)-K453</f>
        <v>0</v>
      </c>
      <c r="M453" s="785" t="s">
        <v>884</v>
      </c>
    </row>
    <row r="454" spans="1:13" ht="30" customHeight="1" x14ac:dyDescent="0.2">
      <c r="A454" s="3451"/>
      <c r="B454" s="3458"/>
      <c r="C454" s="3571"/>
      <c r="D454" s="3575"/>
      <c r="E454" s="3575"/>
      <c r="F454" s="3575"/>
      <c r="G454" s="975">
        <v>3400000</v>
      </c>
      <c r="H454" s="975" t="s">
        <v>2618</v>
      </c>
      <c r="I454" s="988" t="s">
        <v>2631</v>
      </c>
      <c r="J454" s="24" t="s">
        <v>2632</v>
      </c>
      <c r="K454" s="3443"/>
      <c r="L454" s="3443"/>
      <c r="M454" s="785"/>
    </row>
    <row r="455" spans="1:13" ht="30" customHeight="1" x14ac:dyDescent="0.2">
      <c r="A455" s="3450">
        <v>304</v>
      </c>
      <c r="B455" s="3457" t="s">
        <v>154</v>
      </c>
      <c r="C455" s="3570"/>
      <c r="D455" s="737">
        <v>10000000</v>
      </c>
      <c r="E455" s="738">
        <v>0.06</v>
      </c>
      <c r="F455" s="737">
        <f t="shared" si="26"/>
        <v>600000</v>
      </c>
      <c r="G455" s="737">
        <v>10000000</v>
      </c>
      <c r="H455" s="737" t="s">
        <v>926</v>
      </c>
      <c r="I455" s="758">
        <v>421552</v>
      </c>
      <c r="J455" s="61" t="s">
        <v>1123</v>
      </c>
      <c r="K455" s="737">
        <f>G455</f>
        <v>10000000</v>
      </c>
      <c r="L455" s="737">
        <f t="shared" si="29"/>
        <v>-9400000</v>
      </c>
      <c r="M455" s="3468" t="s">
        <v>2205</v>
      </c>
    </row>
    <row r="456" spans="1:13" ht="30" customHeight="1" x14ac:dyDescent="0.2">
      <c r="A456" s="3451"/>
      <c r="B456" s="3458"/>
      <c r="C456" s="3571"/>
      <c r="D456" s="737">
        <v>10000000</v>
      </c>
      <c r="E456" s="44">
        <v>0.06</v>
      </c>
      <c r="F456" s="737">
        <f t="shared" si="26"/>
        <v>600000</v>
      </c>
      <c r="G456" s="737">
        <v>600000</v>
      </c>
      <c r="H456" s="737" t="s">
        <v>2291</v>
      </c>
      <c r="I456" s="758">
        <v>122445983965</v>
      </c>
      <c r="J456" s="61" t="s">
        <v>2316</v>
      </c>
      <c r="K456" s="737">
        <f>G456</f>
        <v>600000</v>
      </c>
      <c r="L456" s="737">
        <f>F456-K456</f>
        <v>0</v>
      </c>
      <c r="M456" s="3469"/>
    </row>
    <row r="457" spans="1:13" ht="30" customHeight="1" x14ac:dyDescent="0.2">
      <c r="A457" s="3450">
        <v>305</v>
      </c>
      <c r="B457" s="3457" t="s">
        <v>155</v>
      </c>
      <c r="C457" s="3570"/>
      <c r="D457" s="3442">
        <v>650000000</v>
      </c>
      <c r="E457" s="3683">
        <f>F457/D457</f>
        <v>5.7692307692307696E-2</v>
      </c>
      <c r="F457" s="3575">
        <v>37500000</v>
      </c>
      <c r="G457" s="368">
        <v>8000000</v>
      </c>
      <c r="H457" s="368" t="s">
        <v>2273</v>
      </c>
      <c r="I457" s="376" t="s">
        <v>2298</v>
      </c>
      <c r="J457" s="24" t="s">
        <v>2299</v>
      </c>
      <c r="K457" s="3442">
        <f>G457+G458</f>
        <v>18000000</v>
      </c>
      <c r="L457" s="3442">
        <f t="shared" si="29"/>
        <v>19500000</v>
      </c>
      <c r="M457" s="3627" t="s">
        <v>1548</v>
      </c>
    </row>
    <row r="458" spans="1:13" ht="30" customHeight="1" x14ac:dyDescent="0.2">
      <c r="A458" s="3451"/>
      <c r="B458" s="3458"/>
      <c r="C458" s="3571"/>
      <c r="D458" s="3443"/>
      <c r="E458" s="3683"/>
      <c r="F458" s="3575"/>
      <c r="G458" s="869">
        <v>10000000</v>
      </c>
      <c r="H458" s="869" t="s">
        <v>2498</v>
      </c>
      <c r="I458" s="878" t="s">
        <v>2523</v>
      </c>
      <c r="J458" s="24" t="s">
        <v>2524</v>
      </c>
      <c r="K458" s="3443"/>
      <c r="L458" s="3443"/>
      <c r="M458" s="3628"/>
    </row>
    <row r="459" spans="1:13" ht="30" customHeight="1" x14ac:dyDescent="0.2">
      <c r="A459" s="3450">
        <v>306</v>
      </c>
      <c r="B459" s="3457" t="s">
        <v>156</v>
      </c>
      <c r="C459" s="3570"/>
      <c r="D459" s="3442">
        <v>30000000</v>
      </c>
      <c r="E459" s="3521" t="s">
        <v>1398</v>
      </c>
      <c r="F459" s="3522"/>
      <c r="G459" s="368">
        <v>20000000</v>
      </c>
      <c r="H459" s="390" t="s">
        <v>926</v>
      </c>
      <c r="I459" s="376" t="s">
        <v>1399</v>
      </c>
      <c r="J459" s="401" t="s">
        <v>1323</v>
      </c>
      <c r="K459" s="3442">
        <f>G459+G460</f>
        <v>30000000</v>
      </c>
      <c r="L459" s="3442">
        <f>D459-K459</f>
        <v>0</v>
      </c>
      <c r="M459" s="3468" t="s">
        <v>1428</v>
      </c>
    </row>
    <row r="460" spans="1:13" ht="30" customHeight="1" x14ac:dyDescent="0.2">
      <c r="A460" s="3451"/>
      <c r="B460" s="3458"/>
      <c r="C460" s="3571"/>
      <c r="D460" s="3443"/>
      <c r="E460" s="3523"/>
      <c r="F460" s="3524"/>
      <c r="G460" s="368">
        <v>10000000</v>
      </c>
      <c r="H460" s="368" t="s">
        <v>1052</v>
      </c>
      <c r="I460" s="403" t="s">
        <v>1427</v>
      </c>
      <c r="J460" s="401" t="s">
        <v>1323</v>
      </c>
      <c r="K460" s="3443"/>
      <c r="L460" s="3443"/>
      <c r="M460" s="3469"/>
    </row>
    <row r="461" spans="1:13" ht="30" customHeight="1" x14ac:dyDescent="0.2">
      <c r="A461" s="4">
        <v>307</v>
      </c>
      <c r="B461" s="45" t="s">
        <v>157</v>
      </c>
      <c r="C461" s="380" t="s">
        <v>1378</v>
      </c>
      <c r="D461" s="368">
        <v>260000000</v>
      </c>
      <c r="E461" s="20">
        <v>0.05</v>
      </c>
      <c r="F461" s="368">
        <f t="shared" si="26"/>
        <v>13000000</v>
      </c>
      <c r="G461" s="368">
        <v>13000000</v>
      </c>
      <c r="H461" s="368" t="s">
        <v>2498</v>
      </c>
      <c r="I461" s="374" t="s">
        <v>2538</v>
      </c>
      <c r="J461" s="24" t="s">
        <v>2539</v>
      </c>
      <c r="K461" s="368">
        <f>G461</f>
        <v>13000000</v>
      </c>
      <c r="L461" s="368">
        <f t="shared" si="29"/>
        <v>0</v>
      </c>
      <c r="M461" s="45"/>
    </row>
    <row r="462" spans="1:13" ht="30" customHeight="1" x14ac:dyDescent="0.2">
      <c r="A462" s="386">
        <v>308</v>
      </c>
      <c r="B462" s="188" t="s">
        <v>158</v>
      </c>
      <c r="C462" s="668" t="s">
        <v>1349</v>
      </c>
      <c r="D462" s="661">
        <v>300000000</v>
      </c>
      <c r="E462" s="667">
        <v>0.05</v>
      </c>
      <c r="F462" s="661">
        <f t="shared" si="26"/>
        <v>15000000</v>
      </c>
      <c r="G462" s="3442">
        <v>24000000</v>
      </c>
      <c r="H462" s="3442" t="s">
        <v>1894</v>
      </c>
      <c r="I462" s="3577" t="s">
        <v>1992</v>
      </c>
      <c r="J462" s="3586" t="s">
        <v>1993</v>
      </c>
      <c r="K462" s="3442">
        <f>G462</f>
        <v>24000000</v>
      </c>
      <c r="L462" s="3442">
        <f>(F462+F463)-K462</f>
        <v>0</v>
      </c>
      <c r="M462" s="3525"/>
    </row>
    <row r="463" spans="1:13" ht="30" customHeight="1" x14ac:dyDescent="0.2">
      <c r="A463" s="4">
        <v>309</v>
      </c>
      <c r="B463" s="188" t="s">
        <v>1994</v>
      </c>
      <c r="C463" s="668" t="s">
        <v>380</v>
      </c>
      <c r="D463" s="655">
        <v>180000000</v>
      </c>
      <c r="E463" s="653">
        <v>0.05</v>
      </c>
      <c r="F463" s="655">
        <f>D463*E463</f>
        <v>9000000</v>
      </c>
      <c r="G463" s="3443"/>
      <c r="H463" s="3443"/>
      <c r="I463" s="3578"/>
      <c r="J463" s="3587"/>
      <c r="K463" s="3443"/>
      <c r="L463" s="3443"/>
      <c r="M463" s="3526"/>
    </row>
    <row r="464" spans="1:13" ht="30" customHeight="1" x14ac:dyDescent="0.2">
      <c r="A464" s="686">
        <v>310</v>
      </c>
      <c r="B464" s="45" t="s">
        <v>160</v>
      </c>
      <c r="C464" s="380" t="s">
        <v>401</v>
      </c>
      <c r="D464" s="460">
        <v>100000000</v>
      </c>
      <c r="E464" s="462">
        <v>0.05</v>
      </c>
      <c r="F464" s="460">
        <f t="shared" ref="F464:F479" si="30">D464*E464</f>
        <v>5000000</v>
      </c>
      <c r="G464" s="460">
        <v>5000000</v>
      </c>
      <c r="H464" s="460" t="s">
        <v>1566</v>
      </c>
      <c r="I464" s="474" t="s">
        <v>1625</v>
      </c>
      <c r="J464" s="24" t="s">
        <v>1626</v>
      </c>
      <c r="K464" s="460">
        <f>G464</f>
        <v>5000000</v>
      </c>
      <c r="L464" s="460">
        <f t="shared" si="29"/>
        <v>0</v>
      </c>
      <c r="M464" s="45"/>
    </row>
    <row r="465" spans="1:13" ht="30" customHeight="1" x14ac:dyDescent="0.2">
      <c r="A465" s="4">
        <v>311</v>
      </c>
      <c r="B465" s="45" t="s">
        <v>161</v>
      </c>
      <c r="C465" s="380" t="s">
        <v>916</v>
      </c>
      <c r="D465" s="368">
        <v>55000000</v>
      </c>
      <c r="E465" s="20">
        <v>0.05</v>
      </c>
      <c r="F465" s="368">
        <f t="shared" si="30"/>
        <v>2750000</v>
      </c>
      <c r="G465" s="368">
        <v>2750000</v>
      </c>
      <c r="H465" s="368" t="s">
        <v>1709</v>
      </c>
      <c r="I465" s="373" t="s">
        <v>1711</v>
      </c>
      <c r="J465" s="373" t="s">
        <v>391</v>
      </c>
      <c r="K465" s="368">
        <f>G465</f>
        <v>2750000</v>
      </c>
      <c r="L465" s="544">
        <f t="shared" si="29"/>
        <v>0</v>
      </c>
      <c r="M465" s="169"/>
    </row>
    <row r="466" spans="1:13" ht="30" customHeight="1" x14ac:dyDescent="0.2">
      <c r="A466" s="686">
        <v>312</v>
      </c>
      <c r="B466" s="45" t="s">
        <v>162</v>
      </c>
      <c r="C466" s="380"/>
      <c r="D466" s="366"/>
      <c r="E466" s="44"/>
      <c r="F466" s="366">
        <f t="shared" si="30"/>
        <v>0</v>
      </c>
      <c r="G466" s="368"/>
      <c r="H466" s="368"/>
      <c r="I466" s="374"/>
      <c r="J466" s="24"/>
      <c r="K466" s="368"/>
      <c r="L466" s="366">
        <f t="shared" si="29"/>
        <v>0</v>
      </c>
      <c r="M466" s="45"/>
    </row>
    <row r="467" spans="1:13" ht="30" customHeight="1" x14ac:dyDescent="0.2">
      <c r="A467" s="4">
        <v>313</v>
      </c>
      <c r="B467" s="22" t="s">
        <v>164</v>
      </c>
      <c r="C467" s="421"/>
      <c r="D467" s="399">
        <v>152000000</v>
      </c>
      <c r="E467" s="20">
        <v>0.05</v>
      </c>
      <c r="F467" s="368">
        <f>D467*E467</f>
        <v>7600000</v>
      </c>
      <c r="G467" s="368">
        <v>7600000</v>
      </c>
      <c r="H467" s="368" t="s">
        <v>1831</v>
      </c>
      <c r="I467" s="374" t="s">
        <v>1843</v>
      </c>
      <c r="J467" s="24" t="s">
        <v>1844</v>
      </c>
      <c r="K467" s="368">
        <f>G467</f>
        <v>7600000</v>
      </c>
      <c r="L467" s="368">
        <f t="shared" si="29"/>
        <v>0</v>
      </c>
      <c r="M467" s="45"/>
    </row>
    <row r="468" spans="1:13" ht="30" customHeight="1" x14ac:dyDescent="0.2">
      <c r="A468" s="686">
        <v>314</v>
      </c>
      <c r="B468" s="388" t="s">
        <v>165</v>
      </c>
      <c r="C468" s="380"/>
      <c r="D468" s="368">
        <v>20000000</v>
      </c>
      <c r="E468" s="20">
        <v>0.04</v>
      </c>
      <c r="F468" s="368">
        <f t="shared" si="30"/>
        <v>800000</v>
      </c>
      <c r="G468" s="368"/>
      <c r="H468" s="368"/>
      <c r="I468" s="374"/>
      <c r="J468" s="24"/>
      <c r="K468" s="368"/>
      <c r="L468" s="368">
        <f t="shared" si="29"/>
        <v>800000</v>
      </c>
      <c r="M468" s="103" t="s">
        <v>749</v>
      </c>
    </row>
    <row r="469" spans="1:13" ht="30" customHeight="1" x14ac:dyDescent="0.2">
      <c r="A469" s="3450">
        <v>315</v>
      </c>
      <c r="B469" s="3457" t="s">
        <v>166</v>
      </c>
      <c r="C469" s="3570" t="s">
        <v>1219</v>
      </c>
      <c r="D469" s="3442">
        <v>400000000</v>
      </c>
      <c r="E469" s="3444">
        <v>6.3E-2</v>
      </c>
      <c r="F469" s="3442">
        <v>25000000</v>
      </c>
      <c r="G469" s="573">
        <v>20000000</v>
      </c>
      <c r="H469" s="573" t="s">
        <v>1800</v>
      </c>
      <c r="I469" s="582" t="s">
        <v>1828</v>
      </c>
      <c r="J469" s="24" t="s">
        <v>455</v>
      </c>
      <c r="K469" s="3442">
        <f>G469+G470</f>
        <v>25000000</v>
      </c>
      <c r="L469" s="3442">
        <f t="shared" si="29"/>
        <v>0</v>
      </c>
      <c r="M469" s="3525"/>
    </row>
    <row r="470" spans="1:13" ht="30" customHeight="1" x14ac:dyDescent="0.2">
      <c r="A470" s="3451"/>
      <c r="B470" s="3458"/>
      <c r="C470" s="3571"/>
      <c r="D470" s="3443"/>
      <c r="E470" s="3445"/>
      <c r="F470" s="3443"/>
      <c r="G470" s="573">
        <v>5000000</v>
      </c>
      <c r="H470" s="573" t="s">
        <v>1848</v>
      </c>
      <c r="I470" s="582" t="s">
        <v>1918</v>
      </c>
      <c r="J470" s="24" t="s">
        <v>1919</v>
      </c>
      <c r="K470" s="3443"/>
      <c r="L470" s="3443"/>
      <c r="M470" s="3526"/>
    </row>
    <row r="471" spans="1:13" ht="30" customHeight="1" x14ac:dyDescent="0.2">
      <c r="A471" s="4">
        <v>316</v>
      </c>
      <c r="B471" s="45" t="s">
        <v>167</v>
      </c>
      <c r="C471" s="380"/>
      <c r="D471" s="1203">
        <v>35000000</v>
      </c>
      <c r="E471" s="1216">
        <v>0.04</v>
      </c>
      <c r="F471" s="1203">
        <f>D471*E471</f>
        <v>1400000</v>
      </c>
      <c r="G471" s="1203">
        <v>1400000</v>
      </c>
      <c r="H471" s="1203" t="s">
        <v>1800</v>
      </c>
      <c r="I471" s="1213" t="s">
        <v>1822</v>
      </c>
      <c r="J471" s="21" t="s">
        <v>1823</v>
      </c>
      <c r="K471" s="1203">
        <f>G471</f>
        <v>1400000</v>
      </c>
      <c r="L471" s="1203">
        <f t="shared" si="29"/>
        <v>0</v>
      </c>
      <c r="M471" s="45"/>
    </row>
    <row r="472" spans="1:13" ht="30" customHeight="1" x14ac:dyDescent="0.2">
      <c r="A472" s="4">
        <v>317</v>
      </c>
      <c r="B472" s="45" t="s">
        <v>168</v>
      </c>
      <c r="C472" s="380"/>
      <c r="D472" s="366"/>
      <c r="E472" s="44"/>
      <c r="F472" s="366">
        <f t="shared" si="30"/>
        <v>0</v>
      </c>
      <c r="G472" s="368">
        <v>13500000</v>
      </c>
      <c r="H472" s="368" t="s">
        <v>2180</v>
      </c>
      <c r="I472" s="36" t="s">
        <v>2186</v>
      </c>
      <c r="J472" s="24" t="s">
        <v>2187</v>
      </c>
      <c r="K472" s="368">
        <f>G472</f>
        <v>13500000</v>
      </c>
      <c r="L472" s="366">
        <f t="shared" si="29"/>
        <v>-13500000</v>
      </c>
      <c r="M472" s="45"/>
    </row>
    <row r="473" spans="1:13" ht="30" customHeight="1" x14ac:dyDescent="0.2">
      <c r="A473" s="4">
        <v>318</v>
      </c>
      <c r="B473" s="45" t="s">
        <v>170</v>
      </c>
      <c r="C473" s="380"/>
      <c r="D473" s="366"/>
      <c r="E473" s="44"/>
      <c r="F473" s="366">
        <f t="shared" si="30"/>
        <v>0</v>
      </c>
      <c r="G473" s="368">
        <v>4000000</v>
      </c>
      <c r="H473" s="368" t="s">
        <v>1848</v>
      </c>
      <c r="I473" s="374" t="s">
        <v>1926</v>
      </c>
      <c r="J473" s="21" t="s">
        <v>1927</v>
      </c>
      <c r="K473" s="368">
        <f>G473</f>
        <v>4000000</v>
      </c>
      <c r="L473" s="366">
        <f t="shared" si="29"/>
        <v>-4000000</v>
      </c>
      <c r="M473" s="45"/>
    </row>
    <row r="474" spans="1:13" ht="30" customHeight="1" x14ac:dyDescent="0.2">
      <c r="A474" s="4">
        <v>319</v>
      </c>
      <c r="B474" s="45" t="s">
        <v>171</v>
      </c>
      <c r="C474" s="380" t="s">
        <v>1342</v>
      </c>
      <c r="D474" s="368">
        <v>200000000</v>
      </c>
      <c r="E474" s="20">
        <v>5.5E-2</v>
      </c>
      <c r="F474" s="368">
        <f t="shared" si="30"/>
        <v>11000000</v>
      </c>
      <c r="G474" s="368"/>
      <c r="H474" s="368"/>
      <c r="I474" s="376"/>
      <c r="J474" s="24"/>
      <c r="K474" s="368"/>
      <c r="L474" s="368">
        <f t="shared" si="29"/>
        <v>11000000</v>
      </c>
      <c r="M474" s="103" t="s">
        <v>1613</v>
      </c>
    </row>
    <row r="475" spans="1:13" ht="30" customHeight="1" x14ac:dyDescent="0.2">
      <c r="A475" s="4">
        <v>320</v>
      </c>
      <c r="B475" s="45" t="s">
        <v>172</v>
      </c>
      <c r="C475" s="380"/>
      <c r="D475" s="368">
        <v>135000000</v>
      </c>
      <c r="E475" s="20">
        <v>4.8000000000000001E-2</v>
      </c>
      <c r="F475" s="368">
        <v>6500000</v>
      </c>
      <c r="G475" s="368">
        <v>8000000</v>
      </c>
      <c r="H475" s="368" t="s">
        <v>2198</v>
      </c>
      <c r="I475" s="374" t="s">
        <v>2203</v>
      </c>
      <c r="J475" s="24" t="s">
        <v>2204</v>
      </c>
      <c r="K475" s="368">
        <f>G475</f>
        <v>8000000</v>
      </c>
      <c r="L475" s="715">
        <f t="shared" si="29"/>
        <v>-1500000</v>
      </c>
      <c r="M475" s="103" t="s">
        <v>2205</v>
      </c>
    </row>
    <row r="476" spans="1:13" ht="30" customHeight="1" x14ac:dyDescent="0.2">
      <c r="A476" s="4">
        <v>321</v>
      </c>
      <c r="B476" s="45" t="s">
        <v>174</v>
      </c>
      <c r="C476" s="380"/>
      <c r="D476" s="368">
        <v>5000000</v>
      </c>
      <c r="E476" s="20">
        <v>0.04</v>
      </c>
      <c r="F476" s="368">
        <f t="shared" si="30"/>
        <v>200000</v>
      </c>
      <c r="G476" s="368">
        <v>200000</v>
      </c>
      <c r="H476" s="368" t="s">
        <v>2449</v>
      </c>
      <c r="I476" s="374" t="s">
        <v>2459</v>
      </c>
      <c r="J476" s="24" t="s">
        <v>2460</v>
      </c>
      <c r="K476" s="368">
        <f>G476</f>
        <v>200000</v>
      </c>
      <c r="L476" s="368">
        <f t="shared" si="29"/>
        <v>0</v>
      </c>
      <c r="M476" s="45"/>
    </row>
    <row r="477" spans="1:13" ht="30" customHeight="1" x14ac:dyDescent="0.2">
      <c r="A477" s="3450">
        <v>322</v>
      </c>
      <c r="B477" s="3525" t="s">
        <v>1450</v>
      </c>
      <c r="C477" s="3570" t="s">
        <v>1112</v>
      </c>
      <c r="D477" s="368">
        <v>10000000</v>
      </c>
      <c r="E477" s="20">
        <v>0.05</v>
      </c>
      <c r="F477" s="368">
        <f t="shared" si="30"/>
        <v>500000</v>
      </c>
      <c r="G477" s="368">
        <v>500000</v>
      </c>
      <c r="H477" s="368" t="s">
        <v>1431</v>
      </c>
      <c r="I477" s="432" t="s">
        <v>1448</v>
      </c>
      <c r="J477" s="432" t="s">
        <v>1448</v>
      </c>
      <c r="K477" s="368">
        <f>G477</f>
        <v>500000</v>
      </c>
      <c r="L477" s="368">
        <f t="shared" si="29"/>
        <v>0</v>
      </c>
      <c r="M477" s="45" t="s">
        <v>2388</v>
      </c>
    </row>
    <row r="478" spans="1:13" ht="30" customHeight="1" x14ac:dyDescent="0.2">
      <c r="A478" s="3451"/>
      <c r="B478" s="3526"/>
      <c r="C478" s="3571"/>
      <c r="D478" s="902">
        <v>10000000</v>
      </c>
      <c r="E478" s="906">
        <v>0.05</v>
      </c>
      <c r="F478" s="902">
        <f t="shared" ref="F478" si="31">D478*E478</f>
        <v>500000</v>
      </c>
      <c r="G478" s="902"/>
      <c r="H478" s="902"/>
      <c r="I478" s="910"/>
      <c r="J478" s="910"/>
      <c r="K478" s="902"/>
      <c r="L478" s="902"/>
      <c r="M478" s="908"/>
    </row>
    <row r="479" spans="1:13" ht="30" customHeight="1" x14ac:dyDescent="0.2">
      <c r="A479" s="4">
        <v>323</v>
      </c>
      <c r="B479" s="45" t="s">
        <v>175</v>
      </c>
      <c r="C479" s="380"/>
      <c r="D479" s="368">
        <v>60000000</v>
      </c>
      <c r="E479" s="20">
        <v>4.4999999999999998E-2</v>
      </c>
      <c r="F479" s="368">
        <f t="shared" si="30"/>
        <v>2700000</v>
      </c>
      <c r="G479" s="368">
        <v>2700000</v>
      </c>
      <c r="H479" s="368" t="s">
        <v>2449</v>
      </c>
      <c r="I479" s="374" t="s">
        <v>2467</v>
      </c>
      <c r="J479" s="852" t="s">
        <v>497</v>
      </c>
      <c r="K479" s="368">
        <f>G479</f>
        <v>2700000</v>
      </c>
      <c r="L479" s="368">
        <f t="shared" si="29"/>
        <v>0</v>
      </c>
      <c r="M479" s="45"/>
    </row>
    <row r="480" spans="1:13" ht="30" customHeight="1" x14ac:dyDescent="0.2">
      <c r="A480" s="4">
        <v>324</v>
      </c>
      <c r="B480" s="45" t="s">
        <v>176</v>
      </c>
      <c r="C480" s="380" t="s">
        <v>916</v>
      </c>
      <c r="D480" s="368">
        <v>20000000</v>
      </c>
      <c r="E480" s="20">
        <v>0.05</v>
      </c>
      <c r="F480" s="368">
        <f>D480*E480</f>
        <v>1000000</v>
      </c>
      <c r="G480" s="368">
        <v>1000000</v>
      </c>
      <c r="H480" s="368" t="s">
        <v>1831</v>
      </c>
      <c r="I480" s="371">
        <v>656285875953</v>
      </c>
      <c r="J480" s="24" t="s">
        <v>1839</v>
      </c>
      <c r="K480" s="368">
        <f>G480</f>
        <v>1000000</v>
      </c>
      <c r="L480" s="368">
        <f t="shared" si="29"/>
        <v>0</v>
      </c>
      <c r="M480" s="45"/>
    </row>
    <row r="481" spans="1:13" ht="30" customHeight="1" x14ac:dyDescent="0.2">
      <c r="A481" s="3450">
        <v>325</v>
      </c>
      <c r="B481" s="3457" t="s">
        <v>273</v>
      </c>
      <c r="C481" s="3570"/>
      <c r="D481" s="368">
        <v>300000000</v>
      </c>
      <c r="E481" s="583">
        <v>0.1</v>
      </c>
      <c r="F481" s="368">
        <v>30750000</v>
      </c>
      <c r="G481" s="368">
        <v>15600000</v>
      </c>
      <c r="H481" s="368" t="s">
        <v>1052</v>
      </c>
      <c r="I481" s="403" t="s">
        <v>1427</v>
      </c>
      <c r="J481" s="24" t="s">
        <v>1323</v>
      </c>
      <c r="K481" s="247"/>
      <c r="L481" s="247"/>
      <c r="M481" s="421" t="s">
        <v>1906</v>
      </c>
    </row>
    <row r="482" spans="1:13" ht="30" customHeight="1" x14ac:dyDescent="0.2">
      <c r="A482" s="3451"/>
      <c r="B482" s="3458"/>
      <c r="C482" s="3571"/>
      <c r="D482" s="368">
        <v>140000000</v>
      </c>
      <c r="E482" s="583">
        <v>7.0000000000000007E-2</v>
      </c>
      <c r="F482" s="368">
        <v>9800000</v>
      </c>
      <c r="G482" s="368">
        <v>40550000</v>
      </c>
      <c r="H482" s="368" t="s">
        <v>1894</v>
      </c>
      <c r="I482" s="374" t="s">
        <v>1894</v>
      </c>
      <c r="J482" s="24">
        <v>166056</v>
      </c>
      <c r="K482" s="581">
        <f>G482</f>
        <v>40550000</v>
      </c>
      <c r="L482" s="581">
        <f>(F481+F482)-K482</f>
        <v>0</v>
      </c>
      <c r="M482" s="421"/>
    </row>
    <row r="483" spans="1:13" ht="30" customHeight="1" x14ac:dyDescent="0.2">
      <c r="A483" s="386">
        <v>326</v>
      </c>
      <c r="B483" s="22" t="s">
        <v>179</v>
      </c>
      <c r="C483" s="421"/>
      <c r="D483" s="394"/>
      <c r="E483" s="44"/>
      <c r="F483" s="394">
        <v>25000000</v>
      </c>
      <c r="G483" s="390"/>
      <c r="H483" s="390"/>
      <c r="I483" s="36"/>
      <c r="J483" s="24"/>
      <c r="K483" s="399"/>
      <c r="L483" s="394">
        <f>F483-K483</f>
        <v>25000000</v>
      </c>
      <c r="M483" s="398"/>
    </row>
    <row r="484" spans="1:13" ht="30" customHeight="1" x14ac:dyDescent="0.2">
      <c r="A484" s="4">
        <v>327</v>
      </c>
      <c r="B484" s="991" t="s">
        <v>1280</v>
      </c>
      <c r="C484" s="992"/>
      <c r="D484" s="993">
        <v>60000000</v>
      </c>
      <c r="E484" s="994">
        <v>0.05</v>
      </c>
      <c r="F484" s="993">
        <f t="shared" ref="F484:F487" si="32">D484*E484</f>
        <v>3000000</v>
      </c>
      <c r="G484" s="993">
        <v>3000000</v>
      </c>
      <c r="H484" s="993" t="s">
        <v>2642</v>
      </c>
      <c r="I484" s="995" t="s">
        <v>2643</v>
      </c>
      <c r="J484" s="996" t="s">
        <v>2644</v>
      </c>
      <c r="K484" s="993">
        <f>G484</f>
        <v>3000000</v>
      </c>
      <c r="L484" s="993">
        <f t="shared" ref="L484:L487" si="33">F484-K484</f>
        <v>0</v>
      </c>
      <c r="M484" s="103"/>
    </row>
    <row r="485" spans="1:13" ht="30" customHeight="1" x14ac:dyDescent="0.2">
      <c r="A485" s="3450">
        <v>328</v>
      </c>
      <c r="B485" s="3457" t="s">
        <v>2809</v>
      </c>
      <c r="C485" s="3570" t="s">
        <v>971</v>
      </c>
      <c r="D485" s="368">
        <v>685000000</v>
      </c>
      <c r="E485" s="20">
        <v>0.06</v>
      </c>
      <c r="F485" s="368">
        <f>D485*E485</f>
        <v>41100000</v>
      </c>
      <c r="G485" s="368">
        <v>41100000</v>
      </c>
      <c r="H485" s="368" t="s">
        <v>1477</v>
      </c>
      <c r="I485" s="376" t="s">
        <v>1505</v>
      </c>
      <c r="J485" s="24" t="s">
        <v>1506</v>
      </c>
      <c r="K485" s="368">
        <f>G485</f>
        <v>41100000</v>
      </c>
      <c r="L485" s="368">
        <f>F485-K485</f>
        <v>0</v>
      </c>
      <c r="M485" s="683" t="s">
        <v>2551</v>
      </c>
    </row>
    <row r="486" spans="1:13" ht="30" customHeight="1" x14ac:dyDescent="0.2">
      <c r="A486" s="3451"/>
      <c r="B486" s="3458"/>
      <c r="C486" s="3571"/>
      <c r="D486" s="1162">
        <f>D485+F485</f>
        <v>726100000</v>
      </c>
      <c r="E486" s="1165">
        <v>0.06</v>
      </c>
      <c r="F486" s="1162">
        <f>D486*E486</f>
        <v>43566000</v>
      </c>
      <c r="G486" s="3478" t="s">
        <v>2811</v>
      </c>
      <c r="H486" s="3479"/>
      <c r="I486" s="3479"/>
      <c r="J486" s="3479"/>
      <c r="K486" s="3480"/>
      <c r="L486" s="1162"/>
      <c r="M486" s="33" t="s">
        <v>2568</v>
      </c>
    </row>
    <row r="487" spans="1:13" ht="30" customHeight="1" x14ac:dyDescent="0.2">
      <c r="A487" s="386">
        <v>329</v>
      </c>
      <c r="B487" s="188" t="s">
        <v>184</v>
      </c>
      <c r="C487" s="421"/>
      <c r="D487" s="394"/>
      <c r="E487" s="44"/>
      <c r="F487" s="394">
        <f t="shared" si="32"/>
        <v>0</v>
      </c>
      <c r="G487" s="399"/>
      <c r="H487" s="399"/>
      <c r="I487" s="424"/>
      <c r="J487" s="37"/>
      <c r="K487" s="247"/>
      <c r="L487" s="394">
        <f t="shared" si="33"/>
        <v>0</v>
      </c>
      <c r="M487" s="396"/>
    </row>
    <row r="488" spans="1:13" ht="30" customHeight="1" x14ac:dyDescent="0.2">
      <c r="A488" s="4">
        <v>330</v>
      </c>
      <c r="B488" s="45" t="s">
        <v>1211</v>
      </c>
      <c r="C488" s="380" t="s">
        <v>1175</v>
      </c>
      <c r="D488" s="925">
        <v>30000000</v>
      </c>
      <c r="E488" s="393">
        <f>F488/D488</f>
        <v>0.05</v>
      </c>
      <c r="F488" s="368">
        <v>1500000</v>
      </c>
      <c r="G488" s="368">
        <v>1500000</v>
      </c>
      <c r="H488" s="368" t="s">
        <v>2572</v>
      </c>
      <c r="I488" s="374" t="s">
        <v>2579</v>
      </c>
      <c r="J488" s="24" t="s">
        <v>2580</v>
      </c>
      <c r="K488" s="368">
        <f>G488</f>
        <v>1500000</v>
      </c>
      <c r="L488" s="368">
        <f>F488-K488</f>
        <v>0</v>
      </c>
      <c r="M488" s="45"/>
    </row>
    <row r="489" spans="1:13" ht="30" customHeight="1" x14ac:dyDescent="0.2">
      <c r="A489" s="4">
        <v>331</v>
      </c>
      <c r="B489" s="45" t="s">
        <v>345</v>
      </c>
      <c r="C489" s="380" t="s">
        <v>379</v>
      </c>
      <c r="D489" s="368">
        <v>280000000</v>
      </c>
      <c r="E489" s="20">
        <v>0.06</v>
      </c>
      <c r="F489" s="368">
        <f t="shared" ref="F489:F494" si="34">D489*E489</f>
        <v>16800000</v>
      </c>
      <c r="G489" s="368">
        <v>16800000</v>
      </c>
      <c r="H489" s="368" t="s">
        <v>1894</v>
      </c>
      <c r="I489" s="374" t="s">
        <v>1953</v>
      </c>
      <c r="J489" s="24" t="s">
        <v>1954</v>
      </c>
      <c r="K489" s="368">
        <f>F489</f>
        <v>16800000</v>
      </c>
      <c r="L489" s="368">
        <f>F489-K489</f>
        <v>0</v>
      </c>
      <c r="M489" s="45"/>
    </row>
    <row r="490" spans="1:13" ht="30" customHeight="1" x14ac:dyDescent="0.2">
      <c r="A490" s="4">
        <v>332</v>
      </c>
      <c r="B490" s="45" t="s">
        <v>378</v>
      </c>
      <c r="C490" s="577" t="s">
        <v>379</v>
      </c>
      <c r="D490" s="573">
        <v>30000000</v>
      </c>
      <c r="E490" s="583">
        <v>0.05</v>
      </c>
      <c r="F490" s="573">
        <f t="shared" si="34"/>
        <v>1500000</v>
      </c>
      <c r="G490" s="573">
        <v>1500000</v>
      </c>
      <c r="H490" s="573" t="s">
        <v>1894</v>
      </c>
      <c r="I490" s="582" t="s">
        <v>1947</v>
      </c>
      <c r="J490" s="24" t="s">
        <v>1948</v>
      </c>
      <c r="K490" s="572">
        <f>G490</f>
        <v>1500000</v>
      </c>
      <c r="L490" s="572">
        <f>F490-K490</f>
        <v>0</v>
      </c>
      <c r="M490" s="45"/>
    </row>
    <row r="491" spans="1:13" ht="30" customHeight="1" x14ac:dyDescent="0.2">
      <c r="A491" s="3450">
        <v>333</v>
      </c>
      <c r="B491" s="3457" t="s">
        <v>915</v>
      </c>
      <c r="C491" s="380" t="s">
        <v>916</v>
      </c>
      <c r="D491" s="368">
        <v>320000000</v>
      </c>
      <c r="E491" s="20">
        <v>0.05</v>
      </c>
      <c r="F491" s="368">
        <f t="shared" si="34"/>
        <v>16000000</v>
      </c>
      <c r="G491" s="368">
        <v>16000000</v>
      </c>
      <c r="H491" s="368" t="s">
        <v>926</v>
      </c>
      <c r="I491" s="36" t="s">
        <v>1394</v>
      </c>
      <c r="J491" s="24" t="s">
        <v>1395</v>
      </c>
      <c r="K491" s="3575"/>
      <c r="L491" s="3575"/>
      <c r="M491" s="3525"/>
    </row>
    <row r="492" spans="1:13" ht="30" customHeight="1" x14ac:dyDescent="0.2">
      <c r="A492" s="3451"/>
      <c r="B492" s="3458"/>
      <c r="C492" s="380" t="s">
        <v>917</v>
      </c>
      <c r="D492" s="368">
        <v>100000000</v>
      </c>
      <c r="E492" s="20">
        <v>0.05</v>
      </c>
      <c r="F492" s="368">
        <f t="shared" si="34"/>
        <v>5000000</v>
      </c>
      <c r="G492" s="368"/>
      <c r="H492" s="368"/>
      <c r="I492" s="374"/>
      <c r="J492" s="24"/>
      <c r="K492" s="3575"/>
      <c r="L492" s="3575"/>
      <c r="M492" s="3526"/>
    </row>
    <row r="493" spans="1:13" ht="30" customHeight="1" x14ac:dyDescent="0.2">
      <c r="A493" s="4">
        <v>334</v>
      </c>
      <c r="B493" s="364" t="s">
        <v>1312</v>
      </c>
      <c r="C493" s="380" t="s">
        <v>916</v>
      </c>
      <c r="D493" s="368">
        <v>100000000</v>
      </c>
      <c r="E493" s="20">
        <v>0.05</v>
      </c>
      <c r="F493" s="368">
        <f t="shared" si="34"/>
        <v>5000000</v>
      </c>
      <c r="G493" s="368"/>
      <c r="H493" s="368"/>
      <c r="I493" s="374"/>
      <c r="J493" s="24"/>
      <c r="K493" s="368"/>
      <c r="L493" s="368"/>
      <c r="M493" s="45"/>
    </row>
    <row r="494" spans="1:13" ht="30" customHeight="1" x14ac:dyDescent="0.2">
      <c r="A494" s="4">
        <v>335</v>
      </c>
      <c r="B494" s="364" t="s">
        <v>1328</v>
      </c>
      <c r="C494" s="380" t="s">
        <v>916</v>
      </c>
      <c r="D494" s="368">
        <v>10000000</v>
      </c>
      <c r="E494" s="20">
        <v>0.05</v>
      </c>
      <c r="F494" s="368">
        <f t="shared" si="34"/>
        <v>500000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336</v>
      </c>
      <c r="B495" s="364" t="s">
        <v>1339</v>
      </c>
      <c r="C495" s="380"/>
      <c r="D495" s="391"/>
      <c r="E495" s="44"/>
      <c r="F495" s="368">
        <v>10500000</v>
      </c>
      <c r="G495" s="368">
        <v>10500000</v>
      </c>
      <c r="H495" s="368" t="s">
        <v>926</v>
      </c>
      <c r="I495" s="403" t="s">
        <v>1388</v>
      </c>
      <c r="J495" s="24" t="s">
        <v>1389</v>
      </c>
      <c r="K495" s="368">
        <f>G495</f>
        <v>10500000</v>
      </c>
      <c r="L495" s="368">
        <f>F495-K495</f>
        <v>0</v>
      </c>
      <c r="M495" s="45"/>
    </row>
    <row r="496" spans="1:13" ht="30" customHeight="1" x14ac:dyDescent="0.2">
      <c r="A496" s="4">
        <v>337</v>
      </c>
      <c r="B496" s="364" t="s">
        <v>1376</v>
      </c>
      <c r="C496" s="380" t="s">
        <v>916</v>
      </c>
      <c r="D496" s="368">
        <v>80000000</v>
      </c>
      <c r="E496" s="20">
        <v>7.0000000000000007E-2</v>
      </c>
      <c r="F496" s="368">
        <f t="shared" ref="F496:F506" si="35">D496*E496</f>
        <v>5600000.0000000009</v>
      </c>
      <c r="G496" s="368">
        <v>5600000</v>
      </c>
      <c r="H496" s="368" t="s">
        <v>1566</v>
      </c>
      <c r="I496" s="374" t="s">
        <v>1666</v>
      </c>
      <c r="J496" s="24" t="s">
        <v>1667</v>
      </c>
      <c r="K496" s="368">
        <f>G496</f>
        <v>5600000</v>
      </c>
      <c r="L496" s="368">
        <f>G496-K496</f>
        <v>0</v>
      </c>
      <c r="M496" s="45"/>
    </row>
    <row r="497" spans="1:18" ht="30" customHeight="1" x14ac:dyDescent="0.2">
      <c r="A497" s="3450">
        <v>338</v>
      </c>
      <c r="B497" s="3457" t="s">
        <v>1776</v>
      </c>
      <c r="C497" s="3570"/>
      <c r="D497" s="368">
        <v>235500000</v>
      </c>
      <c r="E497" s="20">
        <v>0.05</v>
      </c>
      <c r="F497" s="470">
        <f t="shared" si="35"/>
        <v>11775000</v>
      </c>
      <c r="G497" s="368">
        <v>20000000</v>
      </c>
      <c r="H497" s="3478" t="s">
        <v>1582</v>
      </c>
      <c r="I497" s="3479"/>
      <c r="J497" s="3479"/>
      <c r="K497" s="3480"/>
      <c r="L497" s="3442">
        <f>(F497+F498)-K498</f>
        <v>0</v>
      </c>
      <c r="M497" s="3525"/>
    </row>
    <row r="498" spans="1:18" ht="30" customHeight="1" x14ac:dyDescent="0.2">
      <c r="A498" s="3456"/>
      <c r="B498" s="3459"/>
      <c r="C498" s="3576"/>
      <c r="D498" s="460">
        <v>300000000</v>
      </c>
      <c r="E498" s="20">
        <v>7.0000000000000007E-2</v>
      </c>
      <c r="F498" s="470">
        <f t="shared" ref="F498:F499" si="36">D498*E498</f>
        <v>21000000.000000004</v>
      </c>
      <c r="G498" s="529">
        <v>12775000</v>
      </c>
      <c r="H498" s="533" t="s">
        <v>1800</v>
      </c>
      <c r="I498" s="533">
        <v>15630</v>
      </c>
      <c r="J498" s="533" t="s">
        <v>1819</v>
      </c>
      <c r="K498" s="533">
        <f>G497+G498</f>
        <v>32775000</v>
      </c>
      <c r="L498" s="3443"/>
      <c r="M498" s="3526"/>
    </row>
    <row r="499" spans="1:18" ht="30" customHeight="1" x14ac:dyDescent="0.2">
      <c r="A499" s="3456"/>
      <c r="B499" s="3459"/>
      <c r="C499" s="3576"/>
      <c r="D499" s="368">
        <v>30000000</v>
      </c>
      <c r="E499" s="20">
        <v>7.0000000000000007E-2</v>
      </c>
      <c r="F499" s="482">
        <f t="shared" si="36"/>
        <v>2100000</v>
      </c>
      <c r="G499" s="3478" t="s">
        <v>1578</v>
      </c>
      <c r="H499" s="3479"/>
      <c r="I499" s="3479"/>
      <c r="J499" s="3479"/>
      <c r="K499" s="3480"/>
      <c r="L499" s="368"/>
      <c r="M499" s="45"/>
    </row>
    <row r="500" spans="1:18" ht="30" customHeight="1" x14ac:dyDescent="0.2">
      <c r="A500" s="3456"/>
      <c r="B500" s="3459"/>
      <c r="C500" s="3576"/>
      <c r="D500" s="550">
        <v>20000000</v>
      </c>
      <c r="E500" s="545">
        <v>7.0000000000000007E-2</v>
      </c>
      <c r="F500" s="561">
        <f>D500*E500</f>
        <v>1400000.0000000002</v>
      </c>
      <c r="G500" s="3478" t="s">
        <v>1580</v>
      </c>
      <c r="H500" s="3479"/>
      <c r="I500" s="3479"/>
      <c r="J500" s="3479"/>
      <c r="K500" s="3480"/>
      <c r="L500" s="543"/>
      <c r="M500" s="45"/>
    </row>
    <row r="501" spans="1:18" ht="30" customHeight="1" x14ac:dyDescent="0.2">
      <c r="A501" s="3451"/>
      <c r="B501" s="3458"/>
      <c r="C501" s="3571"/>
      <c r="D501" s="466">
        <v>12000000</v>
      </c>
      <c r="E501" s="461">
        <v>7.0000000000000007E-2</v>
      </c>
      <c r="F501" s="483">
        <f>D501*E501</f>
        <v>840000.00000000012</v>
      </c>
      <c r="G501" s="3478" t="s">
        <v>1578</v>
      </c>
      <c r="H501" s="3479"/>
      <c r="I501" s="3479"/>
      <c r="J501" s="3479"/>
      <c r="K501" s="3480"/>
      <c r="L501" s="466"/>
      <c r="M501" s="428" t="s">
        <v>1581</v>
      </c>
    </row>
    <row r="502" spans="1:18" ht="30" customHeight="1" x14ac:dyDescent="0.2">
      <c r="A502" s="3450">
        <v>339</v>
      </c>
      <c r="B502" s="3457" t="s">
        <v>173</v>
      </c>
      <c r="C502" s="3570" t="s">
        <v>1378</v>
      </c>
      <c r="D502" s="3442">
        <v>300000000</v>
      </c>
      <c r="E502" s="3444">
        <v>7.0000000000000007E-2</v>
      </c>
      <c r="F502" s="3442">
        <f t="shared" si="35"/>
        <v>21000000.000000004</v>
      </c>
      <c r="G502" s="399">
        <v>50000000</v>
      </c>
      <c r="H502" s="399" t="s">
        <v>1052</v>
      </c>
      <c r="I502" s="399">
        <v>2293</v>
      </c>
      <c r="J502" s="399" t="s">
        <v>1414</v>
      </c>
      <c r="K502" s="3442">
        <f>G502+G503+G504</f>
        <v>125000000</v>
      </c>
      <c r="L502" s="3442">
        <f>125000000-K502</f>
        <v>0</v>
      </c>
      <c r="M502" s="3629" t="s">
        <v>1500</v>
      </c>
      <c r="N502" s="264"/>
      <c r="O502" s="264"/>
      <c r="P502" s="264"/>
      <c r="Q502" s="264"/>
      <c r="R502" s="264"/>
    </row>
    <row r="503" spans="1:18" ht="30" customHeight="1" x14ac:dyDescent="0.2">
      <c r="A503" s="3456"/>
      <c r="B503" s="3459"/>
      <c r="C503" s="3576"/>
      <c r="D503" s="3461"/>
      <c r="E503" s="3474"/>
      <c r="F503" s="3461"/>
      <c r="G503" s="416">
        <v>50000000</v>
      </c>
      <c r="H503" s="416" t="s">
        <v>1431</v>
      </c>
      <c r="I503" s="416">
        <v>173</v>
      </c>
      <c r="J503" s="416" t="s">
        <v>1414</v>
      </c>
      <c r="K503" s="3461"/>
      <c r="L503" s="3443"/>
      <c r="M503" s="3630"/>
      <c r="N503" s="264"/>
      <c r="O503" s="264"/>
      <c r="P503" s="264"/>
      <c r="Q503" s="264"/>
      <c r="R503" s="264"/>
    </row>
    <row r="504" spans="1:18" ht="30" customHeight="1" x14ac:dyDescent="0.2">
      <c r="A504" s="3456"/>
      <c r="B504" s="3459"/>
      <c r="C504" s="3576"/>
      <c r="D504" s="3443"/>
      <c r="E504" s="3445"/>
      <c r="F504" s="3443"/>
      <c r="G504" s="416">
        <v>25000000</v>
      </c>
      <c r="H504" s="416" t="s">
        <v>1477</v>
      </c>
      <c r="I504" s="434">
        <v>3010</v>
      </c>
      <c r="J504" s="416" t="s">
        <v>1499</v>
      </c>
      <c r="K504" s="3443"/>
      <c r="L504" s="411"/>
      <c r="M504" s="441"/>
      <c r="N504" s="264"/>
      <c r="O504" s="264"/>
      <c r="P504" s="264"/>
      <c r="Q504" s="264"/>
      <c r="R504" s="264"/>
    </row>
    <row r="505" spans="1:18" ht="30" customHeight="1" x14ac:dyDescent="0.2">
      <c r="A505" s="3451"/>
      <c r="B505" s="3458"/>
      <c r="C505" s="3571"/>
      <c r="D505" s="368">
        <v>200000000</v>
      </c>
      <c r="E505" s="20">
        <v>7.0000000000000007E-2</v>
      </c>
      <c r="F505" s="368">
        <f t="shared" si="35"/>
        <v>14000000.000000002</v>
      </c>
      <c r="G505" s="430"/>
      <c r="H505" s="430"/>
      <c r="I505" s="430"/>
      <c r="J505" s="430"/>
      <c r="K505" s="430"/>
      <c r="L505" s="430"/>
      <c r="M505" s="428" t="s">
        <v>1379</v>
      </c>
      <c r="N505" s="429"/>
      <c r="O505" s="429"/>
      <c r="P505" s="429"/>
      <c r="Q505" s="429"/>
      <c r="R505" s="429"/>
    </row>
    <row r="506" spans="1:18" ht="30" customHeight="1" x14ac:dyDescent="0.2">
      <c r="A506" s="3450">
        <v>340</v>
      </c>
      <c r="B506" s="3457" t="s">
        <v>68</v>
      </c>
      <c r="C506" s="3570" t="s">
        <v>1175</v>
      </c>
      <c r="D506" s="3442">
        <v>40000000</v>
      </c>
      <c r="E506" s="3444">
        <v>0.05</v>
      </c>
      <c r="F506" s="3442">
        <f t="shared" si="35"/>
        <v>2000000</v>
      </c>
      <c r="G506" s="390">
        <v>2000000</v>
      </c>
      <c r="H506" s="390" t="s">
        <v>926</v>
      </c>
      <c r="I506" s="434">
        <v>653586300720</v>
      </c>
      <c r="J506" s="399" t="s">
        <v>1392</v>
      </c>
      <c r="K506" s="390">
        <f t="shared" ref="K506:K518" si="37">G506</f>
        <v>2000000</v>
      </c>
      <c r="L506" s="433">
        <f>F506-K506</f>
        <v>0</v>
      </c>
      <c r="M506" s="938" t="s">
        <v>2388</v>
      </c>
      <c r="N506" s="429"/>
      <c r="O506" s="429"/>
      <c r="P506" s="429"/>
      <c r="Q506" s="429"/>
      <c r="R506" s="429"/>
    </row>
    <row r="507" spans="1:18" ht="30" customHeight="1" x14ac:dyDescent="0.2">
      <c r="A507" s="3456"/>
      <c r="B507" s="3459"/>
      <c r="C507" s="3576"/>
      <c r="D507" s="3443"/>
      <c r="E507" s="3445"/>
      <c r="F507" s="3443"/>
      <c r="G507" s="3478" t="s">
        <v>2570</v>
      </c>
      <c r="H507" s="3479"/>
      <c r="I507" s="3479"/>
      <c r="J507" s="3479"/>
      <c r="K507" s="3480"/>
      <c r="L507" s="934"/>
      <c r="M507" s="898"/>
      <c r="N507" s="429"/>
      <c r="O507" s="429"/>
      <c r="P507" s="429"/>
      <c r="Q507" s="429"/>
      <c r="R507" s="429"/>
    </row>
    <row r="508" spans="1:18" ht="30" customHeight="1" x14ac:dyDescent="0.2">
      <c r="A508" s="3451"/>
      <c r="B508" s="3458"/>
      <c r="C508" s="3571"/>
      <c r="D508" s="925">
        <v>60000000</v>
      </c>
      <c r="E508" s="933">
        <v>0.05</v>
      </c>
      <c r="F508" s="925">
        <f>D508*E508</f>
        <v>3000000</v>
      </c>
      <c r="G508" s="3610" t="s">
        <v>2333</v>
      </c>
      <c r="H508" s="3611"/>
      <c r="I508" s="3611"/>
      <c r="J508" s="3611"/>
      <c r="K508" s="3612"/>
      <c r="L508" s="934"/>
      <c r="M508" s="951"/>
      <c r="N508" s="429"/>
      <c r="O508" s="429"/>
      <c r="P508" s="429"/>
      <c r="Q508" s="429"/>
      <c r="R508" s="429"/>
    </row>
    <row r="509" spans="1:18" ht="30" customHeight="1" x14ac:dyDescent="0.2">
      <c r="A509" s="387">
        <v>341</v>
      </c>
      <c r="B509" s="388" t="s">
        <v>1429</v>
      </c>
      <c r="C509" s="400"/>
      <c r="D509" s="410"/>
      <c r="E509" s="44"/>
      <c r="F509" s="410"/>
      <c r="G509" s="390">
        <v>4300000</v>
      </c>
      <c r="H509" s="390" t="s">
        <v>1052</v>
      </c>
      <c r="I509" s="434">
        <v>938651</v>
      </c>
      <c r="J509" s="395" t="s">
        <v>1430</v>
      </c>
      <c r="K509" s="390">
        <f t="shared" si="37"/>
        <v>4300000</v>
      </c>
      <c r="L509" s="433">
        <f>G509-K509</f>
        <v>0</v>
      </c>
      <c r="M509" s="428"/>
      <c r="N509" s="429"/>
      <c r="O509" s="429"/>
      <c r="P509" s="429"/>
      <c r="Q509" s="429"/>
      <c r="R509" s="429"/>
    </row>
    <row r="510" spans="1:18" ht="30" customHeight="1" x14ac:dyDescent="0.2">
      <c r="A510" s="687">
        <v>342</v>
      </c>
      <c r="B510" s="409" t="s">
        <v>72</v>
      </c>
      <c r="C510" s="418" t="s">
        <v>2493</v>
      </c>
      <c r="D510" s="411">
        <v>110000000</v>
      </c>
      <c r="E510" s="20">
        <v>0.05</v>
      </c>
      <c r="F510" s="411">
        <f>D510*E510</f>
        <v>5500000</v>
      </c>
      <c r="G510" s="411">
        <v>5500000</v>
      </c>
      <c r="H510" s="411" t="s">
        <v>1431</v>
      </c>
      <c r="I510" s="434">
        <v>160320</v>
      </c>
      <c r="J510" s="417" t="s">
        <v>1433</v>
      </c>
      <c r="K510" s="411">
        <f t="shared" si="37"/>
        <v>5500000</v>
      </c>
      <c r="L510" s="433">
        <f>F510-K510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3450">
        <v>343</v>
      </c>
      <c r="B511" s="3457" t="s">
        <v>1437</v>
      </c>
      <c r="C511" s="3570"/>
      <c r="D511" s="3505"/>
      <c r="E511" s="3507"/>
      <c r="F511" s="3505"/>
      <c r="G511" s="411">
        <v>320000</v>
      </c>
      <c r="H511" s="411" t="s">
        <v>1431</v>
      </c>
      <c r="I511" s="434">
        <v>544031</v>
      </c>
      <c r="J511" s="417" t="s">
        <v>1438</v>
      </c>
      <c r="K511" s="411">
        <f t="shared" si="37"/>
        <v>320000</v>
      </c>
      <c r="L511" s="440">
        <f>F511-K511</f>
        <v>-320000</v>
      </c>
      <c r="M511" s="3625"/>
      <c r="N511" s="429"/>
      <c r="O511" s="429"/>
      <c r="P511" s="429"/>
      <c r="Q511" s="429"/>
      <c r="R511" s="429"/>
    </row>
    <row r="512" spans="1:18" ht="30" customHeight="1" x14ac:dyDescent="0.2">
      <c r="A512" s="3451"/>
      <c r="B512" s="3458"/>
      <c r="C512" s="3571"/>
      <c r="D512" s="3506"/>
      <c r="E512" s="3508"/>
      <c r="F512" s="3506"/>
      <c r="G512" s="975">
        <v>320000</v>
      </c>
      <c r="H512" s="975" t="s">
        <v>2618</v>
      </c>
      <c r="I512" s="434">
        <v>657949149020</v>
      </c>
      <c r="J512" s="981" t="s">
        <v>1438</v>
      </c>
      <c r="K512" s="975">
        <f>G512</f>
        <v>320000</v>
      </c>
      <c r="L512" s="984">
        <f>F512-K512</f>
        <v>-320000</v>
      </c>
      <c r="M512" s="3626"/>
      <c r="N512" s="429"/>
      <c r="O512" s="429"/>
      <c r="P512" s="429"/>
      <c r="Q512" s="429"/>
      <c r="R512" s="429"/>
    </row>
    <row r="513" spans="1:18" ht="30" customHeight="1" x14ac:dyDescent="0.2">
      <c r="A513" s="687">
        <v>344</v>
      </c>
      <c r="B513" s="409" t="s">
        <v>1445</v>
      </c>
      <c r="C513" s="418"/>
      <c r="D513" s="410"/>
      <c r="E513" s="44"/>
      <c r="F513" s="410"/>
      <c r="G513" s="411">
        <v>6500000</v>
      </c>
      <c r="H513" s="411" t="s">
        <v>1431</v>
      </c>
      <c r="I513" s="434">
        <v>884418440</v>
      </c>
      <c r="J513" s="417" t="s">
        <v>1446</v>
      </c>
      <c r="K513" s="411">
        <f t="shared" si="37"/>
        <v>6500000</v>
      </c>
      <c r="L513" s="440">
        <f>F513-K513</f>
        <v>-6500000</v>
      </c>
      <c r="M513" s="428"/>
      <c r="N513" s="429"/>
      <c r="O513" s="429"/>
      <c r="P513" s="429"/>
      <c r="Q513" s="429"/>
      <c r="R513" s="429"/>
    </row>
    <row r="514" spans="1:18" ht="30" customHeight="1" x14ac:dyDescent="0.2">
      <c r="A514" s="687">
        <v>345</v>
      </c>
      <c r="B514" s="409" t="s">
        <v>2206</v>
      </c>
      <c r="C514" s="418" t="s">
        <v>1354</v>
      </c>
      <c r="D514" s="411">
        <v>60000000</v>
      </c>
      <c r="E514" s="20">
        <v>7.0000000000000007E-2</v>
      </c>
      <c r="F514" s="411">
        <f>D514*E514</f>
        <v>4200000</v>
      </c>
      <c r="G514" s="411">
        <v>4200000</v>
      </c>
      <c r="H514" s="411" t="s">
        <v>2198</v>
      </c>
      <c r="I514" s="434">
        <v>122385850637</v>
      </c>
      <c r="J514" s="417" t="s">
        <v>2207</v>
      </c>
      <c r="K514" s="411">
        <f t="shared" si="37"/>
        <v>4200000</v>
      </c>
      <c r="L514" s="719">
        <f>G514-K514</f>
        <v>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87">
        <v>346</v>
      </c>
      <c r="B515" s="409" t="s">
        <v>1452</v>
      </c>
      <c r="C515" s="418"/>
      <c r="D515" s="410"/>
      <c r="E515" s="44"/>
      <c r="F515" s="410"/>
      <c r="G515" s="411">
        <v>250000</v>
      </c>
      <c r="H515" s="411" t="s">
        <v>1431</v>
      </c>
      <c r="I515" s="434">
        <v>551577</v>
      </c>
      <c r="J515" s="417" t="s">
        <v>1453</v>
      </c>
      <c r="K515" s="411">
        <f t="shared" si="37"/>
        <v>250000</v>
      </c>
      <c r="L515" s="440">
        <f>F515-K515</f>
        <v>-250000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87">
        <v>347</v>
      </c>
      <c r="B516" s="409" t="s">
        <v>181</v>
      </c>
      <c r="C516" s="418"/>
      <c r="D516" s="411">
        <v>130000000</v>
      </c>
      <c r="E516" s="20">
        <v>0.05</v>
      </c>
      <c r="F516" s="411">
        <f>D516*E516</f>
        <v>6500000</v>
      </c>
      <c r="G516" s="411">
        <v>6500000</v>
      </c>
      <c r="H516" s="411" t="s">
        <v>1431</v>
      </c>
      <c r="I516" s="434">
        <v>525106</v>
      </c>
      <c r="J516" s="417" t="s">
        <v>1458</v>
      </c>
      <c r="K516" s="411">
        <f t="shared" si="37"/>
        <v>6500000</v>
      </c>
      <c r="L516" s="433">
        <f>F516-K516</f>
        <v>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3450">
        <v>348</v>
      </c>
      <c r="B517" s="3457" t="s">
        <v>1480</v>
      </c>
      <c r="C517" s="3570" t="s">
        <v>1378</v>
      </c>
      <c r="D517" s="3442">
        <v>50000000</v>
      </c>
      <c r="E517" s="3444">
        <v>0.04</v>
      </c>
      <c r="F517" s="3442">
        <f>D517*E517</f>
        <v>2000000</v>
      </c>
      <c r="G517" s="411">
        <v>2000000</v>
      </c>
      <c r="H517" s="411" t="s">
        <v>1477</v>
      </c>
      <c r="I517" s="434">
        <v>731008</v>
      </c>
      <c r="J517" s="417" t="s">
        <v>1481</v>
      </c>
      <c r="K517" s="411">
        <f t="shared" si="37"/>
        <v>2000000</v>
      </c>
      <c r="L517" s="433">
        <f>F517-K517</f>
        <v>0</v>
      </c>
      <c r="M517" s="428" t="s">
        <v>2358</v>
      </c>
      <c r="N517" s="429"/>
      <c r="O517" s="429"/>
      <c r="P517" s="429"/>
      <c r="Q517" s="429"/>
      <c r="R517" s="429"/>
    </row>
    <row r="518" spans="1:18" ht="30" customHeight="1" x14ac:dyDescent="0.2">
      <c r="A518" s="3451"/>
      <c r="B518" s="3458"/>
      <c r="C518" s="3571"/>
      <c r="D518" s="3443"/>
      <c r="E518" s="3445"/>
      <c r="F518" s="3443"/>
      <c r="G518" s="735">
        <v>2000000</v>
      </c>
      <c r="H518" s="735" t="s">
        <v>2291</v>
      </c>
      <c r="I518" s="434">
        <v>890776915</v>
      </c>
      <c r="J518" s="740" t="s">
        <v>1481</v>
      </c>
      <c r="K518" s="735">
        <f t="shared" si="37"/>
        <v>2000000</v>
      </c>
      <c r="L518" s="747">
        <f>G518-K518</f>
        <v>0</v>
      </c>
      <c r="M518" s="428"/>
      <c r="N518" s="429"/>
      <c r="O518" s="429"/>
      <c r="P518" s="429"/>
      <c r="Q518" s="429"/>
      <c r="R518" s="429"/>
    </row>
    <row r="519" spans="1:18" ht="30" customHeight="1" x14ac:dyDescent="0.2">
      <c r="A519" s="687">
        <v>349</v>
      </c>
      <c r="B519" s="436" t="s">
        <v>1619</v>
      </c>
      <c r="C519" s="439"/>
      <c r="D519" s="437">
        <v>80000000</v>
      </c>
      <c r="E519" s="20">
        <v>0.04</v>
      </c>
      <c r="F519" s="437">
        <f>D519*E519</f>
        <v>3200000</v>
      </c>
      <c r="G519" s="437"/>
      <c r="H519" s="437"/>
      <c r="I519" s="434"/>
      <c r="J519" s="438"/>
      <c r="K519" s="437"/>
      <c r="L519" s="433">
        <f t="shared" ref="L519:L526" si="38">F519-K519</f>
        <v>3200000</v>
      </c>
      <c r="M519" s="428" t="s">
        <v>4332</v>
      </c>
      <c r="N519" s="429"/>
      <c r="O519" s="429"/>
      <c r="P519" s="429"/>
      <c r="Q519" s="429"/>
      <c r="R519" s="429"/>
    </row>
    <row r="520" spans="1:18" ht="30" customHeight="1" x14ac:dyDescent="0.2">
      <c r="A520" s="687">
        <v>350</v>
      </c>
      <c r="B520" s="458" t="s">
        <v>1647</v>
      </c>
      <c r="C520" s="459"/>
      <c r="D520" s="460">
        <v>110000000</v>
      </c>
      <c r="E520" s="3694" t="s">
        <v>1649</v>
      </c>
      <c r="F520" s="3695"/>
      <c r="G520" s="460">
        <v>9000000</v>
      </c>
      <c r="H520" s="460" t="s">
        <v>1566</v>
      </c>
      <c r="I520" s="434">
        <v>792864814515</v>
      </c>
      <c r="J520" s="469" t="s">
        <v>1648</v>
      </c>
      <c r="K520" s="460">
        <f>G520</f>
        <v>9000000</v>
      </c>
      <c r="L520" s="440">
        <f t="shared" si="38"/>
        <v>-9000000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87">
        <v>351</v>
      </c>
      <c r="B521" s="458" t="s">
        <v>1651</v>
      </c>
      <c r="C521" s="459"/>
      <c r="D521" s="460">
        <v>560000000</v>
      </c>
      <c r="E521" s="20">
        <v>7.0000000000000007E-2</v>
      </c>
      <c r="F521" s="460">
        <f>D521*E521</f>
        <v>39200000.000000007</v>
      </c>
      <c r="G521" s="460">
        <v>39200000</v>
      </c>
      <c r="H521" s="460" t="s">
        <v>1566</v>
      </c>
      <c r="I521" s="434">
        <v>10165</v>
      </c>
      <c r="J521" s="469" t="s">
        <v>1652</v>
      </c>
      <c r="K521" s="460">
        <f>G521</f>
        <v>39200000</v>
      </c>
      <c r="L521" s="433">
        <f t="shared" si="38"/>
        <v>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87">
        <v>352</v>
      </c>
      <c r="B522" s="458" t="s">
        <v>1654</v>
      </c>
      <c r="C522" s="459"/>
      <c r="D522" s="1178">
        <v>50000000</v>
      </c>
      <c r="E522" s="1181">
        <v>7.0000000000000007E-2</v>
      </c>
      <c r="F522" s="1178">
        <f>D522*E522</f>
        <v>3500000.0000000005</v>
      </c>
      <c r="G522" s="1178">
        <v>3500000</v>
      </c>
      <c r="H522" s="1178" t="s">
        <v>1566</v>
      </c>
      <c r="I522" s="434">
        <v>885318080</v>
      </c>
      <c r="J522" s="1179" t="s">
        <v>1655</v>
      </c>
      <c r="K522" s="1178">
        <f>G522</f>
        <v>3500000</v>
      </c>
      <c r="L522" s="1180">
        <f t="shared" si="38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87">
        <v>353</v>
      </c>
      <c r="B523" s="458" t="s">
        <v>1658</v>
      </c>
      <c r="C523" s="459"/>
      <c r="D523" s="460">
        <v>50000000</v>
      </c>
      <c r="E523" s="44"/>
      <c r="F523" s="463"/>
      <c r="G523" s="460"/>
      <c r="H523" s="460"/>
      <c r="I523" s="434"/>
      <c r="J523" s="469"/>
      <c r="K523" s="460"/>
      <c r="L523" s="433">
        <f t="shared" si="38"/>
        <v>0</v>
      </c>
      <c r="M523" s="428" t="s">
        <v>1659</v>
      </c>
      <c r="N523" s="429"/>
      <c r="O523" s="429"/>
      <c r="P523" s="429"/>
      <c r="Q523" s="429"/>
      <c r="R523" s="429"/>
    </row>
    <row r="524" spans="1:18" ht="30" customHeight="1" x14ac:dyDescent="0.2">
      <c r="A524" s="687">
        <v>354</v>
      </c>
      <c r="B524" s="475" t="s">
        <v>4162</v>
      </c>
      <c r="C524" s="477"/>
      <c r="D524" s="476">
        <v>70000000</v>
      </c>
      <c r="E524" s="20">
        <v>0.04</v>
      </c>
      <c r="F524" s="476">
        <f>D524*E524</f>
        <v>2800000</v>
      </c>
      <c r="G524" s="476">
        <v>2800000</v>
      </c>
      <c r="H524" s="476" t="s">
        <v>1566</v>
      </c>
      <c r="I524" s="434">
        <v>885369253</v>
      </c>
      <c r="J524" s="434" t="s">
        <v>1671</v>
      </c>
      <c r="K524" s="476">
        <f>G524</f>
        <v>2800000</v>
      </c>
      <c r="L524" s="433">
        <f t="shared" si="38"/>
        <v>0</v>
      </c>
      <c r="M524" s="428"/>
      <c r="N524" s="429"/>
      <c r="O524" s="429"/>
      <c r="P524" s="429"/>
      <c r="Q524" s="429"/>
      <c r="R524" s="429"/>
    </row>
    <row r="525" spans="1:18" ht="30" customHeight="1" x14ac:dyDescent="0.2">
      <c r="A525" s="687">
        <v>355</v>
      </c>
      <c r="B525" s="499" t="s">
        <v>1675</v>
      </c>
      <c r="C525" s="501"/>
      <c r="D525" s="1144">
        <v>115000000</v>
      </c>
      <c r="E525" s="1153">
        <v>0.05</v>
      </c>
      <c r="F525" s="1144">
        <f>D525*E525</f>
        <v>5750000</v>
      </c>
      <c r="G525" s="1144">
        <v>5000000</v>
      </c>
      <c r="H525" s="1144" t="s">
        <v>1566</v>
      </c>
      <c r="I525" s="434">
        <v>121954245813</v>
      </c>
      <c r="J525" s="516" t="s">
        <v>1676</v>
      </c>
      <c r="K525" s="1144">
        <f>G525</f>
        <v>5000000</v>
      </c>
      <c r="L525" s="1152">
        <f t="shared" si="38"/>
        <v>750000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87">
        <v>356</v>
      </c>
      <c r="B526" s="499" t="s">
        <v>1683</v>
      </c>
      <c r="C526" s="501"/>
      <c r="D526" s="502"/>
      <c r="E526" s="44"/>
      <c r="F526" s="502"/>
      <c r="G526" s="498">
        <v>2800000</v>
      </c>
      <c r="H526" s="498" t="s">
        <v>1566</v>
      </c>
      <c r="I526" s="434">
        <v>885445016</v>
      </c>
      <c r="J526" s="516" t="s">
        <v>1684</v>
      </c>
      <c r="K526" s="498">
        <f>G526</f>
        <v>2800000</v>
      </c>
      <c r="L526" s="440">
        <f t="shared" si="38"/>
        <v>-2800000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87">
        <v>357</v>
      </c>
      <c r="B527" s="499" t="s">
        <v>1685</v>
      </c>
      <c r="C527" s="501"/>
      <c r="D527" s="498">
        <v>70000000</v>
      </c>
      <c r="E527" s="44"/>
      <c r="F527" s="502"/>
      <c r="G527" s="498"/>
      <c r="H527" s="498"/>
      <c r="I527" s="434"/>
      <c r="J527" s="516"/>
      <c r="K527" s="498"/>
      <c r="L527" s="440"/>
      <c r="M527" s="428" t="s">
        <v>1686</v>
      </c>
      <c r="N527" s="429"/>
      <c r="O527" s="429"/>
      <c r="P527" s="429"/>
      <c r="Q527" s="429"/>
      <c r="R527" s="429"/>
    </row>
    <row r="528" spans="1:18" ht="30" customHeight="1" x14ac:dyDescent="0.2">
      <c r="A528" s="687">
        <v>358</v>
      </c>
      <c r="B528" s="499" t="s">
        <v>1690</v>
      </c>
      <c r="C528" s="501"/>
      <c r="D528" s="502"/>
      <c r="E528" s="44"/>
      <c r="F528" s="502"/>
      <c r="G528" s="498">
        <v>6000000</v>
      </c>
      <c r="H528" s="498" t="s">
        <v>1687</v>
      </c>
      <c r="I528" s="434">
        <v>885556634</v>
      </c>
      <c r="J528" s="516" t="s">
        <v>1691</v>
      </c>
      <c r="K528" s="498">
        <f t="shared" ref="K528:K542" si="39">G528</f>
        <v>6000000</v>
      </c>
      <c r="L528" s="440">
        <f t="shared" ref="L528:L542" si="40">F528-K528</f>
        <v>-6000000</v>
      </c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3450">
        <v>359</v>
      </c>
      <c r="B529" s="3457" t="s">
        <v>1692</v>
      </c>
      <c r="C529" s="3570"/>
      <c r="D529" s="3505"/>
      <c r="E529" s="3507"/>
      <c r="F529" s="3505"/>
      <c r="G529" s="498">
        <v>500000</v>
      </c>
      <c r="H529" s="498" t="s">
        <v>1687</v>
      </c>
      <c r="I529" s="434">
        <v>489571</v>
      </c>
      <c r="J529" s="516" t="s">
        <v>1693</v>
      </c>
      <c r="K529" s="3442">
        <f>G529+G530</f>
        <v>1500000</v>
      </c>
      <c r="L529" s="3654">
        <f t="shared" si="40"/>
        <v>-1500000</v>
      </c>
      <c r="M529" s="3625"/>
      <c r="N529" s="429"/>
      <c r="O529" s="429"/>
      <c r="P529" s="429"/>
      <c r="Q529" s="429"/>
      <c r="R529" s="429"/>
    </row>
    <row r="530" spans="1:18" ht="30" customHeight="1" x14ac:dyDescent="0.2">
      <c r="A530" s="3451"/>
      <c r="B530" s="3458"/>
      <c r="C530" s="3571"/>
      <c r="D530" s="3506"/>
      <c r="E530" s="3508"/>
      <c r="F530" s="3506"/>
      <c r="G530" s="735">
        <v>1000000</v>
      </c>
      <c r="H530" s="735" t="s">
        <v>2273</v>
      </c>
      <c r="I530" s="434">
        <v>122423409278</v>
      </c>
      <c r="J530" s="516" t="s">
        <v>1693</v>
      </c>
      <c r="K530" s="3443"/>
      <c r="L530" s="3655"/>
      <c r="M530" s="3626"/>
      <c r="N530" s="429"/>
      <c r="O530" s="429"/>
      <c r="P530" s="429"/>
      <c r="Q530" s="429"/>
      <c r="R530" s="429"/>
    </row>
    <row r="531" spans="1:18" ht="30" customHeight="1" x14ac:dyDescent="0.2">
      <c r="A531" s="687">
        <v>360</v>
      </c>
      <c r="B531" s="499" t="s">
        <v>1707</v>
      </c>
      <c r="C531" s="501"/>
      <c r="D531" s="655">
        <v>500000000</v>
      </c>
      <c r="E531" s="667">
        <f>F531/D531</f>
        <v>5.4199999999999998E-2</v>
      </c>
      <c r="F531" s="655">
        <v>27100000</v>
      </c>
      <c r="G531" s="655">
        <v>27100000</v>
      </c>
      <c r="H531" s="655" t="s">
        <v>1687</v>
      </c>
      <c r="I531" s="434">
        <v>1.4010406054200199E+19</v>
      </c>
      <c r="J531" s="516" t="s">
        <v>1704</v>
      </c>
      <c r="K531" s="655">
        <f t="shared" si="39"/>
        <v>27100000</v>
      </c>
      <c r="L531" s="666">
        <f t="shared" si="40"/>
        <v>0</v>
      </c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3450">
        <v>361</v>
      </c>
      <c r="B532" s="3457" t="s">
        <v>1705</v>
      </c>
      <c r="C532" s="3570"/>
      <c r="D532" s="3442"/>
      <c r="E532" s="3444"/>
      <c r="F532" s="3442">
        <v>103600000</v>
      </c>
      <c r="G532" s="498">
        <v>15000000</v>
      </c>
      <c r="H532" s="498" t="s">
        <v>1687</v>
      </c>
      <c r="I532" s="434">
        <v>1.4010406054200199E+19</v>
      </c>
      <c r="J532" s="516" t="s">
        <v>1706</v>
      </c>
      <c r="K532" s="3442">
        <f>G532+G533+G534+G535+G536</f>
        <v>103600000</v>
      </c>
      <c r="L532" s="3625">
        <f>F532-K532</f>
        <v>0</v>
      </c>
      <c r="M532" s="897"/>
      <c r="N532" s="429"/>
      <c r="O532" s="429"/>
      <c r="P532" s="429"/>
      <c r="Q532" s="429"/>
      <c r="R532" s="429"/>
    </row>
    <row r="533" spans="1:18" ht="30" customHeight="1" x14ac:dyDescent="0.2">
      <c r="A533" s="3456"/>
      <c r="B533" s="3459"/>
      <c r="C533" s="3576"/>
      <c r="D533" s="3461"/>
      <c r="E533" s="3474"/>
      <c r="F533" s="3461"/>
      <c r="G533" s="688">
        <v>20000000</v>
      </c>
      <c r="H533" s="688" t="s">
        <v>2120</v>
      </c>
      <c r="I533" s="434">
        <v>1.40104150162812E+17</v>
      </c>
      <c r="J533" s="516" t="s">
        <v>1706</v>
      </c>
      <c r="K533" s="3461"/>
      <c r="L533" s="3696"/>
      <c r="M533" s="898"/>
      <c r="N533" s="429"/>
      <c r="O533" s="429"/>
      <c r="P533" s="429"/>
      <c r="Q533" s="429"/>
      <c r="R533" s="429"/>
    </row>
    <row r="534" spans="1:18" ht="30" customHeight="1" x14ac:dyDescent="0.2">
      <c r="A534" s="3456"/>
      <c r="B534" s="3459"/>
      <c r="C534" s="3576"/>
      <c r="D534" s="3461"/>
      <c r="E534" s="3474"/>
      <c r="F534" s="3461"/>
      <c r="G534" s="780">
        <v>18000000</v>
      </c>
      <c r="H534" s="780"/>
      <c r="I534" s="434"/>
      <c r="J534" s="516"/>
      <c r="K534" s="3461"/>
      <c r="L534" s="3696"/>
      <c r="M534" s="898"/>
      <c r="N534" s="429"/>
      <c r="O534" s="429"/>
      <c r="P534" s="429"/>
      <c r="Q534" s="429"/>
      <c r="R534" s="429"/>
    </row>
    <row r="535" spans="1:18" ht="30" customHeight="1" x14ac:dyDescent="0.2">
      <c r="A535" s="3456"/>
      <c r="B535" s="3459"/>
      <c r="C535" s="3576"/>
      <c r="D535" s="3461"/>
      <c r="E535" s="3474"/>
      <c r="F535" s="3461"/>
      <c r="G535" s="780">
        <v>40000000</v>
      </c>
      <c r="H535" s="780"/>
      <c r="I535" s="434"/>
      <c r="J535" s="516"/>
      <c r="K535" s="3461"/>
      <c r="L535" s="3696"/>
      <c r="M535" s="898"/>
      <c r="N535" s="429"/>
      <c r="O535" s="429"/>
      <c r="P535" s="429"/>
      <c r="Q535" s="429"/>
      <c r="R535" s="429"/>
    </row>
    <row r="536" spans="1:18" ht="30" customHeight="1" x14ac:dyDescent="0.2">
      <c r="A536" s="3456"/>
      <c r="B536" s="3459"/>
      <c r="C536" s="3576"/>
      <c r="D536" s="3461"/>
      <c r="E536" s="3474"/>
      <c r="F536" s="3461"/>
      <c r="G536" s="869">
        <v>10600000</v>
      </c>
      <c r="H536" s="869" t="s">
        <v>2392</v>
      </c>
      <c r="I536" s="434">
        <v>891695712</v>
      </c>
      <c r="J536" s="516" t="s">
        <v>2421</v>
      </c>
      <c r="K536" s="3443"/>
      <c r="L536" s="3626"/>
      <c r="M536" s="899" t="s">
        <v>2500</v>
      </c>
      <c r="N536" s="429"/>
      <c r="O536" s="429"/>
      <c r="P536" s="429"/>
      <c r="Q536" s="429"/>
      <c r="R536" s="429"/>
    </row>
    <row r="537" spans="1:18" ht="30" customHeight="1" x14ac:dyDescent="0.2">
      <c r="A537" s="3456"/>
      <c r="B537" s="3459"/>
      <c r="C537" s="3576"/>
      <c r="D537" s="3461"/>
      <c r="E537" s="3474"/>
      <c r="F537" s="3461"/>
      <c r="G537" s="969">
        <v>5000000</v>
      </c>
      <c r="H537" s="969" t="s">
        <v>2498</v>
      </c>
      <c r="I537" s="973">
        <v>942173</v>
      </c>
      <c r="J537" s="974" t="s">
        <v>2499</v>
      </c>
      <c r="K537" s="3631">
        <f>G537+G538</f>
        <v>10000000</v>
      </c>
      <c r="L537" s="3654"/>
      <c r="M537" s="428" t="s">
        <v>2517</v>
      </c>
      <c r="N537" s="429"/>
      <c r="O537" s="429"/>
      <c r="P537" s="429"/>
      <c r="Q537" s="429"/>
      <c r="R537" s="429"/>
    </row>
    <row r="538" spans="1:18" ht="30" customHeight="1" x14ac:dyDescent="0.2">
      <c r="A538" s="3451"/>
      <c r="B538" s="3458"/>
      <c r="C538" s="3571"/>
      <c r="D538" s="3443"/>
      <c r="E538" s="3445"/>
      <c r="F538" s="3443"/>
      <c r="G538" s="969">
        <v>5000000</v>
      </c>
      <c r="H538" s="969" t="s">
        <v>2059</v>
      </c>
      <c r="I538" s="973">
        <v>657945629243</v>
      </c>
      <c r="J538" s="974" t="s">
        <v>2598</v>
      </c>
      <c r="K538" s="3633"/>
      <c r="L538" s="3655"/>
      <c r="M538" s="428" t="s">
        <v>2599</v>
      </c>
      <c r="N538" s="429"/>
      <c r="O538" s="429"/>
      <c r="P538" s="429"/>
      <c r="Q538" s="429"/>
      <c r="R538" s="429"/>
    </row>
    <row r="539" spans="1:18" ht="30" customHeight="1" x14ac:dyDescent="0.2">
      <c r="A539" s="500">
        <v>362</v>
      </c>
      <c r="B539" s="499" t="s">
        <v>1712</v>
      </c>
      <c r="C539" s="501" t="s">
        <v>1746</v>
      </c>
      <c r="D539" s="498">
        <v>300000000</v>
      </c>
      <c r="E539" s="20">
        <v>4.4999999999999998E-2</v>
      </c>
      <c r="F539" s="498">
        <f>D539*E539</f>
        <v>13500000</v>
      </c>
      <c r="G539" s="498">
        <v>13500000</v>
      </c>
      <c r="H539" s="498" t="s">
        <v>1709</v>
      </c>
      <c r="I539" s="434">
        <v>1.4010407054200001E+19</v>
      </c>
      <c r="J539" s="516" t="s">
        <v>1713</v>
      </c>
      <c r="K539" s="498">
        <f t="shared" si="39"/>
        <v>13500000</v>
      </c>
      <c r="L539" s="433">
        <f t="shared" si="40"/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500">
        <v>363</v>
      </c>
      <c r="B540" s="499" t="s">
        <v>1734</v>
      </c>
      <c r="C540" s="501"/>
      <c r="D540" s="498"/>
      <c r="E540" s="20"/>
      <c r="F540" s="498"/>
      <c r="G540" s="498">
        <v>1060000</v>
      </c>
      <c r="H540" s="498" t="s">
        <v>1709</v>
      </c>
      <c r="I540" s="434">
        <v>456199</v>
      </c>
      <c r="J540" s="516" t="s">
        <v>1714</v>
      </c>
      <c r="K540" s="498">
        <f t="shared" si="39"/>
        <v>1060000</v>
      </c>
      <c r="L540" s="433">
        <f t="shared" si="40"/>
        <v>-1060000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687">
        <v>364</v>
      </c>
      <c r="B541" s="499" t="s">
        <v>1730</v>
      </c>
      <c r="C541" s="501"/>
      <c r="D541" s="502"/>
      <c r="E541" s="44"/>
      <c r="F541" s="502"/>
      <c r="G541" s="498">
        <v>6600000</v>
      </c>
      <c r="H541" s="498" t="s">
        <v>1709</v>
      </c>
      <c r="I541" s="434">
        <v>1.4010407054200001E+19</v>
      </c>
      <c r="J541" s="516" t="s">
        <v>1731</v>
      </c>
      <c r="K541" s="498">
        <f t="shared" si="39"/>
        <v>6600000</v>
      </c>
      <c r="L541" s="440">
        <f t="shared" si="40"/>
        <v>-6600000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87">
        <v>365</v>
      </c>
      <c r="B542" s="499" t="s">
        <v>1732</v>
      </c>
      <c r="C542" s="501"/>
      <c r="D542" s="502"/>
      <c r="E542" s="44"/>
      <c r="F542" s="502"/>
      <c r="G542" s="498">
        <v>19000000</v>
      </c>
      <c r="H542" s="498" t="s">
        <v>1709</v>
      </c>
      <c r="I542" s="434">
        <v>17114</v>
      </c>
      <c r="J542" s="516" t="s">
        <v>1733</v>
      </c>
      <c r="K542" s="498">
        <f t="shared" si="39"/>
        <v>19000000</v>
      </c>
      <c r="L542" s="440">
        <f t="shared" si="40"/>
        <v>-19000000</v>
      </c>
      <c r="M542" s="428" t="s">
        <v>2873</v>
      </c>
      <c r="N542" s="429"/>
      <c r="O542" s="429"/>
      <c r="P542" s="429"/>
      <c r="Q542" s="429"/>
      <c r="R542" s="429"/>
    </row>
    <row r="543" spans="1:18" ht="30" customHeight="1" x14ac:dyDescent="0.2">
      <c r="A543" s="687">
        <v>366</v>
      </c>
      <c r="B543" s="505" t="s">
        <v>1818</v>
      </c>
      <c r="C543" s="512" t="s">
        <v>1138</v>
      </c>
      <c r="D543" s="508">
        <v>70000000</v>
      </c>
      <c r="E543" s="517">
        <v>6.3E-2</v>
      </c>
      <c r="F543" s="508">
        <v>4400000</v>
      </c>
      <c r="G543" s="528">
        <v>8800000</v>
      </c>
      <c r="H543" s="528" t="s">
        <v>1800</v>
      </c>
      <c r="I543" s="434">
        <v>886869894</v>
      </c>
      <c r="J543" s="516" t="s">
        <v>1802</v>
      </c>
      <c r="K543" s="528">
        <f>G543</f>
        <v>8800000</v>
      </c>
      <c r="L543" s="433">
        <f>F543-K543</f>
        <v>-4400000</v>
      </c>
      <c r="M543" s="428" t="s">
        <v>1801</v>
      </c>
      <c r="N543" s="429"/>
      <c r="O543" s="429"/>
      <c r="P543" s="429"/>
      <c r="Q543" s="429"/>
      <c r="R543" s="429"/>
    </row>
    <row r="544" spans="1:18" ht="30" customHeight="1" x14ac:dyDescent="0.2">
      <c r="A544" s="687">
        <v>367</v>
      </c>
      <c r="B544" s="505" t="s">
        <v>1760</v>
      </c>
      <c r="C544" s="512"/>
      <c r="D544" s="510"/>
      <c r="E544" s="44"/>
      <c r="F544" s="510">
        <f>D544*E544</f>
        <v>0</v>
      </c>
      <c r="G544" s="508">
        <v>1250000</v>
      </c>
      <c r="H544" s="508" t="s">
        <v>1752</v>
      </c>
      <c r="I544" s="434">
        <v>122048261797</v>
      </c>
      <c r="J544" s="516" t="s">
        <v>1761</v>
      </c>
      <c r="K544" s="508">
        <f>G544</f>
        <v>1250000</v>
      </c>
      <c r="L544" s="440">
        <f>F544-K544</f>
        <v>-1250000</v>
      </c>
      <c r="M544" s="428"/>
      <c r="N544" s="429"/>
      <c r="O544" s="429"/>
      <c r="P544" s="429"/>
      <c r="Q544" s="429"/>
      <c r="R544" s="429"/>
    </row>
    <row r="545" spans="1:18" ht="30" customHeight="1" x14ac:dyDescent="0.2">
      <c r="A545" s="687">
        <v>368</v>
      </c>
      <c r="B545" s="505" t="s">
        <v>1905</v>
      </c>
      <c r="C545" s="512"/>
      <c r="D545" s="508">
        <v>800000000</v>
      </c>
      <c r="E545" s="517">
        <v>7.0000000000000007E-2</v>
      </c>
      <c r="F545" s="508">
        <f>D545*E545</f>
        <v>56000000.000000007</v>
      </c>
      <c r="G545" s="508"/>
      <c r="H545" s="508"/>
      <c r="I545" s="434"/>
      <c r="J545" s="516"/>
      <c r="K545" s="508"/>
      <c r="L545" s="433"/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87">
        <v>369</v>
      </c>
      <c r="B546" s="505" t="s">
        <v>1771</v>
      </c>
      <c r="C546" s="512" t="s">
        <v>1746</v>
      </c>
      <c r="D546" s="508">
        <v>250000000</v>
      </c>
      <c r="E546" s="517"/>
      <c r="F546" s="508"/>
      <c r="G546" s="508"/>
      <c r="H546" s="508"/>
      <c r="I546" s="434"/>
      <c r="J546" s="516"/>
      <c r="K546" s="508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3450">
        <v>370</v>
      </c>
      <c r="B547" s="3457" t="s">
        <v>1795</v>
      </c>
      <c r="C547" s="3570" t="s">
        <v>3458</v>
      </c>
      <c r="D547" s="3442">
        <v>200000000</v>
      </c>
      <c r="E547" s="3444">
        <v>0.05</v>
      </c>
      <c r="F547" s="3442">
        <f>D547*E547</f>
        <v>10000000</v>
      </c>
      <c r="G547" s="518">
        <v>10000000</v>
      </c>
      <c r="H547" s="518" t="s">
        <v>1752</v>
      </c>
      <c r="I547" s="434">
        <v>1.4010408054200101E+19</v>
      </c>
      <c r="J547" s="516" t="s">
        <v>2662</v>
      </c>
      <c r="K547" s="518">
        <f t="shared" ref="K547:K555" si="41">G547</f>
        <v>10000000</v>
      </c>
      <c r="L547" s="2134">
        <f>F547-K547</f>
        <v>0</v>
      </c>
      <c r="M547" s="897"/>
      <c r="N547" s="429"/>
      <c r="O547" s="429"/>
      <c r="P547" s="429"/>
      <c r="Q547" s="429"/>
      <c r="R547" s="429"/>
    </row>
    <row r="548" spans="1:18" ht="30" customHeight="1" x14ac:dyDescent="0.2">
      <c r="A548" s="3451"/>
      <c r="B548" s="3458"/>
      <c r="C548" s="3571"/>
      <c r="D548" s="3443"/>
      <c r="E548" s="3445"/>
      <c r="F548" s="3443"/>
      <c r="G548" s="975">
        <v>10000000</v>
      </c>
      <c r="H548" s="975" t="s">
        <v>2059</v>
      </c>
      <c r="I548" s="434">
        <v>310488</v>
      </c>
      <c r="J548" s="516" t="s">
        <v>2617</v>
      </c>
      <c r="K548" s="975">
        <f>G548</f>
        <v>10000000</v>
      </c>
      <c r="L548" s="2134">
        <f>F547-K548</f>
        <v>0</v>
      </c>
      <c r="M548" s="951" t="s">
        <v>2599</v>
      </c>
      <c r="N548" s="429"/>
      <c r="O548" s="429"/>
      <c r="P548" s="429"/>
      <c r="Q548" s="429"/>
      <c r="R548" s="429"/>
    </row>
    <row r="549" spans="1:18" ht="30" customHeight="1" x14ac:dyDescent="0.2">
      <c r="A549" s="687">
        <v>371</v>
      </c>
      <c r="B549" s="519" t="s">
        <v>1797</v>
      </c>
      <c r="C549" s="520" t="s">
        <v>971</v>
      </c>
      <c r="D549" s="518">
        <v>50000000</v>
      </c>
      <c r="E549" s="525">
        <v>0.04</v>
      </c>
      <c r="F549" s="518">
        <f>D549*E549</f>
        <v>2000000</v>
      </c>
      <c r="G549" s="518">
        <v>2000000</v>
      </c>
      <c r="H549" s="518" t="s">
        <v>1752</v>
      </c>
      <c r="I549" s="434">
        <v>349729</v>
      </c>
      <c r="J549" s="516" t="s">
        <v>1798</v>
      </c>
      <c r="K549" s="518">
        <f t="shared" si="41"/>
        <v>2000000</v>
      </c>
      <c r="L549" s="433">
        <f>F549-K549</f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687">
        <v>372</v>
      </c>
      <c r="B550" s="519" t="s">
        <v>1805</v>
      </c>
      <c r="C550" s="520"/>
      <c r="D550" s="521"/>
      <c r="E550" s="44"/>
      <c r="F550" s="521"/>
      <c r="G550" s="518">
        <v>52250000</v>
      </c>
      <c r="H550" s="518" t="s">
        <v>1800</v>
      </c>
      <c r="I550" s="434">
        <v>1.4010409054200001E+19</v>
      </c>
      <c r="J550" s="516" t="s">
        <v>856</v>
      </c>
      <c r="K550" s="518">
        <f t="shared" si="41"/>
        <v>52250000</v>
      </c>
      <c r="L550" s="440"/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87">
        <v>373</v>
      </c>
      <c r="B551" s="519" t="s">
        <v>1824</v>
      </c>
      <c r="C551" s="520"/>
      <c r="D551" s="529">
        <v>10000000</v>
      </c>
      <c r="E551" s="534">
        <v>0.05</v>
      </c>
      <c r="F551" s="529">
        <f>D551*E551</f>
        <v>500000</v>
      </c>
      <c r="G551" s="518">
        <v>500000</v>
      </c>
      <c r="H551" s="518" t="s">
        <v>1800</v>
      </c>
      <c r="I551" s="434">
        <v>122106943211</v>
      </c>
      <c r="J551" s="516" t="s">
        <v>1825</v>
      </c>
      <c r="K551" s="518">
        <f t="shared" si="41"/>
        <v>500000</v>
      </c>
      <c r="L551" s="433">
        <f t="shared" ref="L551:L557" si="42">F551-K551</f>
        <v>0</v>
      </c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87">
        <v>374</v>
      </c>
      <c r="B552" s="530" t="s">
        <v>1826</v>
      </c>
      <c r="C552" s="532"/>
      <c r="D552" s="531"/>
      <c r="E552" s="44"/>
      <c r="F552" s="531"/>
      <c r="G552" s="529">
        <v>4500000</v>
      </c>
      <c r="H552" s="529" t="s">
        <v>1800</v>
      </c>
      <c r="I552" s="434">
        <v>656284506175</v>
      </c>
      <c r="J552" s="516" t="s">
        <v>1827</v>
      </c>
      <c r="K552" s="529">
        <f t="shared" si="41"/>
        <v>4500000</v>
      </c>
      <c r="L552" s="440">
        <f t="shared" si="42"/>
        <v>-4500000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87">
        <v>375</v>
      </c>
      <c r="B553" s="535" t="s">
        <v>1834</v>
      </c>
      <c r="C553" s="537"/>
      <c r="D553" s="536">
        <v>100000000</v>
      </c>
      <c r="E553" s="540">
        <v>0.05</v>
      </c>
      <c r="F553" s="536">
        <f>D553*E553</f>
        <v>5000000</v>
      </c>
      <c r="G553" s="536">
        <v>5000000</v>
      </c>
      <c r="H553" s="536" t="s">
        <v>1831</v>
      </c>
      <c r="I553" s="434">
        <v>600441</v>
      </c>
      <c r="J553" s="516" t="s">
        <v>1835</v>
      </c>
      <c r="K553" s="536">
        <f t="shared" si="41"/>
        <v>5000000</v>
      </c>
      <c r="L553" s="433">
        <f t="shared" si="42"/>
        <v>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87">
        <v>376</v>
      </c>
      <c r="B554" s="535" t="s">
        <v>3645</v>
      </c>
      <c r="C554" s="537"/>
      <c r="D554" s="538"/>
      <c r="E554" s="44"/>
      <c r="F554" s="538"/>
      <c r="G554" s="536">
        <v>3000000</v>
      </c>
      <c r="H554" s="536" t="s">
        <v>1841</v>
      </c>
      <c r="I554" s="434">
        <v>656285880246</v>
      </c>
      <c r="J554" s="516" t="s">
        <v>1842</v>
      </c>
      <c r="K554" s="536">
        <f t="shared" si="41"/>
        <v>3000000</v>
      </c>
      <c r="L554" s="440">
        <f t="shared" si="42"/>
        <v>-3000000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87">
        <v>377</v>
      </c>
      <c r="B555" s="542" t="s">
        <v>1855</v>
      </c>
      <c r="C555" s="549" t="s">
        <v>1746</v>
      </c>
      <c r="D555" s="544">
        <v>153000000</v>
      </c>
      <c r="E555" s="553">
        <v>7.0000000000000007E-2</v>
      </c>
      <c r="F555" s="544">
        <f>D555*E555</f>
        <v>10710000.000000002</v>
      </c>
      <c r="G555" s="544">
        <v>10710000</v>
      </c>
      <c r="H555" s="544" t="s">
        <v>2064</v>
      </c>
      <c r="I555" s="434">
        <v>1.4010414054201999E+19</v>
      </c>
      <c r="J555" s="516" t="s">
        <v>2072</v>
      </c>
      <c r="K555" s="544">
        <f t="shared" si="41"/>
        <v>10710000</v>
      </c>
      <c r="L555" s="666">
        <f t="shared" si="42"/>
        <v>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87">
        <v>378</v>
      </c>
      <c r="B556" s="570" t="s">
        <v>1902</v>
      </c>
      <c r="C556" s="577" t="s">
        <v>916</v>
      </c>
      <c r="D556" s="573">
        <v>300000000</v>
      </c>
      <c r="E556" s="583">
        <v>5.0999999999999997E-2</v>
      </c>
      <c r="F556" s="573">
        <v>15500000</v>
      </c>
      <c r="G556" s="573">
        <v>15500000</v>
      </c>
      <c r="H556" s="573" t="s">
        <v>1894</v>
      </c>
      <c r="I556" s="434">
        <v>1.40104120542003E+19</v>
      </c>
      <c r="J556" s="516" t="s">
        <v>1988</v>
      </c>
      <c r="K556" s="573">
        <f>G556</f>
        <v>15500000</v>
      </c>
      <c r="L556" s="606">
        <f t="shared" si="42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3450">
        <v>379</v>
      </c>
      <c r="B557" s="3457" t="s">
        <v>1861</v>
      </c>
      <c r="C557" s="3570"/>
      <c r="D557" s="3442">
        <v>50000000</v>
      </c>
      <c r="E557" s="3444">
        <v>0.04</v>
      </c>
      <c r="F557" s="3442">
        <f>D557*E557</f>
        <v>2000000</v>
      </c>
      <c r="G557" s="573">
        <v>1600000</v>
      </c>
      <c r="H557" s="573" t="s">
        <v>1894</v>
      </c>
      <c r="I557" s="434">
        <v>89505</v>
      </c>
      <c r="J557" s="516" t="s">
        <v>1950</v>
      </c>
      <c r="K557" s="3442">
        <f>G557+G558</f>
        <v>2000000</v>
      </c>
      <c r="L557" s="3625">
        <f t="shared" si="42"/>
        <v>0</v>
      </c>
      <c r="M557" s="3625"/>
      <c r="N557" s="429"/>
      <c r="O557" s="429"/>
      <c r="P557" s="429"/>
      <c r="Q557" s="429"/>
      <c r="R557" s="429"/>
    </row>
    <row r="558" spans="1:18" ht="30" customHeight="1" x14ac:dyDescent="0.2">
      <c r="A558" s="3451"/>
      <c r="B558" s="3458"/>
      <c r="C558" s="3571"/>
      <c r="D558" s="3443"/>
      <c r="E558" s="3445"/>
      <c r="F558" s="3443"/>
      <c r="G558" s="573">
        <v>400000</v>
      </c>
      <c r="H558" s="573" t="s">
        <v>2064</v>
      </c>
      <c r="I558" s="434">
        <v>656296949744</v>
      </c>
      <c r="J558" s="516" t="s">
        <v>2071</v>
      </c>
      <c r="K558" s="3443"/>
      <c r="L558" s="3626"/>
      <c r="M558" s="3626"/>
      <c r="N558" s="429"/>
      <c r="O558" s="429"/>
      <c r="P558" s="429"/>
      <c r="Q558" s="429"/>
      <c r="R558" s="429"/>
    </row>
    <row r="559" spans="1:18" ht="30" customHeight="1" x14ac:dyDescent="0.2">
      <c r="A559" s="569">
        <v>380</v>
      </c>
      <c r="B559" s="570" t="s">
        <v>1907</v>
      </c>
      <c r="C559" s="577" t="s">
        <v>1131</v>
      </c>
      <c r="D559" s="573">
        <v>10000000</v>
      </c>
      <c r="E559" s="583">
        <v>0.05</v>
      </c>
      <c r="F559" s="573">
        <f>D559*E559</f>
        <v>500000</v>
      </c>
      <c r="G559" s="573">
        <v>2000000</v>
      </c>
      <c r="H559" s="573" t="s">
        <v>1894</v>
      </c>
      <c r="I559" s="434">
        <v>122205638275</v>
      </c>
      <c r="J559" s="516" t="s">
        <v>1990</v>
      </c>
      <c r="K559" s="573">
        <f>G559</f>
        <v>2000000</v>
      </c>
      <c r="L559" s="606">
        <f>F559-K559</f>
        <v>-1500000</v>
      </c>
      <c r="M559" s="428" t="s">
        <v>1991</v>
      </c>
      <c r="N559" s="429"/>
      <c r="O559" s="429"/>
      <c r="P559" s="429"/>
      <c r="Q559" s="429"/>
      <c r="R559" s="429"/>
    </row>
    <row r="560" spans="1:18" ht="30" customHeight="1" x14ac:dyDescent="0.2">
      <c r="A560" s="569">
        <v>381</v>
      </c>
      <c r="B560" s="570" t="s">
        <v>1910</v>
      </c>
      <c r="C560" s="577" t="s">
        <v>916</v>
      </c>
      <c r="D560" s="573">
        <v>50000000</v>
      </c>
      <c r="E560" s="583">
        <v>0.05</v>
      </c>
      <c r="F560" s="573">
        <f>D560*E560</f>
        <v>2500000</v>
      </c>
      <c r="G560" s="573">
        <v>2500000</v>
      </c>
      <c r="H560" s="573" t="s">
        <v>1848</v>
      </c>
      <c r="I560" s="434">
        <v>525279</v>
      </c>
      <c r="J560" s="516" t="s">
        <v>1911</v>
      </c>
      <c r="K560" s="573">
        <f>G560</f>
        <v>2500000</v>
      </c>
      <c r="L560" s="433">
        <f>F560-K560</f>
        <v>0</v>
      </c>
      <c r="M560" s="428"/>
      <c r="N560" s="429"/>
      <c r="O560" s="429"/>
      <c r="P560" s="429"/>
      <c r="Q560" s="429"/>
      <c r="R560" s="429"/>
    </row>
    <row r="561" spans="1:18" ht="30" customHeight="1" x14ac:dyDescent="0.2">
      <c r="A561" s="569">
        <v>382</v>
      </c>
      <c r="B561" s="570" t="s">
        <v>1925</v>
      </c>
      <c r="C561" s="577" t="s">
        <v>265</v>
      </c>
      <c r="D561" s="573">
        <v>150000000</v>
      </c>
      <c r="E561" s="583"/>
      <c r="F561" s="573"/>
      <c r="G561" s="573"/>
      <c r="H561" s="573"/>
      <c r="I561" s="434"/>
      <c r="J561" s="516"/>
      <c r="K561" s="573"/>
      <c r="L561" s="433"/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69">
        <v>383</v>
      </c>
      <c r="B562" s="570" t="s">
        <v>1936</v>
      </c>
      <c r="C562" s="577" t="s">
        <v>265</v>
      </c>
      <c r="D562" s="573">
        <v>10000000</v>
      </c>
      <c r="E562" s="583">
        <v>7.0000000000000007E-2</v>
      </c>
      <c r="F562" s="573">
        <f>D562*E562</f>
        <v>700000.00000000012</v>
      </c>
      <c r="G562" s="573"/>
      <c r="H562" s="573"/>
      <c r="I562" s="434"/>
      <c r="J562" s="516"/>
      <c r="K562" s="573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670">
        <v>384</v>
      </c>
      <c r="B563" s="591" t="s">
        <v>1981</v>
      </c>
      <c r="C563" s="600" t="s">
        <v>265</v>
      </c>
      <c r="D563" s="594">
        <v>150000000</v>
      </c>
      <c r="E563" s="605">
        <v>7.0000000000000007E-2</v>
      </c>
      <c r="F563" s="594">
        <f>D563*E563</f>
        <v>10500000.000000002</v>
      </c>
      <c r="G563" s="594">
        <v>10500000</v>
      </c>
      <c r="H563" s="594" t="s">
        <v>2064</v>
      </c>
      <c r="I563" s="434">
        <v>104140804055964</v>
      </c>
      <c r="J563" s="516" t="s">
        <v>2080</v>
      </c>
      <c r="K563" s="594">
        <f>G563</f>
        <v>10500000</v>
      </c>
      <c r="L563" s="606">
        <f>F563-K563</f>
        <v>0</v>
      </c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592">
        <v>385</v>
      </c>
      <c r="B564" s="591" t="s">
        <v>1997</v>
      </c>
      <c r="C564" s="600" t="s">
        <v>379</v>
      </c>
      <c r="D564" s="594">
        <v>12000000</v>
      </c>
      <c r="E564" s="605">
        <v>0.05</v>
      </c>
      <c r="F564" s="594">
        <f>D564*E564</f>
        <v>600000</v>
      </c>
      <c r="G564" s="594"/>
      <c r="H564" s="594"/>
      <c r="I564" s="434"/>
      <c r="J564" s="516"/>
      <c r="K564" s="594"/>
      <c r="L564" s="606"/>
      <c r="M564" s="428" t="s">
        <v>1998</v>
      </c>
      <c r="N564" s="429"/>
      <c r="O564" s="429"/>
      <c r="P564" s="429"/>
      <c r="Q564" s="429"/>
      <c r="R564" s="429"/>
    </row>
    <row r="565" spans="1:18" ht="30" customHeight="1" x14ac:dyDescent="0.2">
      <c r="A565" s="3450">
        <v>387</v>
      </c>
      <c r="B565" s="3457" t="s">
        <v>2043</v>
      </c>
      <c r="C565" s="3570"/>
      <c r="D565" s="3505"/>
      <c r="E565" s="3507"/>
      <c r="F565" s="3505"/>
      <c r="G565" s="644">
        <v>2400000</v>
      </c>
      <c r="H565" s="644" t="s">
        <v>2001</v>
      </c>
      <c r="I565" s="434">
        <v>888618690</v>
      </c>
      <c r="J565" s="516" t="s">
        <v>2044</v>
      </c>
      <c r="K565" s="644">
        <f>G565</f>
        <v>2400000</v>
      </c>
      <c r="L565" s="649">
        <f>F565-K565</f>
        <v>-2400000</v>
      </c>
      <c r="M565" s="428" t="s">
        <v>2388</v>
      </c>
      <c r="N565" s="429"/>
      <c r="O565" s="429"/>
      <c r="P565" s="429"/>
      <c r="Q565" s="429"/>
      <c r="R565" s="429"/>
    </row>
    <row r="566" spans="1:18" ht="30" customHeight="1" x14ac:dyDescent="0.2">
      <c r="A566" s="3451"/>
      <c r="B566" s="3458"/>
      <c r="C566" s="3571"/>
      <c r="D566" s="3506"/>
      <c r="E566" s="3508"/>
      <c r="F566" s="3506"/>
      <c r="G566" s="797">
        <v>2400000</v>
      </c>
      <c r="H566" s="797" t="s">
        <v>2340</v>
      </c>
      <c r="I566" s="434">
        <v>289768</v>
      </c>
      <c r="J566" s="516" t="s">
        <v>2387</v>
      </c>
      <c r="K566" s="797">
        <f>G566</f>
        <v>2400000</v>
      </c>
      <c r="L566" s="799"/>
      <c r="M566" s="428" t="s">
        <v>1379</v>
      </c>
      <c r="N566" s="429"/>
      <c r="O566" s="429"/>
      <c r="P566" s="429"/>
      <c r="Q566" s="429"/>
      <c r="R566" s="429"/>
    </row>
    <row r="567" spans="1:18" ht="30" customHeight="1" x14ac:dyDescent="0.2">
      <c r="A567" s="687">
        <v>388</v>
      </c>
      <c r="B567" s="650" t="s">
        <v>3227</v>
      </c>
      <c r="C567" s="1333" t="s">
        <v>1378</v>
      </c>
      <c r="D567" s="1328">
        <v>200000000</v>
      </c>
      <c r="E567" s="1343">
        <v>0.06</v>
      </c>
      <c r="F567" s="1328">
        <f>D567*E567</f>
        <v>12000000</v>
      </c>
      <c r="G567" s="655">
        <v>23000000</v>
      </c>
      <c r="H567" s="655" t="s">
        <v>2001</v>
      </c>
      <c r="I567" s="434">
        <v>104132024147435</v>
      </c>
      <c r="J567" s="516" t="s">
        <v>2063</v>
      </c>
      <c r="K567" s="655">
        <f>G567</f>
        <v>23000000</v>
      </c>
      <c r="L567" s="665">
        <f>F567-K567</f>
        <v>-11000000</v>
      </c>
      <c r="M567" s="428"/>
      <c r="N567" s="429"/>
      <c r="O567" s="429"/>
      <c r="P567" s="429"/>
      <c r="Q567" s="429"/>
      <c r="R567" s="429"/>
    </row>
    <row r="568" spans="1:18" ht="30" customHeight="1" x14ac:dyDescent="0.2">
      <c r="A568" s="687">
        <v>389</v>
      </c>
      <c r="B568" s="650" t="s">
        <v>2073</v>
      </c>
      <c r="C568" s="657"/>
      <c r="D568" s="655">
        <v>30000000</v>
      </c>
      <c r="E568" s="667">
        <v>0.05</v>
      </c>
      <c r="F568" s="655">
        <f>D568*E568</f>
        <v>1500000</v>
      </c>
      <c r="G568" s="655">
        <v>1500000</v>
      </c>
      <c r="H568" s="655" t="s">
        <v>2064</v>
      </c>
      <c r="I568" s="434">
        <v>153482</v>
      </c>
      <c r="J568" s="516" t="s">
        <v>2074</v>
      </c>
      <c r="K568" s="655">
        <f>G568</f>
        <v>1500000</v>
      </c>
      <c r="L568" s="666">
        <f>F568-K568</f>
        <v>0</v>
      </c>
      <c r="M568" s="428" t="s">
        <v>2075</v>
      </c>
      <c r="N568" s="429"/>
      <c r="O568" s="429"/>
      <c r="P568" s="429"/>
      <c r="Q568" s="429"/>
      <c r="R568" s="429"/>
    </row>
    <row r="569" spans="1:18" ht="30" customHeight="1" x14ac:dyDescent="0.2">
      <c r="A569" s="687">
        <v>390</v>
      </c>
      <c r="B569" s="672" t="s">
        <v>2122</v>
      </c>
      <c r="C569" s="679"/>
      <c r="D569" s="674">
        <v>5000000</v>
      </c>
      <c r="E569" s="680">
        <v>0.05</v>
      </c>
      <c r="F569" s="674">
        <f>D569*E569</f>
        <v>250000</v>
      </c>
      <c r="G569" s="674"/>
      <c r="H569" s="674"/>
      <c r="I569" s="434"/>
      <c r="J569" s="516"/>
      <c r="K569" s="674"/>
      <c r="L569" s="681"/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3450">
        <v>391</v>
      </c>
      <c r="B570" s="3457" t="s">
        <v>2129</v>
      </c>
      <c r="C570" s="3570" t="s">
        <v>2130</v>
      </c>
      <c r="D570" s="674">
        <v>1158000000</v>
      </c>
      <c r="E570" s="680">
        <v>0.05</v>
      </c>
      <c r="F570" s="674">
        <v>58000000</v>
      </c>
      <c r="G570" s="674">
        <v>58000000</v>
      </c>
      <c r="H570" s="674" t="s">
        <v>2291</v>
      </c>
      <c r="I570" s="434">
        <v>78518</v>
      </c>
      <c r="J570" s="516" t="s">
        <v>2409</v>
      </c>
      <c r="K570" s="674">
        <f>G570</f>
        <v>58000000</v>
      </c>
      <c r="L570" s="681">
        <f>F570-K570</f>
        <v>0</v>
      </c>
      <c r="M570" s="3620" t="s">
        <v>2497</v>
      </c>
      <c r="N570" s="429"/>
      <c r="O570" s="429"/>
      <c r="P570" s="429"/>
      <c r="Q570" s="429"/>
      <c r="R570" s="429"/>
    </row>
    <row r="571" spans="1:18" ht="30" customHeight="1" x14ac:dyDescent="0.2">
      <c r="A571" s="3451"/>
      <c r="B571" s="3458"/>
      <c r="C571" s="3571"/>
      <c r="D571" s="3325" t="s">
        <v>2494</v>
      </c>
      <c r="E571" s="3340"/>
      <c r="F571" s="3341"/>
      <c r="G571" s="3325" t="s">
        <v>2496</v>
      </c>
      <c r="H571" s="3340"/>
      <c r="I571" s="3340"/>
      <c r="J571" s="3340"/>
      <c r="K571" s="3341"/>
      <c r="L571" s="865"/>
      <c r="M571" s="3621"/>
      <c r="N571" s="429"/>
      <c r="O571" s="429"/>
      <c r="P571" s="429"/>
      <c r="Q571" s="429"/>
      <c r="R571" s="429"/>
    </row>
    <row r="572" spans="1:18" ht="30" customHeight="1" x14ac:dyDescent="0.2">
      <c r="A572" s="699">
        <v>392</v>
      </c>
      <c r="B572" s="698" t="s">
        <v>2174</v>
      </c>
      <c r="C572" s="702" t="s">
        <v>1349</v>
      </c>
      <c r="D572" s="700">
        <v>50000000</v>
      </c>
      <c r="E572" s="707">
        <v>0.05</v>
      </c>
      <c r="F572" s="700">
        <f>D572*E572</f>
        <v>2500000</v>
      </c>
      <c r="G572" s="700"/>
      <c r="H572" s="700"/>
      <c r="I572" s="434"/>
      <c r="J572" s="516"/>
      <c r="K572" s="700"/>
      <c r="L572" s="706"/>
      <c r="M572" s="428" t="s">
        <v>2162</v>
      </c>
      <c r="N572" s="429"/>
      <c r="O572" s="429"/>
      <c r="P572" s="429"/>
      <c r="Q572" s="429"/>
      <c r="R572" s="429"/>
    </row>
    <row r="573" spans="1:18" ht="30" customHeight="1" x14ac:dyDescent="0.2">
      <c r="A573" s="699">
        <v>393</v>
      </c>
      <c r="B573" s="698" t="s">
        <v>2166</v>
      </c>
      <c r="C573" s="702"/>
      <c r="D573" s="701"/>
      <c r="E573" s="44"/>
      <c r="F573" s="701"/>
      <c r="G573" s="700">
        <v>1000000</v>
      </c>
      <c r="H573" s="700" t="s">
        <v>2131</v>
      </c>
      <c r="I573" s="434">
        <v>937493</v>
      </c>
      <c r="J573" s="516" t="s">
        <v>2167</v>
      </c>
      <c r="K573" s="700">
        <f>G573</f>
        <v>1000000</v>
      </c>
      <c r="L573" s="708">
        <f>F573-K573</f>
        <v>-1000000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699"/>
      <c r="B574" s="722" t="s">
        <v>2178</v>
      </c>
      <c r="C574" s="723" t="s">
        <v>1378</v>
      </c>
      <c r="D574" s="724">
        <v>600000000</v>
      </c>
      <c r="E574" s="725">
        <v>0.06</v>
      </c>
      <c r="F574" s="724">
        <f>D574*E574</f>
        <v>36000000</v>
      </c>
      <c r="G574" s="700"/>
      <c r="H574" s="700"/>
      <c r="I574" s="434"/>
      <c r="J574" s="516"/>
      <c r="K574" s="700"/>
      <c r="L574" s="706"/>
      <c r="M574" s="428" t="s">
        <v>2162</v>
      </c>
      <c r="N574" s="429"/>
      <c r="O574" s="429"/>
      <c r="P574" s="429"/>
      <c r="Q574" s="429"/>
      <c r="R574" s="429"/>
    </row>
    <row r="575" spans="1:18" ht="30" customHeight="1" x14ac:dyDescent="0.2">
      <c r="A575" s="699"/>
      <c r="B575" s="722" t="s">
        <v>2175</v>
      </c>
      <c r="C575" s="723" t="s">
        <v>1378</v>
      </c>
      <c r="D575" s="724">
        <v>310000000</v>
      </c>
      <c r="E575" s="725">
        <v>0.06</v>
      </c>
      <c r="F575" s="724">
        <f t="shared" ref="F575:F578" si="43">D575*E575</f>
        <v>18600000</v>
      </c>
      <c r="G575" s="700"/>
      <c r="H575" s="700"/>
      <c r="I575" s="434"/>
      <c r="J575" s="516"/>
      <c r="K575" s="700"/>
      <c r="L575" s="706"/>
      <c r="M575" s="428" t="s">
        <v>2162</v>
      </c>
      <c r="N575" s="429"/>
      <c r="O575" s="429"/>
      <c r="P575" s="429"/>
      <c r="Q575" s="429"/>
      <c r="R575" s="429"/>
    </row>
    <row r="576" spans="1:18" ht="30" customHeight="1" x14ac:dyDescent="0.2">
      <c r="A576" s="699"/>
      <c r="B576" s="722" t="s">
        <v>2179</v>
      </c>
      <c r="C576" s="723" t="s">
        <v>1378</v>
      </c>
      <c r="D576" s="724">
        <v>50000000</v>
      </c>
      <c r="E576" s="725">
        <v>0.06</v>
      </c>
      <c r="F576" s="724">
        <f t="shared" si="43"/>
        <v>3000000</v>
      </c>
      <c r="G576" s="700"/>
      <c r="H576" s="700"/>
      <c r="I576" s="434"/>
      <c r="J576" s="516"/>
      <c r="K576" s="700"/>
      <c r="L576" s="706"/>
      <c r="M576" s="428" t="s">
        <v>2162</v>
      </c>
      <c r="N576" s="429"/>
      <c r="O576" s="429"/>
      <c r="P576" s="429"/>
      <c r="Q576" s="429"/>
      <c r="R576" s="429"/>
    </row>
    <row r="577" spans="1:18" ht="30" customHeight="1" x14ac:dyDescent="0.2">
      <c r="A577" s="699"/>
      <c r="B577" s="722" t="s">
        <v>2176</v>
      </c>
      <c r="C577" s="723" t="s">
        <v>1378</v>
      </c>
      <c r="D577" s="724">
        <v>110000000</v>
      </c>
      <c r="E577" s="725">
        <v>0.06</v>
      </c>
      <c r="F577" s="724">
        <f t="shared" si="43"/>
        <v>6600000</v>
      </c>
      <c r="G577" s="700"/>
      <c r="H577" s="700"/>
      <c r="I577" s="434"/>
      <c r="J577" s="516"/>
      <c r="K577" s="700"/>
      <c r="L577" s="706"/>
      <c r="M577" s="428" t="s">
        <v>2162</v>
      </c>
      <c r="N577" s="429"/>
      <c r="O577" s="429"/>
      <c r="P577" s="429"/>
      <c r="Q577" s="429"/>
      <c r="R577" s="429"/>
    </row>
    <row r="578" spans="1:18" ht="30" customHeight="1" x14ac:dyDescent="0.2">
      <c r="A578" s="699"/>
      <c r="B578" s="722" t="s">
        <v>2177</v>
      </c>
      <c r="C578" s="723" t="s">
        <v>1378</v>
      </c>
      <c r="D578" s="724">
        <v>100000000</v>
      </c>
      <c r="E578" s="725">
        <v>0.06</v>
      </c>
      <c r="F578" s="724">
        <f t="shared" si="43"/>
        <v>6000000</v>
      </c>
      <c r="G578" s="700"/>
      <c r="H578" s="700"/>
      <c r="I578" s="434"/>
      <c r="J578" s="516"/>
      <c r="K578" s="700"/>
      <c r="L578" s="706"/>
      <c r="M578" s="428" t="s">
        <v>2162</v>
      </c>
      <c r="N578" s="429"/>
      <c r="O578" s="429"/>
      <c r="P578" s="429"/>
      <c r="Q578" s="429"/>
      <c r="R578" s="429"/>
    </row>
    <row r="579" spans="1:18" ht="30" customHeight="1" x14ac:dyDescent="0.2">
      <c r="A579" s="699"/>
      <c r="B579" s="722"/>
      <c r="C579" s="723"/>
      <c r="D579" s="724">
        <f>SUM(D574:D578)</f>
        <v>1170000000</v>
      </c>
      <c r="E579" s="725"/>
      <c r="F579" s="724">
        <f>SUM(F574:F578)</f>
        <v>70200000</v>
      </c>
      <c r="G579" s="700"/>
      <c r="H579" s="700"/>
      <c r="I579" s="434"/>
      <c r="J579" s="516"/>
      <c r="K579" s="700"/>
      <c r="L579" s="706"/>
      <c r="M579" s="428"/>
      <c r="N579" s="429"/>
      <c r="O579" s="429"/>
      <c r="P579" s="429"/>
      <c r="Q579" s="429"/>
      <c r="R579" s="429"/>
    </row>
    <row r="580" spans="1:18" ht="30" customHeight="1" x14ac:dyDescent="0.2">
      <c r="A580" s="3450"/>
      <c r="B580" s="3457" t="s">
        <v>2195</v>
      </c>
      <c r="C580" s="3570"/>
      <c r="D580" s="3442">
        <v>200000000</v>
      </c>
      <c r="E580" s="3444">
        <v>7.0000000000000007E-2</v>
      </c>
      <c r="F580" s="3442">
        <f>D580*E580</f>
        <v>14000000.000000002</v>
      </c>
      <c r="G580" s="925">
        <v>10000000</v>
      </c>
      <c r="H580" s="925" t="s">
        <v>2180</v>
      </c>
      <c r="I580" s="434">
        <v>405529587082</v>
      </c>
      <c r="J580" s="516" t="s">
        <v>2196</v>
      </c>
      <c r="K580" s="3442">
        <f>G580+G581</f>
        <v>14000000</v>
      </c>
      <c r="L580" s="3625">
        <f>F580-K580</f>
        <v>0</v>
      </c>
      <c r="M580" s="3625"/>
      <c r="N580" s="429"/>
      <c r="O580" s="429"/>
      <c r="P580" s="429"/>
      <c r="Q580" s="429"/>
      <c r="R580" s="429"/>
    </row>
    <row r="581" spans="1:18" ht="30" customHeight="1" x14ac:dyDescent="0.2">
      <c r="A581" s="3451"/>
      <c r="B581" s="3458"/>
      <c r="C581" s="3571"/>
      <c r="D581" s="3443"/>
      <c r="E581" s="3445"/>
      <c r="F581" s="3443"/>
      <c r="G581" s="925">
        <v>4000000</v>
      </c>
      <c r="H581" s="925" t="s">
        <v>2572</v>
      </c>
      <c r="I581" s="434">
        <v>122758388084</v>
      </c>
      <c r="J581" s="516" t="s">
        <v>2586</v>
      </c>
      <c r="K581" s="3443"/>
      <c r="L581" s="3626"/>
      <c r="M581" s="3626"/>
      <c r="N581" s="429"/>
      <c r="O581" s="429"/>
      <c r="P581" s="429"/>
      <c r="Q581" s="429"/>
      <c r="R581" s="429"/>
    </row>
    <row r="582" spans="1:18" ht="30" customHeight="1" x14ac:dyDescent="0.2">
      <c r="A582" s="713"/>
      <c r="B582" s="712" t="s">
        <v>2215</v>
      </c>
      <c r="C582" s="716"/>
      <c r="D582" s="715"/>
      <c r="E582" s="44"/>
      <c r="F582" s="715"/>
      <c r="G582" s="714">
        <v>650000</v>
      </c>
      <c r="H582" s="714" t="s">
        <v>2198</v>
      </c>
      <c r="I582" s="434">
        <v>122386692351</v>
      </c>
      <c r="J582" s="516" t="s">
        <v>2216</v>
      </c>
      <c r="K582" s="714">
        <f>G582</f>
        <v>650000</v>
      </c>
      <c r="L582" s="720">
        <f>F582-K582</f>
        <v>-650000</v>
      </c>
      <c r="M582" s="428"/>
      <c r="N582" s="429"/>
      <c r="O582" s="429"/>
      <c r="P582" s="429"/>
      <c r="Q582" s="429"/>
      <c r="R582" s="429"/>
    </row>
    <row r="583" spans="1:18" ht="30" customHeight="1" x14ac:dyDescent="0.2">
      <c r="A583" s="734"/>
      <c r="B583" s="732" t="s">
        <v>2254</v>
      </c>
      <c r="C583" s="743"/>
      <c r="D583" s="735">
        <v>50000000</v>
      </c>
      <c r="E583" s="748">
        <v>0.04</v>
      </c>
      <c r="F583" s="735">
        <f>D583*E583</f>
        <v>2000000</v>
      </c>
      <c r="G583" s="735">
        <v>2000000</v>
      </c>
      <c r="H583" s="735" t="s">
        <v>2273</v>
      </c>
      <c r="I583" s="434">
        <v>122424700656</v>
      </c>
      <c r="J583" s="516" t="s">
        <v>2295</v>
      </c>
      <c r="K583" s="735">
        <f>G583</f>
        <v>2000000</v>
      </c>
      <c r="L583" s="747">
        <f>F583-G583</f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4"/>
      <c r="B584" s="732" t="s">
        <v>2255</v>
      </c>
      <c r="C584" s="743"/>
      <c r="D584" s="735">
        <v>100000000</v>
      </c>
      <c r="E584" s="748">
        <v>0.04</v>
      </c>
      <c r="F584" s="735">
        <f>D584*E584</f>
        <v>4000000</v>
      </c>
      <c r="G584" s="735"/>
      <c r="H584" s="735"/>
      <c r="I584" s="434"/>
      <c r="J584" s="516"/>
      <c r="K584" s="735"/>
      <c r="L584" s="747"/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4"/>
      <c r="B585" s="732" t="s">
        <v>2332</v>
      </c>
      <c r="C585" s="743" t="s">
        <v>1378</v>
      </c>
      <c r="D585" s="735">
        <v>150000000</v>
      </c>
      <c r="E585" s="748">
        <v>0.05</v>
      </c>
      <c r="F585" s="735">
        <f>D585*E585</f>
        <v>7500000</v>
      </c>
      <c r="G585" s="3615" t="s">
        <v>2333</v>
      </c>
      <c r="H585" s="3616"/>
      <c r="I585" s="3616"/>
      <c r="J585" s="3616"/>
      <c r="K585" s="3616"/>
      <c r="L585" s="3617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4"/>
      <c r="B586" s="732" t="s">
        <v>2334</v>
      </c>
      <c r="C586" s="743" t="s">
        <v>1378</v>
      </c>
      <c r="D586" s="735">
        <v>30000000</v>
      </c>
      <c r="E586" s="748">
        <v>0.05</v>
      </c>
      <c r="F586" s="735">
        <f>D586*E586</f>
        <v>1500000</v>
      </c>
      <c r="G586" s="3615" t="s">
        <v>2333</v>
      </c>
      <c r="H586" s="3616"/>
      <c r="I586" s="3616"/>
      <c r="J586" s="3616"/>
      <c r="K586" s="3616"/>
      <c r="L586" s="3617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4"/>
      <c r="B587" s="732" t="s">
        <v>2405</v>
      </c>
      <c r="C587" s="743" t="s">
        <v>1354</v>
      </c>
      <c r="D587" s="735">
        <v>600000000</v>
      </c>
      <c r="E587" s="748">
        <v>0.05</v>
      </c>
      <c r="F587" s="735">
        <f>D587*E587</f>
        <v>30000000</v>
      </c>
      <c r="G587" s="735"/>
      <c r="H587" s="735"/>
      <c r="I587" s="434"/>
      <c r="J587" s="516"/>
      <c r="K587" s="735"/>
      <c r="L587" s="747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820"/>
      <c r="B588" s="818" t="s">
        <v>2422</v>
      </c>
      <c r="C588" s="828"/>
      <c r="D588" s="823"/>
      <c r="E588" s="44"/>
      <c r="F588" s="823"/>
      <c r="G588" s="822">
        <v>1430000</v>
      </c>
      <c r="H588" s="822" t="s">
        <v>2392</v>
      </c>
      <c r="I588" s="434">
        <v>891721761</v>
      </c>
      <c r="J588" s="516" t="s">
        <v>2423</v>
      </c>
      <c r="K588" s="822">
        <f t="shared" ref="K588:K592" si="44">G588</f>
        <v>1430000</v>
      </c>
      <c r="L588" s="831"/>
      <c r="M588" s="428" t="s">
        <v>2205</v>
      </c>
      <c r="N588" s="429"/>
      <c r="O588" s="429"/>
      <c r="P588" s="429"/>
      <c r="Q588" s="429"/>
      <c r="R588" s="429"/>
    </row>
    <row r="589" spans="1:18" ht="30" customHeight="1" x14ac:dyDescent="0.2">
      <c r="A589" s="820"/>
      <c r="B589" s="824" t="s">
        <v>2433</v>
      </c>
      <c r="C589" s="836"/>
      <c r="D589" s="823"/>
      <c r="E589" s="44"/>
      <c r="F589" s="823"/>
      <c r="G589" s="823">
        <v>9000000</v>
      </c>
      <c r="H589" s="823" t="s">
        <v>2426</v>
      </c>
      <c r="I589" s="837">
        <v>892192819</v>
      </c>
      <c r="J589" s="838" t="s">
        <v>2434</v>
      </c>
      <c r="K589" s="823">
        <f t="shared" si="44"/>
        <v>9000000</v>
      </c>
      <c r="L589" s="831">
        <f>F589-K589</f>
        <v>-9000000</v>
      </c>
      <c r="M589" s="428" t="s">
        <v>2205</v>
      </c>
      <c r="N589" s="429"/>
      <c r="O589" s="429"/>
      <c r="P589" s="429"/>
      <c r="Q589" s="429"/>
      <c r="R589" s="429"/>
    </row>
    <row r="590" spans="1:18" ht="30" customHeight="1" x14ac:dyDescent="0.2">
      <c r="A590" s="844"/>
      <c r="B590" s="843" t="s">
        <v>2474</v>
      </c>
      <c r="C590" s="849"/>
      <c r="D590" s="848"/>
      <c r="E590" s="44"/>
      <c r="F590" s="848"/>
      <c r="G590" s="846">
        <v>2000000</v>
      </c>
      <c r="H590" s="846" t="s">
        <v>2475</v>
      </c>
      <c r="I590" s="434">
        <v>869814</v>
      </c>
      <c r="J590" s="516" t="s">
        <v>2476</v>
      </c>
      <c r="K590" s="846">
        <f t="shared" si="44"/>
        <v>2000000</v>
      </c>
      <c r="L590" s="855">
        <f>F590-K590</f>
        <v>-2000000</v>
      </c>
      <c r="M590" s="428" t="s">
        <v>4171</v>
      </c>
      <c r="N590" s="429"/>
      <c r="O590" s="429"/>
      <c r="P590" s="429"/>
      <c r="Q590" s="429"/>
      <c r="R590" s="429"/>
    </row>
    <row r="591" spans="1:18" ht="30" customHeight="1" x14ac:dyDescent="0.2">
      <c r="A591" s="873"/>
      <c r="B591" s="872" t="s">
        <v>2515</v>
      </c>
      <c r="C591" s="876"/>
      <c r="D591" s="875"/>
      <c r="E591" s="44"/>
      <c r="F591" s="875"/>
      <c r="G591" s="869">
        <v>4290000</v>
      </c>
      <c r="H591" s="869" t="s">
        <v>2498</v>
      </c>
      <c r="I591" s="434">
        <v>939748</v>
      </c>
      <c r="J591" s="516" t="s">
        <v>2516</v>
      </c>
      <c r="K591" s="869">
        <f t="shared" si="44"/>
        <v>4290000</v>
      </c>
      <c r="L591" s="880">
        <f>F591-K591</f>
        <v>-4290000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73"/>
      <c r="B592" s="872" t="s">
        <v>2518</v>
      </c>
      <c r="C592" s="876"/>
      <c r="D592" s="3325" t="s">
        <v>4907</v>
      </c>
      <c r="E592" s="3340"/>
      <c r="F592" s="3341"/>
      <c r="G592" s="869">
        <v>40000000</v>
      </c>
      <c r="H592" s="869" t="s">
        <v>2498</v>
      </c>
      <c r="I592" s="434">
        <v>78505</v>
      </c>
      <c r="J592" s="516" t="s">
        <v>2519</v>
      </c>
      <c r="K592" s="869">
        <f t="shared" si="44"/>
        <v>40000000</v>
      </c>
      <c r="L592" s="3238"/>
      <c r="M592" s="428" t="s">
        <v>4423</v>
      </c>
      <c r="N592" s="429"/>
      <c r="O592" s="429"/>
      <c r="P592" s="429"/>
      <c r="Q592" s="429"/>
      <c r="R592" s="429"/>
    </row>
    <row r="593" spans="1:18" ht="30" customHeight="1" x14ac:dyDescent="0.2">
      <c r="A593" s="873"/>
      <c r="B593" s="872" t="s">
        <v>2535</v>
      </c>
      <c r="C593" s="876"/>
      <c r="D593" s="875">
        <v>100000000</v>
      </c>
      <c r="E593" s="44"/>
      <c r="F593" s="875"/>
      <c r="G593" s="3325"/>
      <c r="H593" s="3340"/>
      <c r="I593" s="3340"/>
      <c r="J593" s="3340"/>
      <c r="K593" s="3341"/>
      <c r="L593" s="880"/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873"/>
      <c r="B594" s="872" t="s">
        <v>2537</v>
      </c>
      <c r="C594" s="876"/>
      <c r="D594" s="886">
        <v>20000000</v>
      </c>
      <c r="E594" s="895">
        <v>0.05</v>
      </c>
      <c r="F594" s="886">
        <f>D594*E594</f>
        <v>1000000</v>
      </c>
      <c r="G594" s="886"/>
      <c r="H594" s="886"/>
      <c r="I594" s="434"/>
      <c r="J594" s="516"/>
      <c r="K594" s="886"/>
      <c r="L594" s="892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3450"/>
      <c r="B595" s="3457" t="s">
        <v>2602</v>
      </c>
      <c r="C595" s="3570" t="s">
        <v>916</v>
      </c>
      <c r="D595" s="954">
        <v>51000000</v>
      </c>
      <c r="E595" s="960">
        <v>0.06</v>
      </c>
      <c r="F595" s="954">
        <f>D595*E595</f>
        <v>3060000</v>
      </c>
      <c r="G595" s="3478" t="s">
        <v>2648</v>
      </c>
      <c r="H595" s="3479"/>
      <c r="I595" s="3479"/>
      <c r="J595" s="3479"/>
      <c r="K595" s="3479"/>
      <c r="L595" s="3480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3451"/>
      <c r="B596" s="3458"/>
      <c r="C596" s="3571"/>
      <c r="D596" s="1001">
        <v>57000000</v>
      </c>
      <c r="E596" s="1007">
        <v>0.06</v>
      </c>
      <c r="F596" s="1001">
        <f>D596*E596</f>
        <v>3420000</v>
      </c>
      <c r="G596" s="3478" t="s">
        <v>2649</v>
      </c>
      <c r="H596" s="3479"/>
      <c r="I596" s="3479"/>
      <c r="J596" s="3479"/>
      <c r="K596" s="3480"/>
      <c r="L596" s="1004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952"/>
      <c r="B597" s="953" t="s">
        <v>2651</v>
      </c>
      <c r="C597" s="958" t="s">
        <v>1110</v>
      </c>
      <c r="D597" s="954">
        <v>80000000</v>
      </c>
      <c r="E597" s="960">
        <v>0.05</v>
      </c>
      <c r="F597" s="954">
        <f>D597*E597</f>
        <v>4000000</v>
      </c>
      <c r="G597" s="3610" t="s">
        <v>2331</v>
      </c>
      <c r="H597" s="3611"/>
      <c r="I597" s="3611"/>
      <c r="J597" s="3611"/>
      <c r="K597" s="3611"/>
      <c r="L597" s="3612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52"/>
      <c r="B598" s="953" t="s">
        <v>3013</v>
      </c>
      <c r="C598" s="958" t="s">
        <v>1817</v>
      </c>
      <c r="D598" s="954">
        <v>25000000</v>
      </c>
      <c r="E598" s="960">
        <v>0.04</v>
      </c>
      <c r="F598" s="954">
        <f>D598*E598</f>
        <v>1000000</v>
      </c>
      <c r="G598" s="954"/>
      <c r="H598" s="954"/>
      <c r="I598" s="434"/>
      <c r="J598" s="516"/>
      <c r="K598" s="954"/>
      <c r="L598" s="959"/>
      <c r="M598" s="2193" t="s">
        <v>4170</v>
      </c>
      <c r="N598" s="429"/>
      <c r="O598" s="429"/>
      <c r="P598" s="429"/>
      <c r="Q598" s="429"/>
      <c r="R598" s="429"/>
    </row>
    <row r="599" spans="1:18" ht="30" customHeight="1" x14ac:dyDescent="0.2">
      <c r="A599" s="4"/>
      <c r="B599" s="45"/>
      <c r="C599" s="380"/>
      <c r="D599" s="368"/>
      <c r="E599" s="20"/>
      <c r="F599" s="368"/>
      <c r="G599" s="368"/>
      <c r="H599" s="368"/>
      <c r="I599" s="374"/>
      <c r="J599" s="24"/>
      <c r="K599" s="368"/>
      <c r="L599" s="368"/>
      <c r="M599" s="45"/>
    </row>
  </sheetData>
  <mergeCells count="765">
    <mergeCell ref="D453:F454"/>
    <mergeCell ref="A145:A146"/>
    <mergeCell ref="A267:A268"/>
    <mergeCell ref="A236:A237"/>
    <mergeCell ref="B236:B237"/>
    <mergeCell ref="A261:A262"/>
    <mergeCell ref="D592:F592"/>
    <mergeCell ref="C570:C571"/>
    <mergeCell ref="D571:F571"/>
    <mergeCell ref="C565:C566"/>
    <mergeCell ref="D565:D566"/>
    <mergeCell ref="C557:C558"/>
    <mergeCell ref="C532:C538"/>
    <mergeCell ref="E506:E507"/>
    <mergeCell ref="F506:F507"/>
    <mergeCell ref="B511:B512"/>
    <mergeCell ref="C511:C512"/>
    <mergeCell ref="D511:D512"/>
    <mergeCell ref="E511:E512"/>
    <mergeCell ref="F511:F512"/>
    <mergeCell ref="A511:A512"/>
    <mergeCell ref="B532:B538"/>
    <mergeCell ref="B595:B596"/>
    <mergeCell ref="C595:C596"/>
    <mergeCell ref="G596:K596"/>
    <mergeCell ref="A595:A596"/>
    <mergeCell ref="B422:B423"/>
    <mergeCell ref="G593:K593"/>
    <mergeCell ref="D532:D538"/>
    <mergeCell ref="K532:K536"/>
    <mergeCell ref="K557:K558"/>
    <mergeCell ref="E565:E566"/>
    <mergeCell ref="J424:J426"/>
    <mergeCell ref="J436:J437"/>
    <mergeCell ref="K436:K437"/>
    <mergeCell ref="E436:F437"/>
    <mergeCell ref="G436:G437"/>
    <mergeCell ref="H436:H437"/>
    <mergeCell ref="I436:I437"/>
    <mergeCell ref="D506:D507"/>
    <mergeCell ref="G507:K507"/>
    <mergeCell ref="C506:C508"/>
    <mergeCell ref="G508:K508"/>
    <mergeCell ref="H440:K441"/>
    <mergeCell ref="K537:K538"/>
    <mergeCell ref="B565:B566"/>
    <mergeCell ref="E428:E429"/>
    <mergeCell ref="A455:A456"/>
    <mergeCell ref="A469:A470"/>
    <mergeCell ref="A457:A458"/>
    <mergeCell ref="K502:K504"/>
    <mergeCell ref="C435:C437"/>
    <mergeCell ref="C455:C456"/>
    <mergeCell ref="D428:D429"/>
    <mergeCell ref="K469:K470"/>
    <mergeCell ref="A449:A454"/>
    <mergeCell ref="F428:F429"/>
    <mergeCell ref="G440:G441"/>
    <mergeCell ref="D436:D437"/>
    <mergeCell ref="A435:A437"/>
    <mergeCell ref="F449:F450"/>
    <mergeCell ref="B435:B437"/>
    <mergeCell ref="C449:C454"/>
    <mergeCell ref="A430:A431"/>
    <mergeCell ref="A428:A429"/>
    <mergeCell ref="A497:A501"/>
    <mergeCell ref="B502:B505"/>
    <mergeCell ref="C502:C505"/>
    <mergeCell ref="D449:D450"/>
    <mergeCell ref="D457:D458"/>
    <mergeCell ref="G597:L597"/>
    <mergeCell ref="D322:D323"/>
    <mergeCell ref="E322:E323"/>
    <mergeCell ref="F322:F323"/>
    <mergeCell ref="K322:K323"/>
    <mergeCell ref="L322:L323"/>
    <mergeCell ref="D387:D390"/>
    <mergeCell ref="E387:E390"/>
    <mergeCell ref="F387:F390"/>
    <mergeCell ref="E383:E384"/>
    <mergeCell ref="K398:K399"/>
    <mergeCell ref="D402:J402"/>
    <mergeCell ref="D408:E408"/>
    <mergeCell ref="D401:E401"/>
    <mergeCell ref="L580:L581"/>
    <mergeCell ref="K418:K419"/>
    <mergeCell ref="G595:L595"/>
    <mergeCell ref="G342:K342"/>
    <mergeCell ref="L398:L399"/>
    <mergeCell ref="L428:L429"/>
    <mergeCell ref="K453:K454"/>
    <mergeCell ref="I462:I463"/>
    <mergeCell ref="K580:K581"/>
    <mergeCell ref="L537:L538"/>
    <mergeCell ref="M580:M581"/>
    <mergeCell ref="G451:J451"/>
    <mergeCell ref="L449:L450"/>
    <mergeCell ref="B459:B460"/>
    <mergeCell ref="E469:E470"/>
    <mergeCell ref="F469:F470"/>
    <mergeCell ref="C459:C460"/>
    <mergeCell ref="D459:D460"/>
    <mergeCell ref="L462:L463"/>
    <mergeCell ref="L491:L492"/>
    <mergeCell ref="M557:M558"/>
    <mergeCell ref="M469:M470"/>
    <mergeCell ref="K462:K463"/>
    <mergeCell ref="E457:E458"/>
    <mergeCell ref="F457:F458"/>
    <mergeCell ref="E459:F460"/>
    <mergeCell ref="K457:K458"/>
    <mergeCell ref="K449:K450"/>
    <mergeCell ref="E449:E450"/>
    <mergeCell ref="E532:E538"/>
    <mergeCell ref="L557:L558"/>
    <mergeCell ref="M511:M512"/>
    <mergeCell ref="F517:F518"/>
    <mergeCell ref="H497:K497"/>
    <mergeCell ref="L532:L536"/>
    <mergeCell ref="B506:B508"/>
    <mergeCell ref="A477:A478"/>
    <mergeCell ref="B477:B478"/>
    <mergeCell ref="C477:C478"/>
    <mergeCell ref="B481:B482"/>
    <mergeCell ref="A481:A482"/>
    <mergeCell ref="C481:C482"/>
    <mergeCell ref="C497:C501"/>
    <mergeCell ref="L502:L503"/>
    <mergeCell ref="L497:L498"/>
    <mergeCell ref="G500:K500"/>
    <mergeCell ref="G499:K499"/>
    <mergeCell ref="G501:K501"/>
    <mergeCell ref="C517:C518"/>
    <mergeCell ref="D517:D518"/>
    <mergeCell ref="D502:D504"/>
    <mergeCell ref="E502:E504"/>
    <mergeCell ref="A506:A508"/>
    <mergeCell ref="E517:E518"/>
    <mergeCell ref="B517:B518"/>
    <mergeCell ref="A517:A518"/>
    <mergeCell ref="A491:A492"/>
    <mergeCell ref="B491:B492"/>
    <mergeCell ref="B497:B501"/>
    <mergeCell ref="F502:F504"/>
    <mergeCell ref="E580:E581"/>
    <mergeCell ref="F580:F581"/>
    <mergeCell ref="A547:A548"/>
    <mergeCell ref="E557:E558"/>
    <mergeCell ref="F557:F558"/>
    <mergeCell ref="D547:D548"/>
    <mergeCell ref="B547:B548"/>
    <mergeCell ref="E520:F520"/>
    <mergeCell ref="B557:B558"/>
    <mergeCell ref="A557:A558"/>
    <mergeCell ref="D557:D558"/>
    <mergeCell ref="F532:F538"/>
    <mergeCell ref="A532:A538"/>
    <mergeCell ref="E547:E548"/>
    <mergeCell ref="F547:F548"/>
    <mergeCell ref="C547:C548"/>
    <mergeCell ref="A565:A566"/>
    <mergeCell ref="A570:A571"/>
    <mergeCell ref="A580:A581"/>
    <mergeCell ref="B580:B581"/>
    <mergeCell ref="C580:C581"/>
    <mergeCell ref="D580:D581"/>
    <mergeCell ref="K8:K9"/>
    <mergeCell ref="L8:L9"/>
    <mergeCell ref="A415:A416"/>
    <mergeCell ref="C415:C416"/>
    <mergeCell ref="G415:G416"/>
    <mergeCell ref="H415:H416"/>
    <mergeCell ref="I415:I416"/>
    <mergeCell ref="C59:C63"/>
    <mergeCell ref="D62:D63"/>
    <mergeCell ref="E62:E63"/>
    <mergeCell ref="F62:F63"/>
    <mergeCell ref="H109:H110"/>
    <mergeCell ref="D290:F293"/>
    <mergeCell ref="A296:A297"/>
    <mergeCell ref="L84:L85"/>
    <mergeCell ref="G84:G85"/>
    <mergeCell ref="H84:H85"/>
    <mergeCell ref="B84:B86"/>
    <mergeCell ref="A34:A35"/>
    <mergeCell ref="G25:G26"/>
    <mergeCell ref="B59:B63"/>
    <mergeCell ref="E56:E58"/>
    <mergeCell ref="D76:D77"/>
    <mergeCell ref="B73:B74"/>
    <mergeCell ref="C102:C103"/>
    <mergeCell ref="B383:B384"/>
    <mergeCell ref="C383:C384"/>
    <mergeCell ref="A186:A187"/>
    <mergeCell ref="C267:C268"/>
    <mergeCell ref="C273:C274"/>
    <mergeCell ref="A198:A199"/>
    <mergeCell ref="A202:A203"/>
    <mergeCell ref="A107:A108"/>
    <mergeCell ref="B107:B108"/>
    <mergeCell ref="C107:C108"/>
    <mergeCell ref="A102:A104"/>
    <mergeCell ref="B109:B110"/>
    <mergeCell ref="B122:B123"/>
    <mergeCell ref="C143:C144"/>
    <mergeCell ref="C145:C146"/>
    <mergeCell ref="A148:A149"/>
    <mergeCell ref="A183:A184"/>
    <mergeCell ref="A180:A181"/>
    <mergeCell ref="A273:A274"/>
    <mergeCell ref="A215:A230"/>
    <mergeCell ref="A286:A287"/>
    <mergeCell ref="A289:A294"/>
    <mergeCell ref="A137:A141"/>
    <mergeCell ref="D11:D12"/>
    <mergeCell ref="E11:E12"/>
    <mergeCell ref="A36:A37"/>
    <mergeCell ref="B36:B37"/>
    <mergeCell ref="A15:A17"/>
    <mergeCell ref="B15:B17"/>
    <mergeCell ref="A25:A27"/>
    <mergeCell ref="A84:A86"/>
    <mergeCell ref="C97:C98"/>
    <mergeCell ref="D60:D61"/>
    <mergeCell ref="D69:D70"/>
    <mergeCell ref="E69:E70"/>
    <mergeCell ref="A115:A116"/>
    <mergeCell ref="A205:A209"/>
    <mergeCell ref="B205:B209"/>
    <mergeCell ref="B273:B274"/>
    <mergeCell ref="D8:F9"/>
    <mergeCell ref="D56:D58"/>
    <mergeCell ref="D35:F35"/>
    <mergeCell ref="B68:B70"/>
    <mergeCell ref="C68:C70"/>
    <mergeCell ref="A64:A65"/>
    <mergeCell ref="B64:B65"/>
    <mergeCell ref="C64:C65"/>
    <mergeCell ref="A59:A63"/>
    <mergeCell ref="B7:B9"/>
    <mergeCell ref="A7:A9"/>
    <mergeCell ref="C7:C9"/>
    <mergeCell ref="C34:C35"/>
    <mergeCell ref="B34:B35"/>
    <mergeCell ref="C43:C44"/>
    <mergeCell ref="A43:A44"/>
    <mergeCell ref="A11:A12"/>
    <mergeCell ref="F11:F12"/>
    <mergeCell ref="B11:B12"/>
    <mergeCell ref="C11:C12"/>
    <mergeCell ref="D383:D384"/>
    <mergeCell ref="E186:E187"/>
    <mergeCell ref="F186:F187"/>
    <mergeCell ref="D273:D274"/>
    <mergeCell ref="D189:D190"/>
    <mergeCell ref="B261:B262"/>
    <mergeCell ref="B374:B376"/>
    <mergeCell ref="A75:A79"/>
    <mergeCell ref="E78:F79"/>
    <mergeCell ref="C80:C83"/>
    <mergeCell ref="E76:F77"/>
    <mergeCell ref="A311:A312"/>
    <mergeCell ref="A299:A300"/>
    <mergeCell ref="A328:A335"/>
    <mergeCell ref="B289:B294"/>
    <mergeCell ref="B286:B287"/>
    <mergeCell ref="C289:C294"/>
    <mergeCell ref="C84:C86"/>
    <mergeCell ref="B115:B116"/>
    <mergeCell ref="C115:C116"/>
    <mergeCell ref="D115:D116"/>
    <mergeCell ref="E115:E116"/>
    <mergeCell ref="F115:F116"/>
    <mergeCell ref="C236:C237"/>
    <mergeCell ref="F36:F37"/>
    <mergeCell ref="F41:F42"/>
    <mergeCell ref="F69:F70"/>
    <mergeCell ref="F56:F58"/>
    <mergeCell ref="E41:E42"/>
    <mergeCell ref="C36:C37"/>
    <mergeCell ref="D36:D37"/>
    <mergeCell ref="E36:E37"/>
    <mergeCell ref="B180:B181"/>
    <mergeCell ref="C180:C181"/>
    <mergeCell ref="B145:B146"/>
    <mergeCell ref="B143:B144"/>
    <mergeCell ref="B160:B161"/>
    <mergeCell ref="F137:F138"/>
    <mergeCell ref="B131:B135"/>
    <mergeCell ref="C131:C135"/>
    <mergeCell ref="D112:D113"/>
    <mergeCell ref="B148:B149"/>
    <mergeCell ref="C160:C161"/>
    <mergeCell ref="C150:C151"/>
    <mergeCell ref="E139:K139"/>
    <mergeCell ref="E140:K140"/>
    <mergeCell ref="B137:B141"/>
    <mergeCell ref="C137:C141"/>
    <mergeCell ref="C122:C123"/>
    <mergeCell ref="D137:D138"/>
    <mergeCell ref="C372:C373"/>
    <mergeCell ref="B328:B335"/>
    <mergeCell ref="C328:C335"/>
    <mergeCell ref="B296:B297"/>
    <mergeCell ref="C296:C297"/>
    <mergeCell ref="B311:B312"/>
    <mergeCell ref="B299:B300"/>
    <mergeCell ref="C215:C230"/>
    <mergeCell ref="D215:D230"/>
    <mergeCell ref="C356:C357"/>
    <mergeCell ref="D356:D357"/>
    <mergeCell ref="B202:B203"/>
    <mergeCell ref="C205:C209"/>
    <mergeCell ref="D206:D208"/>
    <mergeCell ref="B372:B373"/>
    <mergeCell ref="B339:B342"/>
    <mergeCell ref="D330:D335"/>
    <mergeCell ref="C198:C199"/>
    <mergeCell ref="B198:B199"/>
    <mergeCell ref="B267:B268"/>
    <mergeCell ref="C275:C276"/>
    <mergeCell ref="A339:A342"/>
    <mergeCell ref="C339:C342"/>
    <mergeCell ref="D340:F341"/>
    <mergeCell ref="E356:E357"/>
    <mergeCell ref="B183:B184"/>
    <mergeCell ref="A80:A83"/>
    <mergeCell ref="B80:B83"/>
    <mergeCell ref="C112:C113"/>
    <mergeCell ref="A422:A423"/>
    <mergeCell ref="C422:C423"/>
    <mergeCell ref="A122:A123"/>
    <mergeCell ref="A131:A135"/>
    <mergeCell ref="A322:A323"/>
    <mergeCell ref="A192:A194"/>
    <mergeCell ref="B186:B187"/>
    <mergeCell ref="A189:A190"/>
    <mergeCell ref="A174:A175"/>
    <mergeCell ref="A150:A151"/>
    <mergeCell ref="B150:B151"/>
    <mergeCell ref="C189:C190"/>
    <mergeCell ref="C311:C312"/>
    <mergeCell ref="B189:B190"/>
    <mergeCell ref="A372:A373"/>
    <mergeCell ref="B215:B230"/>
    <mergeCell ref="A374:A376"/>
    <mergeCell ref="A160:A161"/>
    <mergeCell ref="A275:A276"/>
    <mergeCell ref="B322:B323"/>
    <mergeCell ref="J145:J146"/>
    <mergeCell ref="G143:G144"/>
    <mergeCell ref="B97:B98"/>
    <mergeCell ref="B102:B104"/>
    <mergeCell ref="B112:B113"/>
    <mergeCell ref="A112:A113"/>
    <mergeCell ref="C109:C110"/>
    <mergeCell ref="A109:A110"/>
    <mergeCell ref="C192:C194"/>
    <mergeCell ref="H145:H146"/>
    <mergeCell ref="E193:E194"/>
    <mergeCell ref="D186:D187"/>
    <mergeCell ref="D193:D194"/>
    <mergeCell ref="C174:C175"/>
    <mergeCell ref="B174:B175"/>
    <mergeCell ref="H143:H144"/>
    <mergeCell ref="A143:A144"/>
    <mergeCell ref="C186:C187"/>
    <mergeCell ref="G136:K136"/>
    <mergeCell ref="I143:I144"/>
    <mergeCell ref="K137:K138"/>
    <mergeCell ref="H122:H123"/>
    <mergeCell ref="I122:I123"/>
    <mergeCell ref="G134:K134"/>
    <mergeCell ref="I82:I83"/>
    <mergeCell ref="K87:K88"/>
    <mergeCell ref="D78:D79"/>
    <mergeCell ref="G103:L103"/>
    <mergeCell ref="G122:G123"/>
    <mergeCell ref="J122:J123"/>
    <mergeCell ref="J80:J81"/>
    <mergeCell ref="D110:F110"/>
    <mergeCell ref="E137:E138"/>
    <mergeCell ref="D107:D108"/>
    <mergeCell ref="J82:J83"/>
    <mergeCell ref="K82:K83"/>
    <mergeCell ref="K107:K108"/>
    <mergeCell ref="F107:F108"/>
    <mergeCell ref="M36:M37"/>
    <mergeCell ref="E273:E274"/>
    <mergeCell ref="F273:F274"/>
    <mergeCell ref="K273:K274"/>
    <mergeCell ref="H61:H62"/>
    <mergeCell ref="I61:I62"/>
    <mergeCell ref="J61:J62"/>
    <mergeCell ref="K60:K61"/>
    <mergeCell ref="L60:L61"/>
    <mergeCell ref="G209:L209"/>
    <mergeCell ref="E189:E190"/>
    <mergeCell ref="F60:F61"/>
    <mergeCell ref="E60:E61"/>
    <mergeCell ref="E112:E113"/>
    <mergeCell ref="F112:F113"/>
    <mergeCell ref="E206:F208"/>
    <mergeCell ref="F189:F190"/>
    <mergeCell ref="L62:L63"/>
    <mergeCell ref="L97:L98"/>
    <mergeCell ref="I80:I81"/>
    <mergeCell ref="J75:J76"/>
    <mergeCell ref="J183:J184"/>
    <mergeCell ref="G183:G184"/>
    <mergeCell ref="E107:E108"/>
    <mergeCell ref="A459:A460"/>
    <mergeCell ref="A502:A505"/>
    <mergeCell ref="A485:A486"/>
    <mergeCell ref="B485:B486"/>
    <mergeCell ref="C485:C486"/>
    <mergeCell ref="F383:F384"/>
    <mergeCell ref="K424:K425"/>
    <mergeCell ref="L424:L425"/>
    <mergeCell ref="G393:K393"/>
    <mergeCell ref="A405:A409"/>
    <mergeCell ref="B405:B409"/>
    <mergeCell ref="B424:B426"/>
    <mergeCell ref="C424:C426"/>
    <mergeCell ref="B415:B416"/>
    <mergeCell ref="A398:A404"/>
    <mergeCell ref="A383:A384"/>
    <mergeCell ref="A424:A425"/>
    <mergeCell ref="B455:B456"/>
    <mergeCell ref="J462:J463"/>
    <mergeCell ref="G462:G463"/>
    <mergeCell ref="C469:C470"/>
    <mergeCell ref="G424:G425"/>
    <mergeCell ref="G423:L423"/>
    <mergeCell ref="D469:D470"/>
    <mergeCell ref="G486:K486"/>
    <mergeCell ref="K459:K460"/>
    <mergeCell ref="L459:L460"/>
    <mergeCell ref="M436:M437"/>
    <mergeCell ref="H462:H463"/>
    <mergeCell ref="M462:M463"/>
    <mergeCell ref="L418:L419"/>
    <mergeCell ref="K428:K429"/>
    <mergeCell ref="L436:L437"/>
    <mergeCell ref="L457:L458"/>
    <mergeCell ref="L453:L454"/>
    <mergeCell ref="G452:L452"/>
    <mergeCell ref="L430:L431"/>
    <mergeCell ref="M455:M456"/>
    <mergeCell ref="M424:M425"/>
    <mergeCell ref="M418:M419"/>
    <mergeCell ref="H424:H426"/>
    <mergeCell ref="I424:I426"/>
    <mergeCell ref="G431:K431"/>
    <mergeCell ref="H450:J450"/>
    <mergeCell ref="L469:L470"/>
    <mergeCell ref="L440:L441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I25:I26"/>
    <mergeCell ref="G27:K27"/>
    <mergeCell ref="K36:K37"/>
    <mergeCell ref="L36:L37"/>
    <mergeCell ref="L56:L58"/>
    <mergeCell ref="J87:J88"/>
    <mergeCell ref="G74:L74"/>
    <mergeCell ref="L25:L26"/>
    <mergeCell ref="G72:K72"/>
    <mergeCell ref="L53:L54"/>
    <mergeCell ref="K80:K81"/>
    <mergeCell ref="I84:I85"/>
    <mergeCell ref="J84:J85"/>
    <mergeCell ref="H80:H81"/>
    <mergeCell ref="L80:L81"/>
    <mergeCell ref="K84:K85"/>
    <mergeCell ref="K69:K70"/>
    <mergeCell ref="L69:L70"/>
    <mergeCell ref="I53:I54"/>
    <mergeCell ref="H53:H54"/>
    <mergeCell ref="H87:H88"/>
    <mergeCell ref="G82:G83"/>
    <mergeCell ref="H82:H83"/>
    <mergeCell ref="K62:K63"/>
    <mergeCell ref="G53:G54"/>
    <mergeCell ref="J53:J54"/>
    <mergeCell ref="K53:K54"/>
    <mergeCell ref="K56:K58"/>
    <mergeCell ref="M64:M65"/>
    <mergeCell ref="J143:J144"/>
    <mergeCell ref="M69:M70"/>
    <mergeCell ref="L82:L83"/>
    <mergeCell ref="L76:L77"/>
    <mergeCell ref="G71:K71"/>
    <mergeCell ref="H77:H78"/>
    <mergeCell ref="M109:M110"/>
    <mergeCell ref="M80:M81"/>
    <mergeCell ref="L137:L138"/>
    <mergeCell ref="G98:J98"/>
    <mergeCell ref="I87:I88"/>
    <mergeCell ref="J109:J110"/>
    <mergeCell ref="M137:M141"/>
    <mergeCell ref="J132:J133"/>
    <mergeCell ref="I109:I110"/>
    <mergeCell ref="G86:L86"/>
    <mergeCell ref="G80:G81"/>
    <mergeCell ref="M131:M133"/>
    <mergeCell ref="K112:K113"/>
    <mergeCell ref="L112:L113"/>
    <mergeCell ref="M112:M113"/>
    <mergeCell ref="K89:K93"/>
    <mergeCell ref="L87:L93"/>
    <mergeCell ref="M97:M98"/>
    <mergeCell ref="K97:K98"/>
    <mergeCell ref="K131:K133"/>
    <mergeCell ref="L131:L133"/>
    <mergeCell ref="K122:K123"/>
    <mergeCell ref="L122:L123"/>
    <mergeCell ref="M88:M93"/>
    <mergeCell ref="G104:L104"/>
    <mergeCell ref="G132:G133"/>
    <mergeCell ref="M122:M123"/>
    <mergeCell ref="H132:H133"/>
    <mergeCell ref="I132:I133"/>
    <mergeCell ref="L107:L108"/>
    <mergeCell ref="M160:M161"/>
    <mergeCell ref="M143:M144"/>
    <mergeCell ref="M189:M190"/>
    <mergeCell ref="L143:L144"/>
    <mergeCell ref="M193:M194"/>
    <mergeCell ref="M145:M146"/>
    <mergeCell ref="L145:L146"/>
    <mergeCell ref="K183:K184"/>
    <mergeCell ref="L193:L194"/>
    <mergeCell ref="L189:L190"/>
    <mergeCell ref="K143:K144"/>
    <mergeCell ref="M183:M184"/>
    <mergeCell ref="L183:L184"/>
    <mergeCell ref="K193:K194"/>
    <mergeCell ref="K145:K146"/>
    <mergeCell ref="K189:K190"/>
    <mergeCell ref="M148:M149"/>
    <mergeCell ref="M15:M16"/>
    <mergeCell ref="L11:L12"/>
    <mergeCell ref="M11:M12"/>
    <mergeCell ref="H75:H76"/>
    <mergeCell ref="M75:M79"/>
    <mergeCell ref="K78:K79"/>
    <mergeCell ref="L78:L79"/>
    <mergeCell ref="I75:I76"/>
    <mergeCell ref="M41:M42"/>
    <mergeCell ref="M53:M54"/>
    <mergeCell ref="M43:M44"/>
    <mergeCell ref="M28:M29"/>
    <mergeCell ref="K11:K12"/>
    <mergeCell ref="K41:K42"/>
    <mergeCell ref="K25:K26"/>
    <mergeCell ref="J25:J26"/>
    <mergeCell ref="H25:H26"/>
    <mergeCell ref="M56:M58"/>
    <mergeCell ref="I77:I78"/>
    <mergeCell ref="J77:J78"/>
    <mergeCell ref="K76:K77"/>
    <mergeCell ref="G73:K73"/>
    <mergeCell ref="M62:M63"/>
    <mergeCell ref="M60:M61"/>
    <mergeCell ref="G586:L586"/>
    <mergeCell ref="M440:M441"/>
    <mergeCell ref="A247:A250"/>
    <mergeCell ref="B247:B250"/>
    <mergeCell ref="G249:K250"/>
    <mergeCell ref="L249:L250"/>
    <mergeCell ref="M249:M250"/>
    <mergeCell ref="G585:L585"/>
    <mergeCell ref="M330:M335"/>
    <mergeCell ref="B358:B360"/>
    <mergeCell ref="A358:A360"/>
    <mergeCell ref="M358:M360"/>
    <mergeCell ref="B529:B530"/>
    <mergeCell ref="A529:A530"/>
    <mergeCell ref="C529:C530"/>
    <mergeCell ref="D529:D530"/>
    <mergeCell ref="E529:E530"/>
    <mergeCell ref="F529:F530"/>
    <mergeCell ref="K529:K530"/>
    <mergeCell ref="L529:L530"/>
    <mergeCell ref="M497:M498"/>
    <mergeCell ref="M459:M460"/>
    <mergeCell ref="L415:L416"/>
    <mergeCell ref="J415:J416"/>
    <mergeCell ref="M25:M26"/>
    <mergeCell ref="A97:A98"/>
    <mergeCell ref="B75:B79"/>
    <mergeCell ref="C75:C79"/>
    <mergeCell ref="B25:B27"/>
    <mergeCell ref="C25:C27"/>
    <mergeCell ref="A73:A74"/>
    <mergeCell ref="A56:A58"/>
    <mergeCell ref="C56:C58"/>
    <mergeCell ref="A68:A70"/>
    <mergeCell ref="B43:B44"/>
    <mergeCell ref="B56:B58"/>
    <mergeCell ref="B71:B72"/>
    <mergeCell ref="A71:A72"/>
    <mergeCell ref="C71:C72"/>
    <mergeCell ref="A41:A42"/>
    <mergeCell ref="B41:B42"/>
    <mergeCell ref="C41:C42"/>
    <mergeCell ref="D41:D42"/>
    <mergeCell ref="A87:A94"/>
    <mergeCell ref="B87:B94"/>
    <mergeCell ref="C87:C94"/>
    <mergeCell ref="D87:D94"/>
    <mergeCell ref="E87:E94"/>
    <mergeCell ref="G145:G146"/>
    <mergeCell ref="F193:F194"/>
    <mergeCell ref="E180:E181"/>
    <mergeCell ref="F180:F181"/>
    <mergeCell ref="B192:B194"/>
    <mergeCell ref="F195:F196"/>
    <mergeCell ref="D180:D181"/>
    <mergeCell ref="B195:B196"/>
    <mergeCell ref="E195:E196"/>
    <mergeCell ref="I145:I146"/>
    <mergeCell ref="F87:F94"/>
    <mergeCell ref="A387:A391"/>
    <mergeCell ref="F565:F566"/>
    <mergeCell ref="E141:K141"/>
    <mergeCell ref="B356:B357"/>
    <mergeCell ref="D195:D196"/>
    <mergeCell ref="C457:C458"/>
    <mergeCell ref="E236:E237"/>
    <mergeCell ref="A195:A196"/>
    <mergeCell ref="E215:E230"/>
    <mergeCell ref="D275:D276"/>
    <mergeCell ref="E275:E276"/>
    <mergeCell ref="C398:C404"/>
    <mergeCell ref="E418:E419"/>
    <mergeCell ref="I183:I184"/>
    <mergeCell ref="H183:H184"/>
    <mergeCell ref="I380:I381"/>
    <mergeCell ref="G286:G287"/>
    <mergeCell ref="F275:F276"/>
    <mergeCell ref="G373:K373"/>
    <mergeCell ref="D375:F375"/>
    <mergeCell ref="G380:G381"/>
    <mergeCell ref="F356:F357"/>
    <mergeCell ref="B457:B458"/>
    <mergeCell ref="M405:M408"/>
    <mergeCell ref="K330:K335"/>
    <mergeCell ref="D296:D297"/>
    <mergeCell ref="E296:E297"/>
    <mergeCell ref="K296:K297"/>
    <mergeCell ref="F330:F335"/>
    <mergeCell ref="H289:H290"/>
    <mergeCell ref="F215:F230"/>
    <mergeCell ref="F236:F237"/>
    <mergeCell ref="D236:D237"/>
    <mergeCell ref="F296:F297"/>
    <mergeCell ref="E330:E335"/>
    <mergeCell ref="J311:J312"/>
    <mergeCell ref="B428:B429"/>
    <mergeCell ref="C428:C429"/>
    <mergeCell ref="B275:B276"/>
    <mergeCell ref="C374:C376"/>
    <mergeCell ref="B449:B454"/>
    <mergeCell ref="F418:F419"/>
    <mergeCell ref="B430:B431"/>
    <mergeCell ref="C430:C431"/>
    <mergeCell ref="C405:C409"/>
    <mergeCell ref="J289:J290"/>
    <mergeCell ref="K236:K237"/>
    <mergeCell ref="G571:K571"/>
    <mergeCell ref="M570:M571"/>
    <mergeCell ref="B387:B391"/>
    <mergeCell ref="C387:C391"/>
    <mergeCell ref="G391:K391"/>
    <mergeCell ref="B398:B404"/>
    <mergeCell ref="B469:B470"/>
    <mergeCell ref="D418:D419"/>
    <mergeCell ref="M529:M530"/>
    <mergeCell ref="B418:B419"/>
    <mergeCell ref="C418:C419"/>
    <mergeCell ref="K491:K492"/>
    <mergeCell ref="M428:M429"/>
    <mergeCell ref="M415:M416"/>
    <mergeCell ref="M430:M431"/>
    <mergeCell ref="M457:M458"/>
    <mergeCell ref="D426:F426"/>
    <mergeCell ref="G404:J404"/>
    <mergeCell ref="B570:B571"/>
    <mergeCell ref="K415:K416"/>
    <mergeCell ref="M491:M492"/>
    <mergeCell ref="M502:M503"/>
    <mergeCell ref="L330:L335"/>
    <mergeCell ref="M311:M312"/>
    <mergeCell ref="K311:K312"/>
    <mergeCell ref="G300:K300"/>
    <mergeCell ref="M322:M323"/>
    <mergeCell ref="M383:M384"/>
    <mergeCell ref="M374:O374"/>
    <mergeCell ref="G376:K376"/>
    <mergeCell ref="L380:L381"/>
    <mergeCell ref="K380:K381"/>
    <mergeCell ref="J380:J381"/>
    <mergeCell ref="G403:J403"/>
    <mergeCell ref="M195:M196"/>
    <mergeCell ref="G247:G248"/>
    <mergeCell ref="K275:K276"/>
    <mergeCell ref="L275:L276"/>
    <mergeCell ref="M286:M287"/>
    <mergeCell ref="L247:L248"/>
    <mergeCell ref="L236:L237"/>
    <mergeCell ref="H247:K248"/>
    <mergeCell ref="H286:H287"/>
    <mergeCell ref="I286:I287"/>
    <mergeCell ref="J286:J287"/>
    <mergeCell ref="K286:K287"/>
    <mergeCell ref="L215:L230"/>
    <mergeCell ref="M206:M208"/>
    <mergeCell ref="L273:L274"/>
    <mergeCell ref="M273:M274"/>
    <mergeCell ref="G268:K268"/>
    <mergeCell ref="G262:K262"/>
    <mergeCell ref="K215:K230"/>
    <mergeCell ref="L340:L341"/>
    <mergeCell ref="L311:L312"/>
    <mergeCell ref="L286:L287"/>
    <mergeCell ref="K202:K203"/>
    <mergeCell ref="L195:L196"/>
    <mergeCell ref="M275:M276"/>
    <mergeCell ref="M223:M230"/>
    <mergeCell ref="M387:M390"/>
    <mergeCell ref="M292:M294"/>
    <mergeCell ref="K206:K208"/>
    <mergeCell ref="H380:H381"/>
    <mergeCell ref="K290:K292"/>
    <mergeCell ref="L290:L292"/>
    <mergeCell ref="G294:K294"/>
    <mergeCell ref="L296:L297"/>
    <mergeCell ref="I289:I290"/>
    <mergeCell ref="L202:L203"/>
    <mergeCell ref="G198:K198"/>
    <mergeCell ref="K195:K196"/>
    <mergeCell ref="K387:K390"/>
    <mergeCell ref="M202:M203"/>
    <mergeCell ref="M236:M237"/>
    <mergeCell ref="L206:L208"/>
    <mergeCell ref="M296:M297"/>
    <mergeCell ref="L387:L390"/>
    <mergeCell ref="M340:M342"/>
    <mergeCell ref="K340:K341"/>
    <mergeCell ref="M380:M38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9"/>
  <sheetViews>
    <sheetView rightToLeft="1" topLeftCell="B1" zoomScale="60" zoomScaleNormal="60" workbookViewId="0">
      <pane ySplit="1" topLeftCell="A639" activePane="bottomLeft" state="frozen"/>
      <selection activeCell="B1" sqref="B1"/>
      <selection pane="bottomLeft" activeCell="B639" sqref="B639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3450">
        <v>1</v>
      </c>
      <c r="B2" s="3457" t="s">
        <v>1589</v>
      </c>
      <c r="C2" s="3570" t="s">
        <v>380</v>
      </c>
      <c r="D2" s="3442">
        <v>600000000</v>
      </c>
      <c r="E2" s="3444">
        <v>0.06</v>
      </c>
      <c r="F2" s="3442">
        <f>D2*E2</f>
        <v>36000000</v>
      </c>
      <c r="G2" s="1020">
        <v>16000000</v>
      </c>
      <c r="H2" s="1020" t="s">
        <v>3012</v>
      </c>
      <c r="I2" s="1036" t="s">
        <v>3097</v>
      </c>
      <c r="J2" s="24" t="s">
        <v>1916</v>
      </c>
      <c r="K2" s="3442">
        <f>G2+G3</f>
        <v>36000000</v>
      </c>
      <c r="L2" s="3442">
        <f t="shared" ref="L2:L11" si="0">F2-K2</f>
        <v>0</v>
      </c>
      <c r="M2" s="3525"/>
    </row>
    <row r="3" spans="1:13" ht="30" customHeight="1" x14ac:dyDescent="0.2">
      <c r="A3" s="3451"/>
      <c r="B3" s="3458"/>
      <c r="C3" s="3571"/>
      <c r="D3" s="3443"/>
      <c r="E3" s="3445"/>
      <c r="F3" s="3443"/>
      <c r="G3" s="1282">
        <v>20000000</v>
      </c>
      <c r="H3" s="1282" t="s">
        <v>3032</v>
      </c>
      <c r="I3" s="1285" t="s">
        <v>3152</v>
      </c>
      <c r="J3" s="24" t="s">
        <v>1916</v>
      </c>
      <c r="K3" s="3443"/>
      <c r="L3" s="3443"/>
      <c r="M3" s="3526"/>
    </row>
    <row r="4" spans="1:13" ht="30" customHeight="1" x14ac:dyDescent="0.2">
      <c r="A4" s="1053">
        <v>2</v>
      </c>
      <c r="B4" s="22" t="s">
        <v>287</v>
      </c>
      <c r="C4" s="1034"/>
      <c r="D4" s="1020">
        <v>300000000</v>
      </c>
      <c r="E4" s="1048">
        <v>0.05</v>
      </c>
      <c r="F4" s="1020">
        <f>D4*E4</f>
        <v>15000000</v>
      </c>
      <c r="G4" s="1020">
        <v>15000000</v>
      </c>
      <c r="H4" s="1020" t="s">
        <v>2937</v>
      </c>
      <c r="I4" s="1036" t="s">
        <v>2955</v>
      </c>
      <c r="J4" s="24" t="s">
        <v>1887</v>
      </c>
      <c r="K4" s="1020">
        <f t="shared" ref="K4:K11" si="1">G4</f>
        <v>15000000</v>
      </c>
      <c r="L4" s="1020">
        <f t="shared" si="0"/>
        <v>0</v>
      </c>
      <c r="M4" s="1055"/>
    </row>
    <row r="5" spans="1:13" ht="30" customHeight="1" x14ac:dyDescent="0.2">
      <c r="A5" s="1053">
        <v>3</v>
      </c>
      <c r="B5" s="22" t="s">
        <v>290</v>
      </c>
      <c r="C5" s="1034" t="s">
        <v>367</v>
      </c>
      <c r="D5" s="1020">
        <v>36000000</v>
      </c>
      <c r="E5" s="1048">
        <v>7.0000000000000007E-2</v>
      </c>
      <c r="F5" s="1020">
        <v>2500000</v>
      </c>
      <c r="G5" s="1020">
        <v>2500000</v>
      </c>
      <c r="H5" s="1020" t="s">
        <v>2036</v>
      </c>
      <c r="I5" s="1036" t="s">
        <v>2984</v>
      </c>
      <c r="J5" s="28" t="s">
        <v>2985</v>
      </c>
      <c r="K5" s="1020">
        <f t="shared" si="1"/>
        <v>2500000</v>
      </c>
      <c r="L5" s="1020">
        <f t="shared" si="0"/>
        <v>0</v>
      </c>
      <c r="M5" s="1055"/>
    </row>
    <row r="6" spans="1:13" ht="30" customHeight="1" x14ac:dyDescent="0.2">
      <c r="A6" s="1053">
        <v>4</v>
      </c>
      <c r="B6" s="22" t="s">
        <v>315</v>
      </c>
      <c r="C6" s="1034"/>
      <c r="D6" s="1020">
        <v>535000000</v>
      </c>
      <c r="E6" s="1048">
        <v>5.7000000000000002E-2</v>
      </c>
      <c r="F6" s="1020">
        <v>30000000</v>
      </c>
      <c r="G6" s="1020">
        <v>30000000</v>
      </c>
      <c r="H6" s="1020" t="s">
        <v>2839</v>
      </c>
      <c r="I6" s="1036" t="s">
        <v>2852</v>
      </c>
      <c r="J6" s="28" t="s">
        <v>2853</v>
      </c>
      <c r="K6" s="1020">
        <f t="shared" si="1"/>
        <v>30000000</v>
      </c>
      <c r="L6" s="1020">
        <f t="shared" si="0"/>
        <v>0</v>
      </c>
      <c r="M6" s="1055"/>
    </row>
    <row r="7" spans="1:13" ht="30" customHeight="1" x14ac:dyDescent="0.2">
      <c r="A7" s="1053">
        <v>5</v>
      </c>
      <c r="B7" s="22" t="s">
        <v>323</v>
      </c>
      <c r="C7" s="1034" t="s">
        <v>380</v>
      </c>
      <c r="D7" s="1020">
        <v>20000000</v>
      </c>
      <c r="E7" s="1048">
        <v>7.0000000000000007E-2</v>
      </c>
      <c r="F7" s="1020">
        <v>1400000</v>
      </c>
      <c r="G7" s="1020">
        <v>1400000</v>
      </c>
      <c r="H7" s="1020" t="s">
        <v>2823</v>
      </c>
      <c r="I7" s="1036" t="s">
        <v>2886</v>
      </c>
      <c r="J7" s="28" t="s">
        <v>1952</v>
      </c>
      <c r="K7" s="1020">
        <f t="shared" si="1"/>
        <v>1400000</v>
      </c>
      <c r="L7" s="1020">
        <f t="shared" si="0"/>
        <v>0</v>
      </c>
      <c r="M7" s="33" t="s">
        <v>326</v>
      </c>
    </row>
    <row r="8" spans="1:13" ht="30" customHeight="1" x14ac:dyDescent="0.2">
      <c r="A8" s="1014">
        <v>6</v>
      </c>
      <c r="B8" s="1054" t="s">
        <v>416</v>
      </c>
      <c r="C8" s="1033"/>
      <c r="D8" s="1020">
        <v>15000000</v>
      </c>
      <c r="E8" s="1048">
        <v>0.05</v>
      </c>
      <c r="F8" s="1020">
        <f t="shared" ref="F8:F14" si="2">D8*E8</f>
        <v>750000</v>
      </c>
      <c r="G8" s="1020"/>
      <c r="H8" s="1020"/>
      <c r="I8" s="1036"/>
      <c r="J8" s="28"/>
      <c r="K8" s="1020">
        <f t="shared" si="1"/>
        <v>0</v>
      </c>
      <c r="L8" s="1020">
        <f t="shared" si="0"/>
        <v>750000</v>
      </c>
      <c r="M8" s="683"/>
    </row>
    <row r="9" spans="1:13" ht="30" customHeight="1" x14ac:dyDescent="0.2">
      <c r="A9" s="1014">
        <v>7</v>
      </c>
      <c r="B9" s="1054" t="s">
        <v>104</v>
      </c>
      <c r="C9" s="1033" t="s">
        <v>916</v>
      </c>
      <c r="D9" s="1020">
        <v>45000000</v>
      </c>
      <c r="E9" s="1048">
        <v>0.05</v>
      </c>
      <c r="F9" s="1020">
        <f t="shared" si="2"/>
        <v>2250000</v>
      </c>
      <c r="G9" s="1020">
        <v>2250000</v>
      </c>
      <c r="H9" s="1020" t="s">
        <v>2687</v>
      </c>
      <c r="I9" s="1036" t="s">
        <v>2689</v>
      </c>
      <c r="J9" s="30" t="s">
        <v>418</v>
      </c>
      <c r="K9" s="1020">
        <f t="shared" si="1"/>
        <v>2250000</v>
      </c>
      <c r="L9" s="1020">
        <f t="shared" si="0"/>
        <v>0</v>
      </c>
      <c r="M9" s="786"/>
    </row>
    <row r="10" spans="1:13" ht="30" customHeight="1" x14ac:dyDescent="0.2">
      <c r="A10" s="1014">
        <v>8</v>
      </c>
      <c r="B10" s="22" t="s">
        <v>356</v>
      </c>
      <c r="C10" s="421" t="s">
        <v>1346</v>
      </c>
      <c r="D10" s="1035">
        <v>400000000</v>
      </c>
      <c r="E10" s="1048">
        <v>4.4999999999999998E-2</v>
      </c>
      <c r="F10" s="1035">
        <f t="shared" si="2"/>
        <v>18000000</v>
      </c>
      <c r="G10" s="1035">
        <v>18000000</v>
      </c>
      <c r="H10" s="1020" t="s">
        <v>3032</v>
      </c>
      <c r="I10" s="1045" t="s">
        <v>3123</v>
      </c>
      <c r="J10" s="28" t="s">
        <v>2161</v>
      </c>
      <c r="K10" s="1020">
        <f t="shared" si="1"/>
        <v>18000000</v>
      </c>
      <c r="L10" s="1035">
        <f t="shared" si="0"/>
        <v>0</v>
      </c>
      <c r="M10" s="1021"/>
    </row>
    <row r="11" spans="1:13" ht="30" customHeight="1" x14ac:dyDescent="0.2">
      <c r="A11" s="1053">
        <v>9</v>
      </c>
      <c r="B11" s="1055" t="s">
        <v>387</v>
      </c>
      <c r="C11" s="1034" t="s">
        <v>379</v>
      </c>
      <c r="D11" s="1020">
        <v>10000000</v>
      </c>
      <c r="E11" s="1017">
        <v>0.05</v>
      </c>
      <c r="F11" s="1020">
        <f t="shared" si="2"/>
        <v>500000</v>
      </c>
      <c r="G11" s="1020">
        <v>500000</v>
      </c>
      <c r="H11" s="1020" t="s">
        <v>2937</v>
      </c>
      <c r="I11" s="1036" t="s">
        <v>2952</v>
      </c>
      <c r="J11" s="28" t="s">
        <v>1031</v>
      </c>
      <c r="K11" s="1020">
        <f t="shared" si="1"/>
        <v>500000</v>
      </c>
      <c r="L11" s="1020">
        <f t="shared" si="0"/>
        <v>0</v>
      </c>
      <c r="M11" s="33"/>
    </row>
    <row r="12" spans="1:13" ht="30" customHeight="1" x14ac:dyDescent="0.2">
      <c r="A12" s="1053">
        <v>10</v>
      </c>
      <c r="B12" s="1054" t="s">
        <v>1029</v>
      </c>
      <c r="C12" s="1047" t="s">
        <v>1909</v>
      </c>
      <c r="D12" s="1020">
        <v>180000000</v>
      </c>
      <c r="E12" s="1048">
        <v>7.0000000000000007E-2</v>
      </c>
      <c r="F12" s="1020">
        <f t="shared" si="2"/>
        <v>12600000.000000002</v>
      </c>
      <c r="G12" s="1020">
        <v>12600000</v>
      </c>
      <c r="H12" s="1020" t="s">
        <v>3324</v>
      </c>
      <c r="I12" s="1036" t="s">
        <v>3331</v>
      </c>
      <c r="J12" s="28" t="s">
        <v>2502</v>
      </c>
      <c r="K12" s="1020">
        <f>G12</f>
        <v>12600000</v>
      </c>
      <c r="L12" s="1020">
        <f>F12-K12</f>
        <v>0</v>
      </c>
      <c r="M12" s="192" t="s">
        <v>3332</v>
      </c>
    </row>
    <row r="13" spans="1:13" ht="30" customHeight="1" x14ac:dyDescent="0.2">
      <c r="A13" s="3450">
        <v>11</v>
      </c>
      <c r="B13" s="3687" t="s">
        <v>402</v>
      </c>
      <c r="C13" s="1034" t="s">
        <v>367</v>
      </c>
      <c r="D13" s="1035">
        <v>15000000</v>
      </c>
      <c r="E13" s="1048">
        <v>7.0000000000000007E-2</v>
      </c>
      <c r="F13" s="1035">
        <f t="shared" si="2"/>
        <v>1050000</v>
      </c>
      <c r="G13" s="1020">
        <v>1050000</v>
      </c>
      <c r="H13" s="1020" t="s">
        <v>3051</v>
      </c>
      <c r="I13" s="1036" t="s">
        <v>3056</v>
      </c>
      <c r="J13" s="30" t="s">
        <v>3057</v>
      </c>
      <c r="K13" s="3442">
        <f>G13+G14</f>
        <v>1300000</v>
      </c>
      <c r="L13" s="3442">
        <f>(F13+F14)-K13</f>
        <v>0</v>
      </c>
      <c r="M13" s="3466"/>
    </row>
    <row r="14" spans="1:13" ht="30" customHeight="1" x14ac:dyDescent="0.2">
      <c r="A14" s="3456"/>
      <c r="B14" s="3687"/>
      <c r="C14" s="1034" t="s">
        <v>1110</v>
      </c>
      <c r="D14" s="1035">
        <v>5000000</v>
      </c>
      <c r="E14" s="1048">
        <v>0.05</v>
      </c>
      <c r="F14" s="1035">
        <f t="shared" si="2"/>
        <v>250000</v>
      </c>
      <c r="G14" s="1020">
        <v>250000</v>
      </c>
      <c r="H14" s="1020" t="s">
        <v>3440</v>
      </c>
      <c r="I14" s="1036" t="s">
        <v>3475</v>
      </c>
      <c r="J14" s="57" t="s">
        <v>3057</v>
      </c>
      <c r="K14" s="3443"/>
      <c r="L14" s="3443"/>
      <c r="M14" s="3467"/>
    </row>
    <row r="15" spans="1:13" ht="30" customHeight="1" x14ac:dyDescent="0.2">
      <c r="A15" s="1015">
        <v>12</v>
      </c>
      <c r="B15" s="1013" t="s">
        <v>408</v>
      </c>
      <c r="C15" s="1034" t="s">
        <v>411</v>
      </c>
      <c r="D15" s="1020">
        <v>75000000</v>
      </c>
      <c r="E15" s="1017"/>
      <c r="F15" s="1020">
        <v>3750000</v>
      </c>
      <c r="G15" s="1020">
        <v>3750000</v>
      </c>
      <c r="H15" s="1020" t="s">
        <v>2337</v>
      </c>
      <c r="I15" s="1036" t="s">
        <v>2748</v>
      </c>
      <c r="J15" s="57" t="s">
        <v>410</v>
      </c>
      <c r="K15" s="1020">
        <f>G15</f>
        <v>3750000</v>
      </c>
      <c r="L15" s="1020">
        <f>F15-K15</f>
        <v>0</v>
      </c>
      <c r="M15" s="1023"/>
    </row>
    <row r="16" spans="1:13" ht="30" customHeight="1" x14ac:dyDescent="0.2">
      <c r="A16" s="3450">
        <v>13</v>
      </c>
      <c r="B16" s="3457" t="s">
        <v>429</v>
      </c>
      <c r="C16" s="3570" t="s">
        <v>367</v>
      </c>
      <c r="D16" s="1020">
        <v>80000000</v>
      </c>
      <c r="E16" s="1206">
        <f>F16/D16</f>
        <v>0.06</v>
      </c>
      <c r="F16" s="1020">
        <v>4800000</v>
      </c>
      <c r="G16" s="3325" t="s">
        <v>2534</v>
      </c>
      <c r="H16" s="3340"/>
      <c r="I16" s="3340"/>
      <c r="J16" s="3341"/>
      <c r="K16" s="1020" t="str">
        <f>G16</f>
        <v>به اصل مبلغ اضافه شد.</v>
      </c>
      <c r="L16" s="1020" t="e">
        <f>F16-K16</f>
        <v>#VALUE!</v>
      </c>
      <c r="M16" s="1023"/>
    </row>
    <row r="17" spans="1:13" ht="30" customHeight="1" x14ac:dyDescent="0.2">
      <c r="A17" s="3456"/>
      <c r="B17" s="3459"/>
      <c r="C17" s="3576"/>
      <c r="D17" s="3442"/>
      <c r="E17" s="3444"/>
      <c r="F17" s="3442"/>
      <c r="G17" s="3521" t="s">
        <v>2864</v>
      </c>
      <c r="H17" s="3613"/>
      <c r="I17" s="3613"/>
      <c r="J17" s="3522"/>
      <c r="K17" s="1203"/>
      <c r="L17" s="1203"/>
      <c r="M17" s="1204"/>
    </row>
    <row r="18" spans="1:13" ht="30" customHeight="1" x14ac:dyDescent="0.2">
      <c r="A18" s="3456"/>
      <c r="B18" s="3459"/>
      <c r="C18" s="3576"/>
      <c r="D18" s="3443"/>
      <c r="E18" s="3445"/>
      <c r="F18" s="3443"/>
      <c r="G18" s="3523"/>
      <c r="H18" s="3614"/>
      <c r="I18" s="3614"/>
      <c r="J18" s="3524"/>
      <c r="K18" s="1203"/>
      <c r="L18" s="1203"/>
      <c r="M18" s="1204"/>
    </row>
    <row r="19" spans="1:13" ht="30" customHeight="1" x14ac:dyDescent="0.2">
      <c r="A19" s="3456"/>
      <c r="B19" s="3459"/>
      <c r="C19" s="3576"/>
      <c r="D19" s="1203">
        <v>80000000</v>
      </c>
      <c r="E19" s="1206">
        <v>0.06</v>
      </c>
      <c r="F19" s="1203">
        <f t="shared" ref="F19:F24" si="3">D19*E19</f>
        <v>4800000</v>
      </c>
      <c r="G19" s="3748" t="s">
        <v>2865</v>
      </c>
      <c r="H19" s="3749"/>
      <c r="I19" s="3749"/>
      <c r="J19" s="3750"/>
      <c r="K19" s="1203"/>
      <c r="L19" s="1203"/>
      <c r="M19" s="1204"/>
    </row>
    <row r="20" spans="1:13" ht="30" customHeight="1" x14ac:dyDescent="0.2">
      <c r="A20" s="3451"/>
      <c r="B20" s="3458"/>
      <c r="C20" s="3571"/>
      <c r="D20" s="1203">
        <v>100000000</v>
      </c>
      <c r="E20" s="1206">
        <v>7.0000000000000007E-2</v>
      </c>
      <c r="F20" s="1203">
        <f t="shared" si="3"/>
        <v>7000000.0000000009</v>
      </c>
      <c r="G20" s="3751"/>
      <c r="H20" s="3752"/>
      <c r="I20" s="3752"/>
      <c r="J20" s="3753"/>
      <c r="K20" s="1203"/>
      <c r="L20" s="1203"/>
      <c r="M20" s="1204"/>
    </row>
    <row r="21" spans="1:13" ht="30" customHeight="1" x14ac:dyDescent="0.2">
      <c r="A21" s="1015">
        <v>14</v>
      </c>
      <c r="B21" s="1013" t="s">
        <v>437</v>
      </c>
      <c r="C21" s="1034" t="s">
        <v>1355</v>
      </c>
      <c r="D21" s="1020">
        <v>150000000</v>
      </c>
      <c r="E21" s="1017">
        <v>0.04</v>
      </c>
      <c r="F21" s="1020">
        <f t="shared" si="3"/>
        <v>6000000</v>
      </c>
      <c r="G21" s="1020">
        <v>6000000</v>
      </c>
      <c r="H21" s="1020" t="s">
        <v>3100</v>
      </c>
      <c r="I21" s="1036" t="s">
        <v>3117</v>
      </c>
      <c r="J21" s="69" t="s">
        <v>439</v>
      </c>
      <c r="K21" s="1020">
        <f>G21</f>
        <v>6000000</v>
      </c>
      <c r="L21" s="1020">
        <f>F21-K21</f>
        <v>0</v>
      </c>
      <c r="M21" s="1023"/>
    </row>
    <row r="22" spans="1:13" ht="30" customHeight="1" x14ac:dyDescent="0.2">
      <c r="A22" s="1015">
        <v>15</v>
      </c>
      <c r="B22" s="1013" t="s">
        <v>445</v>
      </c>
      <c r="C22" s="1034"/>
      <c r="D22" s="1020">
        <v>13000000</v>
      </c>
      <c r="E22" s="1017">
        <v>0.05</v>
      </c>
      <c r="F22" s="1020">
        <f t="shared" si="3"/>
        <v>650000</v>
      </c>
      <c r="G22" s="1020">
        <v>650000</v>
      </c>
      <c r="H22" s="1020" t="s">
        <v>3051</v>
      </c>
      <c r="I22" s="1036" t="s">
        <v>3052</v>
      </c>
      <c r="J22" s="69" t="s">
        <v>2218</v>
      </c>
      <c r="K22" s="1020">
        <f>G22</f>
        <v>650000</v>
      </c>
      <c r="L22" s="1020">
        <f t="shared" ref="L22:L26" si="4">F22-K22</f>
        <v>0</v>
      </c>
      <c r="M22" s="1023"/>
    </row>
    <row r="23" spans="1:13" ht="30" customHeight="1" x14ac:dyDescent="0.2">
      <c r="A23" s="1015">
        <v>16</v>
      </c>
      <c r="B23" s="3457" t="s">
        <v>498</v>
      </c>
      <c r="C23" s="3570"/>
      <c r="D23" s="1086">
        <v>80000000</v>
      </c>
      <c r="E23" s="1090">
        <v>0.04</v>
      </c>
      <c r="F23" s="1086">
        <f t="shared" si="3"/>
        <v>3200000</v>
      </c>
      <c r="G23" s="1020">
        <v>3200000</v>
      </c>
      <c r="H23" s="3442" t="s">
        <v>2687</v>
      </c>
      <c r="I23" s="3577" t="s">
        <v>2693</v>
      </c>
      <c r="J23" s="3582" t="s">
        <v>2694</v>
      </c>
      <c r="K23" s="3442">
        <f>G23+G24</f>
        <v>6400000</v>
      </c>
      <c r="L23" s="3442">
        <f>(F23+F24)-K23</f>
        <v>0</v>
      </c>
      <c r="M23" s="1088"/>
    </row>
    <row r="24" spans="1:13" ht="30" customHeight="1" x14ac:dyDescent="0.2">
      <c r="A24" s="1085"/>
      <c r="B24" s="3458"/>
      <c r="C24" s="3571"/>
      <c r="D24" s="1086">
        <v>80000000</v>
      </c>
      <c r="E24" s="1090">
        <v>0.04</v>
      </c>
      <c r="F24" s="1086">
        <f t="shared" si="3"/>
        <v>3200000</v>
      </c>
      <c r="G24" s="1087">
        <v>3200000</v>
      </c>
      <c r="H24" s="3443"/>
      <c r="I24" s="3578"/>
      <c r="J24" s="3583"/>
      <c r="K24" s="3443"/>
      <c r="L24" s="3443"/>
      <c r="M24" s="1089"/>
    </row>
    <row r="25" spans="1:13" ht="30" customHeight="1" x14ac:dyDescent="0.2">
      <c r="A25" s="1015">
        <v>17</v>
      </c>
      <c r="B25" s="1013" t="s">
        <v>768</v>
      </c>
      <c r="C25" s="1034" t="s">
        <v>1344</v>
      </c>
      <c r="D25" s="1020">
        <v>100000000</v>
      </c>
      <c r="E25" s="1017">
        <v>0.06</v>
      </c>
      <c r="F25" s="1020">
        <f t="shared" ref="F25:F26" si="5">D25*E25</f>
        <v>6000000</v>
      </c>
      <c r="G25" s="1020">
        <v>6000000</v>
      </c>
      <c r="H25" s="1020" t="s">
        <v>3324</v>
      </c>
      <c r="I25" s="1036" t="s">
        <v>3342</v>
      </c>
      <c r="J25" s="69" t="s">
        <v>3343</v>
      </c>
      <c r="K25" s="1020">
        <f>G25</f>
        <v>6000000</v>
      </c>
      <c r="L25" s="1020">
        <f t="shared" si="4"/>
        <v>0</v>
      </c>
      <c r="M25" s="1023"/>
    </row>
    <row r="26" spans="1:13" ht="30" customHeight="1" x14ac:dyDescent="0.2">
      <c r="A26" s="1015">
        <v>18</v>
      </c>
      <c r="B26" s="1013" t="s">
        <v>567</v>
      </c>
      <c r="C26" s="1034" t="s">
        <v>1355</v>
      </c>
      <c r="D26" s="1020">
        <v>50000000</v>
      </c>
      <c r="E26" s="1017">
        <v>0.05</v>
      </c>
      <c r="F26" s="1020">
        <f t="shared" si="5"/>
        <v>2500000</v>
      </c>
      <c r="G26" s="1020">
        <v>2500000</v>
      </c>
      <c r="H26" s="1020" t="s">
        <v>3100</v>
      </c>
      <c r="I26" s="1036" t="s">
        <v>3108</v>
      </c>
      <c r="J26" s="69" t="s">
        <v>3109</v>
      </c>
      <c r="K26" s="1020">
        <f>G26</f>
        <v>2500000</v>
      </c>
      <c r="L26" s="1020">
        <f t="shared" si="4"/>
        <v>0</v>
      </c>
      <c r="M26" s="1023"/>
    </row>
    <row r="27" spans="1:13" ht="30" customHeight="1" x14ac:dyDescent="0.2">
      <c r="A27" s="3450">
        <v>19</v>
      </c>
      <c r="B27" s="3457" t="s">
        <v>574</v>
      </c>
      <c r="C27" s="3570"/>
      <c r="D27" s="1026">
        <v>5000000</v>
      </c>
      <c r="E27" s="1027"/>
      <c r="F27" s="1026">
        <v>200000</v>
      </c>
      <c r="G27" s="3442"/>
      <c r="H27" s="3442"/>
      <c r="I27" s="3577"/>
      <c r="J27" s="3582"/>
      <c r="K27" s="3442"/>
      <c r="L27" s="3442">
        <f>(F27+F28)-K27</f>
        <v>300000</v>
      </c>
      <c r="M27" s="3466" t="s">
        <v>1255</v>
      </c>
    </row>
    <row r="28" spans="1:13" ht="30" customHeight="1" x14ac:dyDescent="0.2">
      <c r="A28" s="3456"/>
      <c r="B28" s="3459"/>
      <c r="C28" s="3576"/>
      <c r="D28" s="1026">
        <v>2500000</v>
      </c>
      <c r="E28" s="1027"/>
      <c r="F28" s="1026">
        <v>100000</v>
      </c>
      <c r="G28" s="3443"/>
      <c r="H28" s="3443"/>
      <c r="I28" s="3578"/>
      <c r="J28" s="3583"/>
      <c r="K28" s="3443"/>
      <c r="L28" s="3443"/>
      <c r="M28" s="3467"/>
    </row>
    <row r="29" spans="1:13" ht="30" customHeight="1" x14ac:dyDescent="0.2">
      <c r="A29" s="3456"/>
      <c r="B29" s="3459"/>
      <c r="C29" s="3576"/>
      <c r="D29" s="1026">
        <v>50000000</v>
      </c>
      <c r="E29" s="1027"/>
      <c r="F29" s="1026"/>
      <c r="G29" s="3615" t="s">
        <v>2121</v>
      </c>
      <c r="H29" s="3616"/>
      <c r="I29" s="3616"/>
      <c r="J29" s="3616"/>
      <c r="K29" s="3617"/>
      <c r="L29" s="1019"/>
      <c r="M29" s="1022"/>
    </row>
    <row r="30" spans="1:13" ht="30" customHeight="1" x14ac:dyDescent="0.2">
      <c r="A30" s="3451"/>
      <c r="B30" s="3458"/>
      <c r="C30" s="3571"/>
      <c r="D30" s="1275">
        <v>15000000</v>
      </c>
      <c r="E30" s="1276"/>
      <c r="F30" s="1275"/>
      <c r="G30" s="3615" t="s">
        <v>3047</v>
      </c>
      <c r="H30" s="3616"/>
      <c r="I30" s="3616"/>
      <c r="J30" s="3616"/>
      <c r="K30" s="3617"/>
      <c r="L30" s="1272"/>
      <c r="M30" s="1274"/>
    </row>
    <row r="31" spans="1:13" ht="30" customHeight="1" x14ac:dyDescent="0.2">
      <c r="A31" s="1015">
        <v>22</v>
      </c>
      <c r="B31" s="22" t="s">
        <v>674</v>
      </c>
      <c r="C31" s="421"/>
      <c r="D31" s="1020">
        <v>300000000</v>
      </c>
      <c r="E31" s="1017">
        <v>0.05</v>
      </c>
      <c r="F31" s="1020">
        <f>D31*E31</f>
        <v>15000000</v>
      </c>
      <c r="G31" s="1020">
        <v>15000000</v>
      </c>
      <c r="H31" s="1020" t="s">
        <v>3100</v>
      </c>
      <c r="I31" s="1036" t="s">
        <v>3106</v>
      </c>
      <c r="J31" s="69" t="s">
        <v>2294</v>
      </c>
      <c r="K31" s="1035">
        <f>G31</f>
        <v>15000000</v>
      </c>
      <c r="L31" s="1035">
        <f>F31-K31</f>
        <v>0</v>
      </c>
      <c r="M31" s="53"/>
    </row>
    <row r="32" spans="1:13" ht="30" customHeight="1" x14ac:dyDescent="0.2">
      <c r="A32" s="1015">
        <v>23</v>
      </c>
      <c r="B32" s="1052" t="s">
        <v>2247</v>
      </c>
      <c r="C32" s="1047"/>
      <c r="D32" s="1020">
        <v>150000000</v>
      </c>
      <c r="E32" s="1017">
        <v>7.0000000000000007E-2</v>
      </c>
      <c r="F32" s="1020">
        <f>D32*E32</f>
        <v>10500000.000000002</v>
      </c>
      <c r="G32" s="1020">
        <v>5000000</v>
      </c>
      <c r="H32" s="1030" t="s">
        <v>3218</v>
      </c>
      <c r="I32" s="1038">
        <v>653751</v>
      </c>
      <c r="J32" s="69" t="s">
        <v>3229</v>
      </c>
      <c r="K32" s="1035">
        <f>G32</f>
        <v>5000000</v>
      </c>
      <c r="L32" s="1035">
        <f>F32-G32</f>
        <v>5500000.0000000019</v>
      </c>
      <c r="M32" s="1025" t="s">
        <v>2246</v>
      </c>
    </row>
    <row r="33" spans="1:13" ht="30" customHeight="1" x14ac:dyDescent="0.2">
      <c r="A33" s="1015">
        <v>25</v>
      </c>
      <c r="B33" s="1013" t="s">
        <v>738</v>
      </c>
      <c r="C33" s="1034" t="s">
        <v>1351</v>
      </c>
      <c r="D33" s="1020">
        <v>35000000</v>
      </c>
      <c r="E33" s="1017">
        <v>5.8000000000000003E-2</v>
      </c>
      <c r="F33" s="1020">
        <v>2000000</v>
      </c>
      <c r="G33" s="1020"/>
      <c r="H33" s="1030"/>
      <c r="I33" s="1038"/>
      <c r="J33" s="69"/>
      <c r="K33" s="1020"/>
      <c r="L33" s="1020">
        <f>F33-G33</f>
        <v>2000000</v>
      </c>
      <c r="M33" s="1025"/>
    </row>
    <row r="34" spans="1:13" ht="30" customHeight="1" x14ac:dyDescent="0.2">
      <c r="A34" s="3450">
        <v>26</v>
      </c>
      <c r="B34" s="3525" t="s">
        <v>828</v>
      </c>
      <c r="C34" s="3570" t="s">
        <v>1817</v>
      </c>
      <c r="D34" s="1020">
        <v>500000000</v>
      </c>
      <c r="E34" s="1017">
        <v>4.4999999999999998E-2</v>
      </c>
      <c r="F34" s="1020">
        <f>D34*E34</f>
        <v>22500000</v>
      </c>
      <c r="G34" s="247">
        <v>22500000</v>
      </c>
      <c r="H34" s="1035" t="s">
        <v>2847</v>
      </c>
      <c r="I34" s="684">
        <v>464435</v>
      </c>
      <c r="J34" s="685" t="s">
        <v>3198</v>
      </c>
      <c r="K34" s="1040">
        <f t="shared" ref="K34:K52" si="6">G34</f>
        <v>22500000</v>
      </c>
      <c r="L34" s="1035">
        <f>F34-K34</f>
        <v>0</v>
      </c>
      <c r="M34" s="683" t="s">
        <v>3199</v>
      </c>
    </row>
    <row r="35" spans="1:13" ht="30" customHeight="1" x14ac:dyDescent="0.2">
      <c r="A35" s="3456"/>
      <c r="B35" s="3643"/>
      <c r="C35" s="3576"/>
      <c r="D35" s="1364">
        <v>450000000</v>
      </c>
      <c r="E35" s="1366">
        <v>0.05</v>
      </c>
      <c r="F35" s="1364">
        <f>D35*E35</f>
        <v>22500000</v>
      </c>
      <c r="G35" s="247">
        <v>22500000</v>
      </c>
      <c r="H35" s="1372" t="s">
        <v>3262</v>
      </c>
      <c r="I35" s="684">
        <v>1.4010523018252899E+17</v>
      </c>
      <c r="J35" s="685" t="s">
        <v>3291</v>
      </c>
      <c r="K35" s="1373">
        <f>G35</f>
        <v>22500000</v>
      </c>
      <c r="L35" s="1372">
        <f>F35-K35</f>
        <v>0</v>
      </c>
      <c r="M35" s="192" t="s">
        <v>3199</v>
      </c>
    </row>
    <row r="36" spans="1:13" ht="30" customHeight="1" x14ac:dyDescent="0.2">
      <c r="A36" s="3456"/>
      <c r="B36" s="3643"/>
      <c r="C36" s="3576"/>
      <c r="D36" s="3742" t="s">
        <v>3608</v>
      </c>
      <c r="E36" s="3743"/>
      <c r="F36" s="3744"/>
      <c r="G36" s="247">
        <v>64000000</v>
      </c>
      <c r="H36" s="1035" t="s">
        <v>3324</v>
      </c>
      <c r="I36" s="684">
        <v>105250181428654</v>
      </c>
      <c r="J36" s="685" t="s">
        <v>3291</v>
      </c>
      <c r="K36" s="1040">
        <f t="shared" si="6"/>
        <v>64000000</v>
      </c>
      <c r="L36" s="1035">
        <f>100000000-G36</f>
        <v>36000000</v>
      </c>
      <c r="M36" s="33" t="s">
        <v>2105</v>
      </c>
    </row>
    <row r="37" spans="1:13" ht="30" customHeight="1" x14ac:dyDescent="0.2">
      <c r="A37" s="3456"/>
      <c r="B37" s="3643"/>
      <c r="C37" s="3576"/>
      <c r="D37" s="3745"/>
      <c r="E37" s="3746"/>
      <c r="F37" s="3747"/>
      <c r="G37" s="7"/>
      <c r="H37" s="1371"/>
      <c r="I37" s="1375"/>
      <c r="J37" s="1391"/>
      <c r="K37" s="1379"/>
      <c r="L37" s="1363"/>
      <c r="M37" s="192"/>
    </row>
    <row r="38" spans="1:13" ht="30" customHeight="1" x14ac:dyDescent="0.2">
      <c r="A38" s="3451"/>
      <c r="B38" s="3526"/>
      <c r="C38" s="3571"/>
      <c r="D38" s="482">
        <f>D35-G36</f>
        <v>386000000</v>
      </c>
      <c r="E38" s="1390"/>
      <c r="F38" s="1390"/>
      <c r="G38" s="3478" t="s">
        <v>3292</v>
      </c>
      <c r="H38" s="3479"/>
      <c r="I38" s="3479"/>
      <c r="J38" s="3479"/>
      <c r="K38" s="3480"/>
      <c r="L38" s="1363"/>
      <c r="M38" s="192"/>
    </row>
    <row r="39" spans="1:13" ht="30" customHeight="1" x14ac:dyDescent="0.2">
      <c r="A39" s="1014">
        <v>27</v>
      </c>
      <c r="B39" s="1054" t="s">
        <v>832</v>
      </c>
      <c r="C39" s="385" t="s">
        <v>1354</v>
      </c>
      <c r="D39" s="1018">
        <v>500000000</v>
      </c>
      <c r="E39" s="1016">
        <v>7.0000000000000007E-2</v>
      </c>
      <c r="F39" s="1018">
        <f>D39*E39</f>
        <v>35000000</v>
      </c>
      <c r="G39" s="1020">
        <v>35000000</v>
      </c>
      <c r="H39" s="1030" t="s">
        <v>3139</v>
      </c>
      <c r="I39" s="1038">
        <v>105201344381569</v>
      </c>
      <c r="J39" s="69" t="s">
        <v>2420</v>
      </c>
      <c r="K39" s="1018">
        <f t="shared" si="6"/>
        <v>35000000</v>
      </c>
      <c r="L39" s="1018">
        <f>F39-K39</f>
        <v>0</v>
      </c>
      <c r="M39" s="1021"/>
    </row>
    <row r="40" spans="1:13" ht="30" customHeight="1" x14ac:dyDescent="0.2">
      <c r="A40" s="3456">
        <v>28</v>
      </c>
      <c r="B40" s="3525" t="s">
        <v>845</v>
      </c>
      <c r="C40" s="3570" t="s">
        <v>1354</v>
      </c>
      <c r="D40" s="1284">
        <v>600000000</v>
      </c>
      <c r="E40" s="1287">
        <v>0.05</v>
      </c>
      <c r="F40" s="1284">
        <f>D40*E40</f>
        <v>30000000</v>
      </c>
      <c r="G40" s="1020">
        <v>30000000</v>
      </c>
      <c r="H40" s="1030" t="s">
        <v>3137</v>
      </c>
      <c r="I40" s="1038">
        <v>377476</v>
      </c>
      <c r="J40" s="69" t="s">
        <v>3169</v>
      </c>
      <c r="K40" s="1035">
        <f t="shared" si="6"/>
        <v>30000000</v>
      </c>
      <c r="L40" s="1035">
        <f>F40-K40</f>
        <v>0</v>
      </c>
      <c r="M40" s="1307" t="s">
        <v>3170</v>
      </c>
    </row>
    <row r="41" spans="1:13" ht="30" customHeight="1" x14ac:dyDescent="0.2">
      <c r="A41" s="3456"/>
      <c r="B41" s="3643"/>
      <c r="C41" s="3576"/>
      <c r="D41" s="1335"/>
      <c r="E41" s="1334"/>
      <c r="F41" s="1336"/>
      <c r="G41" s="3478" t="s">
        <v>3204</v>
      </c>
      <c r="H41" s="3479"/>
      <c r="I41" s="3479"/>
      <c r="J41" s="3479"/>
      <c r="K41" s="3480"/>
      <c r="L41" s="1327"/>
      <c r="M41" s="1345"/>
    </row>
    <row r="42" spans="1:13" ht="30" customHeight="1" x14ac:dyDescent="0.2">
      <c r="A42" s="3456"/>
      <c r="B42" s="3643"/>
      <c r="C42" s="3576"/>
      <c r="D42" s="1338">
        <v>750000000</v>
      </c>
      <c r="E42" s="1343"/>
      <c r="F42" s="1338"/>
      <c r="G42" s="1337"/>
      <c r="H42" s="1342"/>
      <c r="I42" s="1342"/>
      <c r="J42" s="1342"/>
      <c r="K42" s="1336"/>
      <c r="L42" s="1327"/>
      <c r="M42" s="1345"/>
    </row>
    <row r="43" spans="1:13" ht="30" customHeight="1" x14ac:dyDescent="0.2">
      <c r="A43" s="3456"/>
      <c r="B43" s="3643"/>
      <c r="C43" s="3576"/>
      <c r="D43" s="3521" t="s">
        <v>3205</v>
      </c>
      <c r="E43" s="3613"/>
      <c r="F43" s="3522"/>
      <c r="G43" s="1305">
        <v>35000000</v>
      </c>
      <c r="H43" s="1311" t="s">
        <v>3139</v>
      </c>
      <c r="I43" s="1315">
        <v>183433</v>
      </c>
      <c r="J43" s="69" t="s">
        <v>3178</v>
      </c>
      <c r="K43" s="3442">
        <f>G43+G44</f>
        <v>50000000</v>
      </c>
      <c r="L43" s="3442">
        <f>50000000-K43</f>
        <v>0</v>
      </c>
      <c r="M43" s="3466"/>
    </row>
    <row r="44" spans="1:13" ht="30" customHeight="1" x14ac:dyDescent="0.2">
      <c r="A44" s="3456"/>
      <c r="B44" s="3643"/>
      <c r="C44" s="3576"/>
      <c r="D44" s="3523"/>
      <c r="E44" s="3614"/>
      <c r="F44" s="3524"/>
      <c r="G44" s="1305">
        <v>15000000</v>
      </c>
      <c r="H44" s="1311" t="s">
        <v>3139</v>
      </c>
      <c r="I44" s="1315">
        <v>1.40105200182504E+17</v>
      </c>
      <c r="J44" s="69" t="s">
        <v>846</v>
      </c>
      <c r="K44" s="3443"/>
      <c r="L44" s="3443"/>
      <c r="M44" s="3467"/>
    </row>
    <row r="45" spans="1:13" ht="30" customHeight="1" x14ac:dyDescent="0.2">
      <c r="A45" s="3456"/>
      <c r="B45" s="3643"/>
      <c r="C45" s="3576"/>
      <c r="D45" s="3325" t="s">
        <v>3372</v>
      </c>
      <c r="E45" s="3340"/>
      <c r="F45" s="3341"/>
      <c r="G45" s="1404">
        <v>5000000</v>
      </c>
      <c r="H45" s="1404" t="s">
        <v>3362</v>
      </c>
      <c r="I45" s="1404">
        <v>265993</v>
      </c>
      <c r="J45" s="1404" t="s">
        <v>3373</v>
      </c>
      <c r="K45" s="1404">
        <f>G45</f>
        <v>5000000</v>
      </c>
      <c r="L45" s="1397"/>
      <c r="M45" s="1398"/>
    </row>
    <row r="46" spans="1:13" ht="30" customHeight="1" x14ac:dyDescent="0.2">
      <c r="A46" s="3451"/>
      <c r="B46" s="3526"/>
      <c r="C46" s="3571"/>
      <c r="D46" s="1338">
        <v>700000000</v>
      </c>
      <c r="E46" s="1343">
        <v>0.06</v>
      </c>
      <c r="F46" s="1338">
        <f>D46*E46</f>
        <v>42000000</v>
      </c>
      <c r="G46" s="3615" t="s">
        <v>2819</v>
      </c>
      <c r="H46" s="3616"/>
      <c r="I46" s="3616"/>
      <c r="J46" s="3616"/>
      <c r="K46" s="3617"/>
      <c r="L46" s="1328"/>
      <c r="M46" s="1463" t="s">
        <v>3446</v>
      </c>
    </row>
    <row r="47" spans="1:13" ht="30" customHeight="1" x14ac:dyDescent="0.2">
      <c r="A47" s="1015">
        <v>29</v>
      </c>
      <c r="B47" s="1052" t="s">
        <v>865</v>
      </c>
      <c r="C47" s="1047" t="s">
        <v>1378</v>
      </c>
      <c r="D47" s="1020">
        <v>42000000</v>
      </c>
      <c r="E47" s="1017">
        <v>7.0000000000000007E-2</v>
      </c>
      <c r="F47" s="1020">
        <f>D47*E47</f>
        <v>2940000.0000000005</v>
      </c>
      <c r="G47" s="1020">
        <v>2940000</v>
      </c>
      <c r="H47" s="1030" t="s">
        <v>3324</v>
      </c>
      <c r="I47" s="1038">
        <v>81405</v>
      </c>
      <c r="J47" s="69" t="s">
        <v>3325</v>
      </c>
      <c r="K47" s="1020">
        <f t="shared" si="6"/>
        <v>2940000</v>
      </c>
      <c r="L47" s="1020">
        <f>F47-K47</f>
        <v>0</v>
      </c>
      <c r="M47" s="1025"/>
    </row>
    <row r="48" spans="1:13" ht="30" customHeight="1" x14ac:dyDescent="0.2">
      <c r="A48" s="1015">
        <v>30</v>
      </c>
      <c r="B48" s="1013" t="s">
        <v>870</v>
      </c>
      <c r="C48" s="1034"/>
      <c r="D48" s="1020">
        <v>20000000</v>
      </c>
      <c r="E48" s="1017">
        <v>0.04</v>
      </c>
      <c r="F48" s="1020">
        <f>D48*E48</f>
        <v>800000</v>
      </c>
      <c r="G48" s="1020">
        <v>1000000</v>
      </c>
      <c r="H48" s="1030" t="s">
        <v>3236</v>
      </c>
      <c r="I48" s="1038">
        <v>799393</v>
      </c>
      <c r="J48" s="69" t="s">
        <v>3240</v>
      </c>
      <c r="K48" s="3442">
        <f>G48+G49</f>
        <v>1200000</v>
      </c>
      <c r="L48" s="3442">
        <f>(F48+F49)-K48</f>
        <v>0</v>
      </c>
      <c r="M48" s="683"/>
    </row>
    <row r="49" spans="1:13" ht="30" customHeight="1" x14ac:dyDescent="0.2">
      <c r="A49" s="3450"/>
      <c r="B49" s="3457" t="s">
        <v>3141</v>
      </c>
      <c r="C49" s="3570" t="s">
        <v>1378</v>
      </c>
      <c r="D49" s="1364">
        <v>10000000</v>
      </c>
      <c r="E49" s="1366">
        <v>0.04</v>
      </c>
      <c r="F49" s="1364">
        <f>D49*E49</f>
        <v>400000</v>
      </c>
      <c r="G49" s="1364">
        <v>200000</v>
      </c>
      <c r="H49" s="1371" t="s">
        <v>3262</v>
      </c>
      <c r="I49" s="1375">
        <v>123624761157</v>
      </c>
      <c r="J49" s="69" t="s">
        <v>3281</v>
      </c>
      <c r="K49" s="3443"/>
      <c r="L49" s="3443"/>
      <c r="M49" s="33" t="s">
        <v>3282</v>
      </c>
    </row>
    <row r="50" spans="1:13" ht="30" customHeight="1" x14ac:dyDescent="0.2">
      <c r="A50" s="3451"/>
      <c r="B50" s="3458"/>
      <c r="C50" s="3571"/>
      <c r="D50" s="3325" t="s">
        <v>3478</v>
      </c>
      <c r="E50" s="3340"/>
      <c r="F50" s="3341"/>
      <c r="G50" s="1459">
        <v>9600000</v>
      </c>
      <c r="H50" s="1468" t="s">
        <v>3440</v>
      </c>
      <c r="I50" s="1475">
        <v>1.40105310542005E+19</v>
      </c>
      <c r="J50" s="69" t="s">
        <v>3479</v>
      </c>
      <c r="K50" s="1458">
        <f>G50</f>
        <v>9600000</v>
      </c>
      <c r="L50" s="1458"/>
      <c r="M50" s="192" t="s">
        <v>1398</v>
      </c>
    </row>
    <row r="51" spans="1:13" ht="30" customHeight="1" x14ac:dyDescent="0.2">
      <c r="A51" s="1014">
        <v>31</v>
      </c>
      <c r="B51" s="1054" t="s">
        <v>944</v>
      </c>
      <c r="C51" s="385"/>
      <c r="D51" s="1035">
        <v>100000000</v>
      </c>
      <c r="E51" s="1048">
        <v>7.0000000000000007E-2</v>
      </c>
      <c r="F51" s="1035">
        <f>D51*E51</f>
        <v>7000000.0000000009</v>
      </c>
      <c r="G51" s="1020">
        <v>7000000</v>
      </c>
      <c r="H51" s="1030" t="s">
        <v>3324</v>
      </c>
      <c r="I51" s="1038">
        <v>105250706031576</v>
      </c>
      <c r="J51" s="69" t="s">
        <v>3330</v>
      </c>
      <c r="K51" s="1018">
        <f t="shared" si="6"/>
        <v>7000000</v>
      </c>
      <c r="L51" s="1018">
        <f>F51-K51</f>
        <v>0</v>
      </c>
      <c r="M51" s="1021"/>
    </row>
    <row r="52" spans="1:13" ht="30" customHeight="1" x14ac:dyDescent="0.2">
      <c r="A52" s="3450">
        <v>32</v>
      </c>
      <c r="B52" s="3525" t="s">
        <v>1011</v>
      </c>
      <c r="C52" s="3570" t="s">
        <v>1378</v>
      </c>
      <c r="D52" s="1020">
        <v>100000000</v>
      </c>
      <c r="E52" s="1017">
        <v>0.05</v>
      </c>
      <c r="F52" s="1020">
        <f t="shared" ref="F52:F53" si="7">D52*E52</f>
        <v>5000000</v>
      </c>
      <c r="G52" s="3442">
        <v>7450000</v>
      </c>
      <c r="H52" s="3442" t="s">
        <v>3349</v>
      </c>
      <c r="I52" s="3584">
        <v>278416</v>
      </c>
      <c r="J52" s="3582" t="s">
        <v>2507</v>
      </c>
      <c r="K52" s="3442">
        <f t="shared" si="6"/>
        <v>7450000</v>
      </c>
      <c r="L52" s="3442">
        <f>(F52+F53)-K52</f>
        <v>0</v>
      </c>
      <c r="M52" s="3468"/>
    </row>
    <row r="53" spans="1:13" ht="30" customHeight="1" x14ac:dyDescent="0.2">
      <c r="A53" s="3456"/>
      <c r="B53" s="3643"/>
      <c r="C53" s="3571"/>
      <c r="D53" s="1020">
        <v>35000000</v>
      </c>
      <c r="E53" s="1017">
        <v>7.0000000000000007E-2</v>
      </c>
      <c r="F53" s="1020">
        <f t="shared" si="7"/>
        <v>2450000.0000000005</v>
      </c>
      <c r="G53" s="3443"/>
      <c r="H53" s="3443"/>
      <c r="I53" s="3585"/>
      <c r="J53" s="3583"/>
      <c r="K53" s="3443"/>
      <c r="L53" s="3443"/>
      <c r="M53" s="3469"/>
    </row>
    <row r="54" spans="1:13" ht="30" customHeight="1" x14ac:dyDescent="0.2">
      <c r="A54" s="1015">
        <v>33</v>
      </c>
      <c r="B54" s="1052" t="s">
        <v>1022</v>
      </c>
      <c r="C54" s="1034" t="s">
        <v>1342</v>
      </c>
      <c r="D54" s="1020">
        <v>63580000</v>
      </c>
      <c r="E54" s="1017">
        <v>7.0000000000000007E-2</v>
      </c>
      <c r="F54" s="1020">
        <v>4450000</v>
      </c>
      <c r="G54" s="1020">
        <v>4450000</v>
      </c>
      <c r="H54" s="1020" t="s">
        <v>3051</v>
      </c>
      <c r="I54" s="1036" t="s">
        <v>3077</v>
      </c>
      <c r="J54" s="69" t="s">
        <v>2286</v>
      </c>
      <c r="K54" s="1020">
        <f>G54</f>
        <v>4450000</v>
      </c>
      <c r="L54" s="1020">
        <f t="shared" ref="L54:L59" si="8">F54-K54</f>
        <v>0</v>
      </c>
      <c r="M54" s="1025"/>
    </row>
    <row r="55" spans="1:13" ht="30" customHeight="1" x14ac:dyDescent="0.2">
      <c r="A55" s="1015">
        <v>34</v>
      </c>
      <c r="B55" s="1012" t="s">
        <v>1141</v>
      </c>
      <c r="C55" s="1034"/>
      <c r="D55" s="1020">
        <v>20000000</v>
      </c>
      <c r="E55" s="1017">
        <v>0.04</v>
      </c>
      <c r="F55" s="1020">
        <f>D55*E55</f>
        <v>800000</v>
      </c>
      <c r="G55" s="1020">
        <v>800000</v>
      </c>
      <c r="H55" s="1020" t="s">
        <v>3362</v>
      </c>
      <c r="I55" s="1036" t="s">
        <v>3384</v>
      </c>
      <c r="J55" s="69" t="s">
        <v>1143</v>
      </c>
      <c r="K55" s="1020">
        <f>G55</f>
        <v>800000</v>
      </c>
      <c r="L55" s="1020">
        <f t="shared" si="8"/>
        <v>0</v>
      </c>
      <c r="M55" s="1025"/>
    </row>
    <row r="56" spans="1:13" ht="30" customHeight="1" x14ac:dyDescent="0.2">
      <c r="A56" s="3450">
        <v>35</v>
      </c>
      <c r="B56" s="3457" t="s">
        <v>1188</v>
      </c>
      <c r="C56" s="3570" t="s">
        <v>1175</v>
      </c>
      <c r="D56" s="1404">
        <v>150000000</v>
      </c>
      <c r="E56" s="1409">
        <v>0.06</v>
      </c>
      <c r="F56" s="1404">
        <f>D56*E56</f>
        <v>9000000</v>
      </c>
      <c r="G56" s="3325" t="s">
        <v>3397</v>
      </c>
      <c r="H56" s="3340"/>
      <c r="I56" s="3340"/>
      <c r="J56" s="3340"/>
      <c r="K56" s="3341"/>
      <c r="L56" s="1020">
        <f t="shared" si="8"/>
        <v>9000000</v>
      </c>
      <c r="M56" s="3468" t="s">
        <v>3126</v>
      </c>
    </row>
    <row r="57" spans="1:13" ht="30" customHeight="1" x14ac:dyDescent="0.2">
      <c r="A57" s="3451"/>
      <c r="B57" s="3458"/>
      <c r="C57" s="3571"/>
      <c r="D57" s="1408">
        <v>175000000</v>
      </c>
      <c r="E57" s="1414">
        <v>0.06</v>
      </c>
      <c r="F57" s="1408">
        <f>D57*E57</f>
        <v>10500000</v>
      </c>
      <c r="G57" s="3325" t="s">
        <v>3398</v>
      </c>
      <c r="H57" s="3340"/>
      <c r="I57" s="3340"/>
      <c r="J57" s="3340"/>
      <c r="K57" s="3341"/>
      <c r="L57" s="1397">
        <f t="shared" si="8"/>
        <v>10500000</v>
      </c>
      <c r="M57" s="3469"/>
    </row>
    <row r="58" spans="1:13" ht="30" customHeight="1" x14ac:dyDescent="0.2">
      <c r="A58" s="1396"/>
      <c r="B58" s="1395" t="s">
        <v>3399</v>
      </c>
      <c r="C58" s="1401"/>
      <c r="D58" s="1408">
        <v>100000000</v>
      </c>
      <c r="E58" s="1414">
        <v>0.04</v>
      </c>
      <c r="F58" s="1408">
        <f>D58*E58</f>
        <v>4000000</v>
      </c>
      <c r="G58" s="3478" t="s">
        <v>3400</v>
      </c>
      <c r="H58" s="3479"/>
      <c r="I58" s="3479"/>
      <c r="J58" s="3479"/>
      <c r="K58" s="3480"/>
      <c r="L58" s="1397">
        <f t="shared" si="8"/>
        <v>4000000</v>
      </c>
      <c r="M58" s="1399"/>
    </row>
    <row r="59" spans="1:13" ht="30" customHeight="1" x14ac:dyDescent="0.2">
      <c r="A59" s="3450">
        <v>36</v>
      </c>
      <c r="B59" s="3525" t="s">
        <v>1194</v>
      </c>
      <c r="C59" s="3570" t="s">
        <v>1112</v>
      </c>
      <c r="D59" s="3442">
        <v>50000000</v>
      </c>
      <c r="E59" s="3444">
        <v>7.0000000000000007E-2</v>
      </c>
      <c r="F59" s="3442">
        <f>D59*E59</f>
        <v>3500000.0000000005</v>
      </c>
      <c r="G59" s="1248">
        <v>3500000</v>
      </c>
      <c r="H59" s="1248" t="s">
        <v>2687</v>
      </c>
      <c r="I59" s="1253" t="s">
        <v>2700</v>
      </c>
      <c r="J59" s="70" t="s">
        <v>2701</v>
      </c>
      <c r="K59" s="1248">
        <f>G59</f>
        <v>3500000</v>
      </c>
      <c r="L59" s="1020">
        <f t="shared" si="8"/>
        <v>0</v>
      </c>
      <c r="M59" s="1025" t="s">
        <v>3414</v>
      </c>
    </row>
    <row r="60" spans="1:13" ht="30" customHeight="1" x14ac:dyDescent="0.2">
      <c r="A60" s="3451"/>
      <c r="B60" s="3526"/>
      <c r="C60" s="3571"/>
      <c r="D60" s="3443"/>
      <c r="E60" s="3445"/>
      <c r="F60" s="3443"/>
      <c r="G60" s="1397">
        <v>3500000</v>
      </c>
      <c r="H60" s="1397" t="s">
        <v>3411</v>
      </c>
      <c r="I60" s="1405" t="s">
        <v>3412</v>
      </c>
      <c r="J60" s="70" t="s">
        <v>3413</v>
      </c>
      <c r="K60" s="1397">
        <f>G60</f>
        <v>3500000</v>
      </c>
      <c r="L60" s="1397">
        <f>F59-K60</f>
        <v>0</v>
      </c>
      <c r="M60" s="1399" t="s">
        <v>3126</v>
      </c>
    </row>
    <row r="61" spans="1:13" ht="30" customHeight="1" x14ac:dyDescent="0.2">
      <c r="A61" s="1015">
        <v>38</v>
      </c>
      <c r="B61" s="1011" t="s">
        <v>1302</v>
      </c>
      <c r="C61" s="1034"/>
      <c r="D61" s="315"/>
      <c r="E61" s="316"/>
      <c r="F61" s="315"/>
      <c r="G61" s="1020"/>
      <c r="H61" s="1020"/>
      <c r="I61" s="1036"/>
      <c r="J61" s="69"/>
      <c r="K61" s="1020"/>
      <c r="L61" s="1026">
        <f>F61-K61</f>
        <v>0</v>
      </c>
      <c r="M61" s="1025"/>
    </row>
    <row r="62" spans="1:13" ht="30" customHeight="1" x14ac:dyDescent="0.2">
      <c r="A62" s="1015">
        <v>39</v>
      </c>
      <c r="B62" s="1011" t="s">
        <v>1261</v>
      </c>
      <c r="C62" s="1034"/>
      <c r="D62" s="315"/>
      <c r="E62" s="316"/>
      <c r="F62" s="315"/>
      <c r="G62" s="1020"/>
      <c r="H62" s="1020"/>
      <c r="I62" s="1036"/>
      <c r="J62" s="69"/>
      <c r="K62" s="1020"/>
      <c r="L62" s="1026">
        <f>F62-K62</f>
        <v>0</v>
      </c>
      <c r="M62" s="1025"/>
    </row>
    <row r="63" spans="1:13" ht="30" customHeight="1" x14ac:dyDescent="0.2">
      <c r="A63" s="1015">
        <v>40</v>
      </c>
      <c r="B63" s="1011" t="s">
        <v>1314</v>
      </c>
      <c r="C63" s="1034" t="s">
        <v>1344</v>
      </c>
      <c r="D63" s="242">
        <v>16000000</v>
      </c>
      <c r="E63" s="317">
        <v>0.05</v>
      </c>
      <c r="F63" s="242">
        <f>D63*E63</f>
        <v>800000</v>
      </c>
      <c r="G63" s="1020">
        <v>800000</v>
      </c>
      <c r="H63" s="1020" t="s">
        <v>3262</v>
      </c>
      <c r="I63" s="1036" t="s">
        <v>3283</v>
      </c>
      <c r="J63" s="69" t="s">
        <v>3284</v>
      </c>
      <c r="K63" s="1020">
        <f>G63</f>
        <v>800000</v>
      </c>
      <c r="L63" s="1020">
        <f>F63-K63</f>
        <v>0</v>
      </c>
      <c r="M63" s="1025"/>
    </row>
    <row r="64" spans="1:13" ht="30" customHeight="1" x14ac:dyDescent="0.2">
      <c r="A64" s="1015">
        <v>41</v>
      </c>
      <c r="B64" s="1011" t="s">
        <v>1337</v>
      </c>
      <c r="C64" s="1034"/>
      <c r="D64" s="315"/>
      <c r="E64" s="316"/>
      <c r="F64" s="315"/>
      <c r="G64" s="1020"/>
      <c r="H64" s="1020"/>
      <c r="I64" s="1045"/>
      <c r="J64" s="69"/>
      <c r="K64" s="1020"/>
      <c r="L64" s="1026">
        <f>F64-K64</f>
        <v>0</v>
      </c>
      <c r="M64" s="1025"/>
    </row>
    <row r="65" spans="1:13" ht="30" customHeight="1" x14ac:dyDescent="0.2">
      <c r="A65" s="1015">
        <v>42</v>
      </c>
      <c r="B65" s="1054" t="s">
        <v>186</v>
      </c>
      <c r="C65" s="1034"/>
      <c r="D65" s="1020">
        <v>60000000</v>
      </c>
      <c r="E65" s="1048">
        <v>0.05</v>
      </c>
      <c r="F65" s="1020">
        <f t="shared" ref="F65:F182" si="9">D65*E65</f>
        <v>3000000</v>
      </c>
      <c r="G65" s="3442">
        <v>3500000</v>
      </c>
      <c r="H65" s="3442" t="s">
        <v>2937</v>
      </c>
      <c r="I65" s="3577" t="s">
        <v>2953</v>
      </c>
      <c r="J65" s="3589" t="s">
        <v>2954</v>
      </c>
      <c r="K65" s="3442">
        <f>G65</f>
        <v>3500000</v>
      </c>
      <c r="L65" s="3442">
        <f>(F65+F66)-K65</f>
        <v>0</v>
      </c>
      <c r="M65" s="3525"/>
    </row>
    <row r="66" spans="1:13" ht="30" customHeight="1" x14ac:dyDescent="0.2">
      <c r="A66" s="1015">
        <v>43</v>
      </c>
      <c r="B66" s="1052" t="s">
        <v>1109</v>
      </c>
      <c r="C66" s="1034"/>
      <c r="D66" s="1020">
        <v>10000000</v>
      </c>
      <c r="E66" s="1048">
        <v>0.05</v>
      </c>
      <c r="F66" s="1020">
        <f>D66*E66</f>
        <v>500000</v>
      </c>
      <c r="G66" s="3443"/>
      <c r="H66" s="3443"/>
      <c r="I66" s="3578"/>
      <c r="J66" s="3591"/>
      <c r="K66" s="3443"/>
      <c r="L66" s="3443"/>
      <c r="M66" s="3526"/>
    </row>
    <row r="67" spans="1:13" ht="30" customHeight="1" x14ac:dyDescent="0.2">
      <c r="A67" s="1015">
        <v>44</v>
      </c>
      <c r="B67" s="1052" t="s">
        <v>187</v>
      </c>
      <c r="C67" s="1034" t="s">
        <v>916</v>
      </c>
      <c r="D67" s="1020">
        <v>150000000</v>
      </c>
      <c r="E67" s="1048">
        <v>0.05</v>
      </c>
      <c r="F67" s="1020">
        <f t="shared" si="9"/>
        <v>7500000</v>
      </c>
      <c r="G67" s="1020">
        <v>7500000</v>
      </c>
      <c r="H67" s="1020" t="s">
        <v>2823</v>
      </c>
      <c r="I67" s="1045" t="s">
        <v>2825</v>
      </c>
      <c r="J67" s="1035" t="s">
        <v>1411</v>
      </c>
      <c r="K67" s="1020">
        <f t="shared" ref="K67:K77" si="10">G67</f>
        <v>7500000</v>
      </c>
      <c r="L67" s="1020">
        <f t="shared" ref="L67:L183" si="11">F67-K67</f>
        <v>0</v>
      </c>
      <c r="M67" s="1052"/>
    </row>
    <row r="68" spans="1:13" ht="30" customHeight="1" x14ac:dyDescent="0.2">
      <c r="A68" s="3450">
        <v>45</v>
      </c>
      <c r="B68" s="3457" t="s">
        <v>188</v>
      </c>
      <c r="C68" s="3570" t="s">
        <v>1350</v>
      </c>
      <c r="D68" s="3442">
        <v>1190000000</v>
      </c>
      <c r="E68" s="3444">
        <v>7.0000000000000007E-2</v>
      </c>
      <c r="F68" s="3442">
        <f t="shared" si="9"/>
        <v>83300000.000000015</v>
      </c>
      <c r="G68" s="1020">
        <v>70000000</v>
      </c>
      <c r="H68" s="1020" t="s">
        <v>2768</v>
      </c>
      <c r="I68" s="1049" t="s">
        <v>2770</v>
      </c>
      <c r="J68" s="24" t="s">
        <v>2771</v>
      </c>
      <c r="K68" s="3442">
        <f>G68+G69</f>
        <v>83300000</v>
      </c>
      <c r="L68" s="3442">
        <f>F68-K68</f>
        <v>0</v>
      </c>
      <c r="M68" s="3525"/>
    </row>
    <row r="69" spans="1:13" ht="30" customHeight="1" x14ac:dyDescent="0.2">
      <c r="A69" s="3451"/>
      <c r="B69" s="3458"/>
      <c r="C69" s="3571"/>
      <c r="D69" s="3443"/>
      <c r="E69" s="3445"/>
      <c r="F69" s="3443"/>
      <c r="G69" s="1144">
        <v>13300000</v>
      </c>
      <c r="H69" s="1144" t="s">
        <v>2823</v>
      </c>
      <c r="I69" s="1158" t="s">
        <v>2829</v>
      </c>
      <c r="J69" s="24" t="s">
        <v>2830</v>
      </c>
      <c r="K69" s="3443"/>
      <c r="L69" s="3443"/>
      <c r="M69" s="3526"/>
    </row>
    <row r="70" spans="1:13" ht="30" customHeight="1" x14ac:dyDescent="0.2">
      <c r="A70" s="3450">
        <v>46</v>
      </c>
      <c r="B70" s="3727" t="s">
        <v>189</v>
      </c>
      <c r="C70" s="3730" t="s">
        <v>1112</v>
      </c>
      <c r="D70" s="3631">
        <v>1200000000</v>
      </c>
      <c r="E70" s="3637">
        <v>0.08</v>
      </c>
      <c r="F70" s="3631">
        <f>D70*E70</f>
        <v>96000000</v>
      </c>
      <c r="G70" s="1408">
        <v>30000000</v>
      </c>
      <c r="H70" s="1408" t="s">
        <v>3010</v>
      </c>
      <c r="I70" s="1434" t="s">
        <v>3083</v>
      </c>
      <c r="J70" s="609" t="s">
        <v>1106</v>
      </c>
      <c r="K70" s="1435">
        <f t="shared" si="10"/>
        <v>30000000</v>
      </c>
      <c r="L70" s="1435">
        <f>F70-K70</f>
        <v>66000000</v>
      </c>
      <c r="M70" s="1436" t="s">
        <v>2970</v>
      </c>
    </row>
    <row r="71" spans="1:13" ht="30" customHeight="1" x14ac:dyDescent="0.2">
      <c r="A71" s="3456"/>
      <c r="B71" s="3728"/>
      <c r="C71" s="3731"/>
      <c r="D71" s="3632"/>
      <c r="E71" s="3638"/>
      <c r="F71" s="3632"/>
      <c r="G71" s="1408">
        <v>16500000</v>
      </c>
      <c r="H71" s="1408" t="s">
        <v>3139</v>
      </c>
      <c r="I71" s="1434" t="s">
        <v>3186</v>
      </c>
      <c r="J71" s="609" t="s">
        <v>1106</v>
      </c>
      <c r="K71" s="1408">
        <f>G71</f>
        <v>16500000</v>
      </c>
      <c r="L71" s="1408"/>
      <c r="M71" s="1437"/>
    </row>
    <row r="72" spans="1:13" ht="30" customHeight="1" x14ac:dyDescent="0.2">
      <c r="A72" s="3451"/>
      <c r="B72" s="3728"/>
      <c r="C72" s="3731"/>
      <c r="D72" s="3632"/>
      <c r="E72" s="3638"/>
      <c r="F72" s="3632"/>
      <c r="G72" s="1408">
        <v>46000000</v>
      </c>
      <c r="H72" s="1408" t="s">
        <v>3349</v>
      </c>
      <c r="I72" s="1434" t="s">
        <v>3402</v>
      </c>
      <c r="J72" s="609" t="s">
        <v>1106</v>
      </c>
      <c r="K72" s="1408">
        <f>G72</f>
        <v>46000000</v>
      </c>
      <c r="L72" s="1408"/>
      <c r="M72" s="1437"/>
    </row>
    <row r="73" spans="1:13" ht="30" customHeight="1" x14ac:dyDescent="0.2">
      <c r="A73" s="1515"/>
      <c r="B73" s="3729"/>
      <c r="C73" s="3732"/>
      <c r="D73" s="3633"/>
      <c r="E73" s="3639"/>
      <c r="F73" s="3633"/>
      <c r="G73" s="1553">
        <v>50000000</v>
      </c>
      <c r="H73" s="1553" t="s">
        <v>3433</v>
      </c>
      <c r="I73" s="1434" t="s">
        <v>3501</v>
      </c>
      <c r="J73" s="609" t="s">
        <v>1106</v>
      </c>
      <c r="K73" s="1553">
        <f>G73</f>
        <v>50000000</v>
      </c>
      <c r="L73" s="1553"/>
      <c r="M73" s="1437"/>
    </row>
    <row r="74" spans="1:13" ht="30" customHeight="1" x14ac:dyDescent="0.2">
      <c r="A74" s="1014">
        <v>47</v>
      </c>
      <c r="B74" s="1054" t="s">
        <v>190</v>
      </c>
      <c r="C74" s="1047" t="s">
        <v>1110</v>
      </c>
      <c r="D74" s="1020">
        <v>20000000</v>
      </c>
      <c r="E74" s="1017">
        <v>0.05</v>
      </c>
      <c r="F74" s="1020">
        <f t="shared" si="9"/>
        <v>1000000</v>
      </c>
      <c r="G74" s="1020"/>
      <c r="H74" s="1020"/>
      <c r="I74" s="1036"/>
      <c r="J74" s="1036"/>
      <c r="K74" s="1020">
        <f t="shared" si="10"/>
        <v>0</v>
      </c>
      <c r="L74" s="1020">
        <f t="shared" si="11"/>
        <v>1000000</v>
      </c>
      <c r="M74" s="1032"/>
    </row>
    <row r="75" spans="1:13" ht="30" customHeight="1" x14ac:dyDescent="0.2">
      <c r="A75" s="3693">
        <v>48</v>
      </c>
      <c r="B75" s="3457" t="s">
        <v>1708</v>
      </c>
      <c r="C75" s="3570" t="s">
        <v>1112</v>
      </c>
      <c r="D75" s="3442">
        <v>100000000</v>
      </c>
      <c r="E75" s="3444">
        <v>0.05</v>
      </c>
      <c r="F75" s="3442">
        <f t="shared" si="9"/>
        <v>5000000</v>
      </c>
      <c r="G75" s="1020">
        <v>5000000</v>
      </c>
      <c r="H75" s="1020" t="s">
        <v>2768</v>
      </c>
      <c r="I75" s="1036" t="s">
        <v>2788</v>
      </c>
      <c r="J75" s="24" t="s">
        <v>3464</v>
      </c>
      <c r="K75" s="1020">
        <f t="shared" si="10"/>
        <v>5000000</v>
      </c>
      <c r="L75" s="1020">
        <f t="shared" si="11"/>
        <v>0</v>
      </c>
      <c r="M75" s="103" t="s">
        <v>1811</v>
      </c>
    </row>
    <row r="76" spans="1:13" ht="30" customHeight="1" x14ac:dyDescent="0.2">
      <c r="A76" s="3693"/>
      <c r="B76" s="3458"/>
      <c r="C76" s="3571"/>
      <c r="D76" s="3443"/>
      <c r="E76" s="3445"/>
      <c r="F76" s="3443"/>
      <c r="G76" s="1459">
        <v>5000000</v>
      </c>
      <c r="H76" s="1459" t="s">
        <v>3461</v>
      </c>
      <c r="I76" s="1474" t="s">
        <v>3463</v>
      </c>
      <c r="J76" s="24" t="s">
        <v>3464</v>
      </c>
      <c r="K76" s="1459">
        <f t="shared" si="10"/>
        <v>5000000</v>
      </c>
      <c r="L76" s="1459">
        <f>F75-K76</f>
        <v>0</v>
      </c>
      <c r="M76" s="103" t="s">
        <v>3126</v>
      </c>
    </row>
    <row r="77" spans="1:13" ht="30" customHeight="1" x14ac:dyDescent="0.2">
      <c r="A77" s="1015">
        <v>49</v>
      </c>
      <c r="B77" s="1052" t="s">
        <v>192</v>
      </c>
      <c r="C77" s="1034" t="s">
        <v>1350</v>
      </c>
      <c r="D77" s="1020">
        <v>230000000</v>
      </c>
      <c r="E77" s="1048">
        <v>0.05</v>
      </c>
      <c r="F77" s="1020">
        <f t="shared" si="9"/>
        <v>11500000</v>
      </c>
      <c r="G77" s="1020">
        <v>11500000</v>
      </c>
      <c r="H77" s="1020" t="s">
        <v>2823</v>
      </c>
      <c r="I77" s="1045" t="s">
        <v>2882</v>
      </c>
      <c r="J77" s="24" t="s">
        <v>1082</v>
      </c>
      <c r="K77" s="1020">
        <f t="shared" si="10"/>
        <v>11500000</v>
      </c>
      <c r="L77" s="1020">
        <f t="shared" si="11"/>
        <v>0</v>
      </c>
      <c r="M77" s="1052"/>
    </row>
    <row r="78" spans="1:13" ht="30" customHeight="1" x14ac:dyDescent="0.2">
      <c r="A78" s="3450">
        <v>50</v>
      </c>
      <c r="B78" s="3457" t="s">
        <v>193</v>
      </c>
      <c r="C78" s="3570" t="s">
        <v>916</v>
      </c>
      <c r="D78" s="3442">
        <v>350000000</v>
      </c>
      <c r="E78" s="3444">
        <v>0.05</v>
      </c>
      <c r="F78" s="3442">
        <f t="shared" si="9"/>
        <v>17500000</v>
      </c>
      <c r="G78" s="3760" t="s">
        <v>2652</v>
      </c>
      <c r="H78" s="3761"/>
      <c r="I78" s="3761"/>
      <c r="J78" s="3761"/>
      <c r="K78" s="3761"/>
      <c r="L78" s="3762"/>
      <c r="M78" s="103"/>
    </row>
    <row r="79" spans="1:13" ht="30" customHeight="1" x14ac:dyDescent="0.2">
      <c r="A79" s="3451"/>
      <c r="B79" s="3458"/>
      <c r="C79" s="3571"/>
      <c r="D79" s="3443"/>
      <c r="E79" s="3445"/>
      <c r="F79" s="3443"/>
      <c r="G79" s="1459">
        <v>17500000</v>
      </c>
      <c r="H79" s="1457" t="s">
        <v>3440</v>
      </c>
      <c r="I79" s="1473" t="s">
        <v>3477</v>
      </c>
      <c r="J79" s="1470" t="s">
        <v>1084</v>
      </c>
      <c r="K79" s="1457">
        <f>G79</f>
        <v>17500000</v>
      </c>
      <c r="L79" s="1472">
        <f>F78-K79</f>
        <v>0</v>
      </c>
      <c r="M79" s="1462" t="s">
        <v>3473</v>
      </c>
    </row>
    <row r="80" spans="1:13" ht="30" customHeight="1" x14ac:dyDescent="0.2">
      <c r="A80" s="3450">
        <v>51</v>
      </c>
      <c r="B80" s="3457" t="s">
        <v>194</v>
      </c>
      <c r="C80" s="3570" t="s">
        <v>916</v>
      </c>
      <c r="D80" s="3442">
        <v>260000000</v>
      </c>
      <c r="E80" s="3444">
        <f>F80/D80</f>
        <v>5.5769230769230772E-2</v>
      </c>
      <c r="F80" s="3442">
        <v>14500000</v>
      </c>
      <c r="G80" s="3748" t="s">
        <v>2562</v>
      </c>
      <c r="H80" s="3749"/>
      <c r="I80" s="3749"/>
      <c r="J80" s="3749"/>
      <c r="K80" s="3749"/>
      <c r="L80" s="3750"/>
      <c r="M80" s="1011" t="s">
        <v>2600</v>
      </c>
    </row>
    <row r="81" spans="1:13" ht="30" customHeight="1" x14ac:dyDescent="0.2">
      <c r="A81" s="3451"/>
      <c r="B81" s="3458"/>
      <c r="C81" s="3571"/>
      <c r="D81" s="3443"/>
      <c r="E81" s="3445"/>
      <c r="F81" s="3443"/>
      <c r="G81" s="3751"/>
      <c r="H81" s="3752"/>
      <c r="I81" s="3752"/>
      <c r="J81" s="3752"/>
      <c r="K81" s="3752"/>
      <c r="L81" s="3753"/>
      <c r="M81" s="1013" t="s">
        <v>2563</v>
      </c>
    </row>
    <row r="82" spans="1:13" ht="30" customHeight="1" x14ac:dyDescent="0.2">
      <c r="A82" s="3450">
        <v>52</v>
      </c>
      <c r="B82" s="3457" t="s">
        <v>195</v>
      </c>
      <c r="C82" s="3570" t="s">
        <v>1352</v>
      </c>
      <c r="D82" s="1248">
        <v>60000000</v>
      </c>
      <c r="E82" s="1256">
        <f>F82/D82</f>
        <v>7.0000000000000007E-2</v>
      </c>
      <c r="F82" s="1248">
        <v>4200000</v>
      </c>
      <c r="G82" s="3325" t="s">
        <v>2146</v>
      </c>
      <c r="H82" s="3340"/>
      <c r="I82" s="3340"/>
      <c r="J82" s="3340"/>
      <c r="K82" s="3341"/>
      <c r="L82" s="1248">
        <f t="shared" si="11"/>
        <v>4200000</v>
      </c>
      <c r="M82" s="1052" t="s">
        <v>1588</v>
      </c>
    </row>
    <row r="83" spans="1:13" ht="30" customHeight="1" x14ac:dyDescent="0.2">
      <c r="A83" s="3456"/>
      <c r="B83" s="3459"/>
      <c r="C83" s="3576"/>
      <c r="D83" s="1248">
        <v>20000000</v>
      </c>
      <c r="E83" s="1256"/>
      <c r="F83" s="1248"/>
      <c r="G83" s="3478" t="s">
        <v>2147</v>
      </c>
      <c r="H83" s="3479"/>
      <c r="I83" s="3479"/>
      <c r="J83" s="3479"/>
      <c r="K83" s="3479"/>
      <c r="L83" s="3480"/>
      <c r="M83" s="1052"/>
    </row>
    <row r="84" spans="1:13" ht="30" customHeight="1" x14ac:dyDescent="0.2">
      <c r="A84" s="3456"/>
      <c r="B84" s="3459"/>
      <c r="C84" s="3576"/>
      <c r="D84" s="1502">
        <v>80000000</v>
      </c>
      <c r="E84" s="1351">
        <v>7.0000000000000007E-2</v>
      </c>
      <c r="F84" s="1502">
        <f>D84*E84</f>
        <v>5600000.0000000009</v>
      </c>
      <c r="G84" s="1221">
        <v>5600000</v>
      </c>
      <c r="H84" s="1219" t="s">
        <v>2937</v>
      </c>
      <c r="I84" s="1223" t="s">
        <v>2944</v>
      </c>
      <c r="J84" s="1222" t="s">
        <v>1088</v>
      </c>
      <c r="K84" s="1192">
        <f>G84</f>
        <v>5600000</v>
      </c>
      <c r="L84" s="1193">
        <f>F84-K84</f>
        <v>0</v>
      </c>
      <c r="M84" s="813" t="s">
        <v>2845</v>
      </c>
    </row>
    <row r="85" spans="1:13" ht="30" customHeight="1" x14ac:dyDescent="0.2">
      <c r="A85" s="3451"/>
      <c r="B85" s="3458"/>
      <c r="C85" s="3571"/>
      <c r="D85" s="1502">
        <v>10000000</v>
      </c>
      <c r="E85" s="1351">
        <v>7.0000000000000007E-2</v>
      </c>
      <c r="F85" s="1502">
        <f>D85*E85</f>
        <v>700000.00000000012</v>
      </c>
      <c r="G85" s="3705" t="s">
        <v>3019</v>
      </c>
      <c r="H85" s="3706"/>
      <c r="I85" s="3706"/>
      <c r="J85" s="3706"/>
      <c r="K85" s="3707"/>
      <c r="L85" s="1252"/>
      <c r="M85" s="813" t="s">
        <v>3018</v>
      </c>
    </row>
    <row r="86" spans="1:13" ht="30" customHeight="1" x14ac:dyDescent="0.2">
      <c r="A86" s="3450">
        <v>53</v>
      </c>
      <c r="B86" s="3525" t="s">
        <v>196</v>
      </c>
      <c r="C86" s="3570" t="s">
        <v>1349</v>
      </c>
      <c r="D86" s="3442">
        <v>350000000</v>
      </c>
      <c r="E86" s="3444">
        <v>7.0000000000000007E-2</v>
      </c>
      <c r="F86" s="3442">
        <f t="shared" si="9"/>
        <v>24500000.000000004</v>
      </c>
      <c r="G86" s="1312">
        <v>20000000</v>
      </c>
      <c r="H86" s="1304" t="s">
        <v>3032</v>
      </c>
      <c r="I86" s="1313" t="s">
        <v>3156</v>
      </c>
      <c r="J86" s="1310" t="s">
        <v>714</v>
      </c>
      <c r="K86" s="3442">
        <f>G86+G87</f>
        <v>24500000</v>
      </c>
      <c r="L86" s="3442">
        <f>F86-K86</f>
        <v>0</v>
      </c>
      <c r="M86" s="813"/>
    </row>
    <row r="87" spans="1:13" ht="30" customHeight="1" x14ac:dyDescent="0.2">
      <c r="A87" s="3456"/>
      <c r="B87" s="3643"/>
      <c r="C87" s="3576"/>
      <c r="D87" s="3443"/>
      <c r="E87" s="3445"/>
      <c r="F87" s="3443"/>
      <c r="G87" s="1312">
        <v>4500000</v>
      </c>
      <c r="H87" s="1304" t="s">
        <v>3139</v>
      </c>
      <c r="I87" s="1313" t="s">
        <v>3179</v>
      </c>
      <c r="J87" s="1310" t="s">
        <v>286</v>
      </c>
      <c r="K87" s="3443"/>
      <c r="L87" s="3443"/>
      <c r="M87" s="567"/>
    </row>
    <row r="88" spans="1:13" ht="30" customHeight="1" x14ac:dyDescent="0.2">
      <c r="A88" s="3451"/>
      <c r="B88" s="3526"/>
      <c r="C88" s="3571"/>
      <c r="D88" s="1305"/>
      <c r="E88" s="1308"/>
      <c r="F88" s="1305"/>
      <c r="G88" s="1309">
        <v>2000000</v>
      </c>
      <c r="H88" s="1304" t="s">
        <v>3139</v>
      </c>
      <c r="I88" s="1313" t="s">
        <v>3181</v>
      </c>
      <c r="J88" s="1310" t="s">
        <v>286</v>
      </c>
      <c r="K88" s="1304"/>
      <c r="L88" s="1304"/>
      <c r="M88" s="813" t="s">
        <v>3180</v>
      </c>
    </row>
    <row r="89" spans="1:13" ht="30" customHeight="1" x14ac:dyDescent="0.2">
      <c r="A89" s="3450">
        <v>54</v>
      </c>
      <c r="B89" s="3457" t="s">
        <v>1090</v>
      </c>
      <c r="C89" s="3570"/>
      <c r="D89" s="1020">
        <v>35000000</v>
      </c>
      <c r="E89" s="1017">
        <v>7.1999999999999995E-2</v>
      </c>
      <c r="F89" s="1020">
        <v>2500000</v>
      </c>
      <c r="G89" s="3738"/>
      <c r="H89" s="3738"/>
      <c r="I89" s="3763"/>
      <c r="J89" s="3740"/>
      <c r="K89" s="3738">
        <f>G89</f>
        <v>0</v>
      </c>
      <c r="L89" s="3738">
        <f>(F89+F90)-K89</f>
        <v>3500000</v>
      </c>
      <c r="M89" s="3525"/>
    </row>
    <row r="90" spans="1:13" ht="30" customHeight="1" x14ac:dyDescent="0.2">
      <c r="A90" s="3456"/>
      <c r="B90" s="3458"/>
      <c r="C90" s="3571"/>
      <c r="D90" s="1020">
        <v>13000000</v>
      </c>
      <c r="E90" s="1048">
        <v>7.6999999999999999E-2</v>
      </c>
      <c r="F90" s="1020">
        <v>1000000</v>
      </c>
      <c r="G90" s="3739"/>
      <c r="H90" s="3739"/>
      <c r="I90" s="3764"/>
      <c r="J90" s="3741"/>
      <c r="K90" s="3739"/>
      <c r="L90" s="3739"/>
      <c r="M90" s="3526"/>
    </row>
    <row r="91" spans="1:13" ht="30" customHeight="1" x14ac:dyDescent="0.2">
      <c r="A91" s="3450">
        <v>55</v>
      </c>
      <c r="B91" s="3457" t="s">
        <v>1295</v>
      </c>
      <c r="C91" s="3570" t="s">
        <v>1350</v>
      </c>
      <c r="D91" s="1035">
        <v>175000000</v>
      </c>
      <c r="E91" s="1048">
        <v>0.52</v>
      </c>
      <c r="F91" s="1035">
        <v>9000000</v>
      </c>
      <c r="G91" s="3575">
        <v>17400000</v>
      </c>
      <c r="H91" s="3575" t="s">
        <v>2687</v>
      </c>
      <c r="I91" s="3669" t="s">
        <v>2706</v>
      </c>
      <c r="J91" s="3670" t="s">
        <v>1093</v>
      </c>
      <c r="K91" s="3575">
        <f>G91</f>
        <v>17400000</v>
      </c>
      <c r="L91" s="3575">
        <f>(F91+F92+F93)-K91</f>
        <v>850000</v>
      </c>
      <c r="M91" s="192" t="s">
        <v>2051</v>
      </c>
    </row>
    <row r="92" spans="1:13" ht="30" customHeight="1" x14ac:dyDescent="0.2">
      <c r="A92" s="3456"/>
      <c r="B92" s="3459"/>
      <c r="C92" s="3576"/>
      <c r="D92" s="1018">
        <f>85000000+20000000</f>
        <v>105000000</v>
      </c>
      <c r="E92" s="1016">
        <v>7.0000000000000007E-2</v>
      </c>
      <c r="F92" s="1018">
        <v>7500000</v>
      </c>
      <c r="G92" s="3575"/>
      <c r="H92" s="3575"/>
      <c r="I92" s="3669"/>
      <c r="J92" s="3670"/>
      <c r="K92" s="3575"/>
      <c r="L92" s="3575"/>
      <c r="M92" s="192" t="s">
        <v>2052</v>
      </c>
    </row>
    <row r="93" spans="1:13" ht="30" customHeight="1" x14ac:dyDescent="0.2">
      <c r="A93" s="3451"/>
      <c r="B93" s="3458"/>
      <c r="C93" s="3571"/>
      <c r="D93" s="1035">
        <v>35000000</v>
      </c>
      <c r="E93" s="1048">
        <v>0.05</v>
      </c>
      <c r="F93" s="1035">
        <f>D93*E93</f>
        <v>1750000</v>
      </c>
      <c r="G93" s="3575"/>
      <c r="H93" s="3575"/>
      <c r="I93" s="3669"/>
      <c r="J93" s="3670"/>
      <c r="K93" s="3575"/>
      <c r="L93" s="3575"/>
      <c r="M93" s="1025" t="s">
        <v>2653</v>
      </c>
    </row>
    <row r="94" spans="1:13" ht="30" customHeight="1" x14ac:dyDescent="0.2">
      <c r="A94" s="3450">
        <v>56</v>
      </c>
      <c r="B94" s="3457" t="s">
        <v>36</v>
      </c>
      <c r="C94" s="3570" t="s">
        <v>1350</v>
      </c>
      <c r="D94" s="3442">
        <v>3284000000</v>
      </c>
      <c r="E94" s="3444">
        <v>7.0000000000000007E-2</v>
      </c>
      <c r="F94" s="3442">
        <v>229880000</v>
      </c>
      <c r="G94" s="1035">
        <v>2140000</v>
      </c>
      <c r="H94" s="3442" t="s">
        <v>2823</v>
      </c>
      <c r="I94" s="3666" t="s">
        <v>2824</v>
      </c>
      <c r="J94" s="3452" t="s">
        <v>696</v>
      </c>
      <c r="K94" s="240">
        <f>G94</f>
        <v>2140000</v>
      </c>
      <c r="L94" s="1173">
        <f>تیر!L87-مرداد!G94</f>
        <v>0</v>
      </c>
      <c r="M94" s="103" t="s">
        <v>2822</v>
      </c>
    </row>
    <row r="95" spans="1:13" ht="30" customHeight="1" x14ac:dyDescent="0.2">
      <c r="A95" s="3456"/>
      <c r="B95" s="3459"/>
      <c r="C95" s="3576"/>
      <c r="D95" s="3461"/>
      <c r="E95" s="3474"/>
      <c r="F95" s="3461"/>
      <c r="G95" s="1020">
        <v>29880000</v>
      </c>
      <c r="H95" s="3443"/>
      <c r="I95" s="3667"/>
      <c r="J95" s="3453"/>
      <c r="K95" s="3575">
        <f>G95+G96+G97+G98+G99+G100</f>
        <v>229880000</v>
      </c>
      <c r="L95" s="3575">
        <f>F94-K95</f>
        <v>0</v>
      </c>
      <c r="M95" s="3733" t="s">
        <v>3126</v>
      </c>
    </row>
    <row r="96" spans="1:13" ht="30" customHeight="1" x14ac:dyDescent="0.2">
      <c r="A96" s="3456"/>
      <c r="B96" s="3459"/>
      <c r="C96" s="3576"/>
      <c r="D96" s="3461"/>
      <c r="E96" s="3474"/>
      <c r="F96" s="3461"/>
      <c r="G96" s="1020">
        <v>50000000</v>
      </c>
      <c r="H96" s="1020" t="s">
        <v>2847</v>
      </c>
      <c r="I96" s="1036" t="s">
        <v>2931</v>
      </c>
      <c r="J96" s="24" t="s">
        <v>696</v>
      </c>
      <c r="K96" s="3575"/>
      <c r="L96" s="3575"/>
      <c r="M96" s="3734"/>
    </row>
    <row r="97" spans="1:13" ht="30" customHeight="1" x14ac:dyDescent="0.2">
      <c r="A97" s="3456"/>
      <c r="B97" s="3459"/>
      <c r="C97" s="3576"/>
      <c r="D97" s="3461"/>
      <c r="E97" s="3474"/>
      <c r="F97" s="3461"/>
      <c r="G97" s="1020">
        <v>20000000</v>
      </c>
      <c r="H97" s="1020" t="s">
        <v>3051</v>
      </c>
      <c r="I97" s="1036" t="s">
        <v>3075</v>
      </c>
      <c r="J97" s="24" t="s">
        <v>696</v>
      </c>
      <c r="K97" s="3575"/>
      <c r="L97" s="3575"/>
      <c r="M97" s="3734"/>
    </row>
    <row r="98" spans="1:13" ht="30" customHeight="1" x14ac:dyDescent="0.2">
      <c r="A98" s="3456"/>
      <c r="B98" s="3459"/>
      <c r="C98" s="3576"/>
      <c r="D98" s="3461"/>
      <c r="E98" s="3474"/>
      <c r="F98" s="3461"/>
      <c r="G98" s="1020">
        <v>30000000</v>
      </c>
      <c r="H98" s="1020" t="s">
        <v>3051</v>
      </c>
      <c r="I98" s="1036" t="s">
        <v>3076</v>
      </c>
      <c r="J98" s="24" t="s">
        <v>696</v>
      </c>
      <c r="K98" s="3575"/>
      <c r="L98" s="3575"/>
      <c r="M98" s="3734"/>
    </row>
    <row r="99" spans="1:13" ht="30" customHeight="1" x14ac:dyDescent="0.2">
      <c r="A99" s="3456"/>
      <c r="B99" s="3459"/>
      <c r="C99" s="3576"/>
      <c r="D99" s="3461"/>
      <c r="E99" s="3474"/>
      <c r="F99" s="3461"/>
      <c r="G99" s="1020">
        <v>50000000</v>
      </c>
      <c r="H99" s="1020" t="s">
        <v>3032</v>
      </c>
      <c r="I99" s="1036" t="s">
        <v>3151</v>
      </c>
      <c r="J99" s="24" t="s">
        <v>696</v>
      </c>
      <c r="K99" s="3575"/>
      <c r="L99" s="3575"/>
      <c r="M99" s="3734"/>
    </row>
    <row r="100" spans="1:13" ht="30" customHeight="1" x14ac:dyDescent="0.2">
      <c r="A100" s="3456"/>
      <c r="B100" s="3459"/>
      <c r="C100" s="3576"/>
      <c r="D100" s="3461"/>
      <c r="E100" s="3474"/>
      <c r="F100" s="3461"/>
      <c r="G100" s="1020">
        <v>50000000</v>
      </c>
      <c r="H100" s="1020" t="s">
        <v>3279</v>
      </c>
      <c r="I100" s="1045" t="s">
        <v>3504</v>
      </c>
      <c r="J100" s="24" t="s">
        <v>696</v>
      </c>
      <c r="K100" s="3575"/>
      <c r="L100" s="3575"/>
      <c r="M100" s="3735"/>
    </row>
    <row r="101" spans="1:13" ht="30" customHeight="1" x14ac:dyDescent="0.2">
      <c r="A101" s="3450">
        <v>57</v>
      </c>
      <c r="B101" s="3457" t="s">
        <v>1107</v>
      </c>
      <c r="C101" s="3570" t="s">
        <v>1353</v>
      </c>
      <c r="D101" s="3442">
        <v>317000000</v>
      </c>
      <c r="E101" s="3444">
        <v>7.0000000000000007E-2</v>
      </c>
      <c r="F101" s="3442">
        <f>D101*E101</f>
        <v>22190000.000000004</v>
      </c>
      <c r="G101" s="1020">
        <v>10000000</v>
      </c>
      <c r="H101" s="1020" t="s">
        <v>3279</v>
      </c>
      <c r="I101" s="1045" t="s">
        <v>3305</v>
      </c>
      <c r="J101" s="24" t="s">
        <v>3306</v>
      </c>
      <c r="K101" s="3442">
        <f>G101+G102</f>
        <v>22190000</v>
      </c>
      <c r="L101" s="3442">
        <f>F101-K101</f>
        <v>0</v>
      </c>
      <c r="M101" s="3618" t="s">
        <v>3126</v>
      </c>
    </row>
    <row r="102" spans="1:13" ht="30" customHeight="1" x14ac:dyDescent="0.2">
      <c r="A102" s="3451"/>
      <c r="B102" s="3458"/>
      <c r="C102" s="3571"/>
      <c r="D102" s="3443"/>
      <c r="E102" s="3445"/>
      <c r="F102" s="3443"/>
      <c r="G102" s="1397">
        <v>12190000</v>
      </c>
      <c r="H102" s="1397" t="s">
        <v>3362</v>
      </c>
      <c r="I102" s="1412" t="s">
        <v>3391</v>
      </c>
      <c r="J102" s="24" t="s">
        <v>696</v>
      </c>
      <c r="K102" s="3443"/>
      <c r="L102" s="3443"/>
      <c r="M102" s="3619"/>
    </row>
    <row r="103" spans="1:13" ht="30" customHeight="1" x14ac:dyDescent="0.2">
      <c r="A103" s="1014">
        <v>58</v>
      </c>
      <c r="B103" s="1052" t="s">
        <v>1094</v>
      </c>
      <c r="C103" s="1034" t="s">
        <v>916</v>
      </c>
      <c r="D103" s="1020">
        <v>11000000</v>
      </c>
      <c r="E103" s="1048">
        <v>5.5E-2</v>
      </c>
      <c r="F103" s="1020">
        <v>600000</v>
      </c>
      <c r="G103" s="1020">
        <v>600000</v>
      </c>
      <c r="H103" s="1020" t="s">
        <v>2937</v>
      </c>
      <c r="I103" s="1036" t="s">
        <v>2951</v>
      </c>
      <c r="J103" s="88" t="s">
        <v>1096</v>
      </c>
      <c r="K103" s="1020">
        <f>G103</f>
        <v>600000</v>
      </c>
      <c r="L103" s="1020">
        <f t="shared" si="11"/>
        <v>0</v>
      </c>
      <c r="M103" s="1052"/>
    </row>
    <row r="104" spans="1:13" ht="30" customHeight="1" x14ac:dyDescent="0.2">
      <c r="A104" s="3450">
        <v>59</v>
      </c>
      <c r="B104" s="3525" t="s">
        <v>197</v>
      </c>
      <c r="C104" s="3570" t="s">
        <v>1350</v>
      </c>
      <c r="D104" s="1020">
        <v>90000000</v>
      </c>
      <c r="E104" s="1048">
        <v>0.05</v>
      </c>
      <c r="F104" s="1020">
        <f t="shared" si="9"/>
        <v>4500000</v>
      </c>
      <c r="G104" s="3575">
        <v>5200000</v>
      </c>
      <c r="H104" s="3575" t="s">
        <v>2687</v>
      </c>
      <c r="I104" s="3736" t="s">
        <v>2698</v>
      </c>
      <c r="J104" s="3737" t="s">
        <v>2699</v>
      </c>
      <c r="K104" s="3442">
        <f>G104</f>
        <v>5200000</v>
      </c>
      <c r="L104" s="3442">
        <f>(F104+F105)-K104</f>
        <v>0</v>
      </c>
      <c r="M104" s="3468"/>
    </row>
    <row r="105" spans="1:13" ht="30" customHeight="1" x14ac:dyDescent="0.2">
      <c r="A105" s="3456"/>
      <c r="B105" s="3643"/>
      <c r="C105" s="3576"/>
      <c r="D105" s="1020">
        <v>10000000</v>
      </c>
      <c r="E105" s="1048">
        <v>7.0000000000000007E-2</v>
      </c>
      <c r="F105" s="1020">
        <f t="shared" si="9"/>
        <v>700000.00000000012</v>
      </c>
      <c r="G105" s="3575"/>
      <c r="H105" s="3575"/>
      <c r="I105" s="3736"/>
      <c r="J105" s="3737"/>
      <c r="K105" s="3443"/>
      <c r="L105" s="3443"/>
      <c r="M105" s="3469"/>
    </row>
    <row r="106" spans="1:13" ht="30" customHeight="1" x14ac:dyDescent="0.2">
      <c r="A106" s="3451"/>
      <c r="B106" s="3526"/>
      <c r="C106" s="3571"/>
      <c r="D106" s="1502">
        <v>115000000</v>
      </c>
      <c r="E106" s="1351"/>
      <c r="F106" s="1502"/>
      <c r="G106" s="3671" t="s">
        <v>3491</v>
      </c>
      <c r="H106" s="3672"/>
      <c r="I106" s="3672"/>
      <c r="J106" s="3672"/>
      <c r="K106" s="3673"/>
      <c r="L106" s="1494"/>
      <c r="M106" s="1495"/>
    </row>
    <row r="107" spans="1:13" ht="30" customHeight="1" x14ac:dyDescent="0.2">
      <c r="A107" s="1053">
        <v>60</v>
      </c>
      <c r="B107" s="1052" t="s">
        <v>1591</v>
      </c>
      <c r="C107" s="1034"/>
      <c r="D107" s="1026"/>
      <c r="E107" s="44"/>
      <c r="F107" s="1026">
        <f t="shared" si="9"/>
        <v>0</v>
      </c>
      <c r="G107" s="1020"/>
      <c r="H107" s="1020"/>
      <c r="I107" s="1036"/>
      <c r="J107" s="24"/>
      <c r="K107" s="1020">
        <f>G107</f>
        <v>0</v>
      </c>
      <c r="L107" s="1026">
        <f t="shared" si="11"/>
        <v>0</v>
      </c>
      <c r="M107" s="1052" t="s">
        <v>2650</v>
      </c>
    </row>
    <row r="108" spans="1:13" ht="30" customHeight="1" x14ac:dyDescent="0.2">
      <c r="A108" s="1015">
        <v>61</v>
      </c>
      <c r="B108" s="1052" t="s">
        <v>199</v>
      </c>
      <c r="C108" s="1034"/>
      <c r="D108" s="1020">
        <v>100000000</v>
      </c>
      <c r="E108" s="1048">
        <v>7.0000000000000007E-2</v>
      </c>
      <c r="F108" s="1020">
        <f t="shared" si="9"/>
        <v>7000000.0000000009</v>
      </c>
      <c r="G108" s="1020">
        <v>7000000</v>
      </c>
      <c r="H108" s="1020" t="s">
        <v>2337</v>
      </c>
      <c r="I108" s="1045" t="s">
        <v>2764</v>
      </c>
      <c r="J108" s="24" t="s">
        <v>2765</v>
      </c>
      <c r="K108" s="1020">
        <f>G108</f>
        <v>7000000</v>
      </c>
      <c r="L108" s="1020">
        <f t="shared" si="11"/>
        <v>0</v>
      </c>
      <c r="M108" s="1052"/>
    </row>
    <row r="109" spans="1:13" ht="30" customHeight="1" x14ac:dyDescent="0.2">
      <c r="A109" s="3450">
        <v>62</v>
      </c>
      <c r="B109" s="3457" t="s">
        <v>200</v>
      </c>
      <c r="C109" s="3570"/>
      <c r="D109" s="1277">
        <v>125000000</v>
      </c>
      <c r="E109" s="1280">
        <v>5.1999999999999998E-2</v>
      </c>
      <c r="F109" s="1277">
        <f t="shared" si="9"/>
        <v>6500000</v>
      </c>
      <c r="G109" s="1277">
        <v>6500000</v>
      </c>
      <c r="H109" s="1277" t="s">
        <v>3051</v>
      </c>
      <c r="I109" s="1281" t="s">
        <v>3071</v>
      </c>
      <c r="J109" s="310" t="s">
        <v>2582</v>
      </c>
      <c r="K109" s="1277">
        <f>G109</f>
        <v>6500000</v>
      </c>
      <c r="L109" s="1277">
        <f t="shared" si="11"/>
        <v>0</v>
      </c>
      <c r="M109" s="103" t="s">
        <v>3072</v>
      </c>
    </row>
    <row r="110" spans="1:13" ht="30" customHeight="1" x14ac:dyDescent="0.2">
      <c r="A110" s="3451"/>
      <c r="B110" s="3458"/>
      <c r="C110" s="3571"/>
      <c r="D110" s="3325"/>
      <c r="E110" s="3340"/>
      <c r="F110" s="3341"/>
      <c r="G110" s="1372">
        <v>15300000</v>
      </c>
      <c r="H110" s="1372" t="s">
        <v>3262</v>
      </c>
      <c r="I110" s="1374" t="s">
        <v>3273</v>
      </c>
      <c r="J110" s="310" t="s">
        <v>3274</v>
      </c>
      <c r="K110" s="1363">
        <f>G110</f>
        <v>15300000</v>
      </c>
      <c r="L110" s="1363"/>
      <c r="M110" s="1365" t="s">
        <v>3275</v>
      </c>
    </row>
    <row r="111" spans="1:13" ht="30" customHeight="1" x14ac:dyDescent="0.2">
      <c r="A111" s="3450">
        <v>63</v>
      </c>
      <c r="B111" s="3457" t="s">
        <v>201</v>
      </c>
      <c r="C111" s="3570" t="s">
        <v>916</v>
      </c>
      <c r="D111" s="3442">
        <v>1600000000</v>
      </c>
      <c r="E111" s="3444">
        <v>6.5000000000000002E-2</v>
      </c>
      <c r="F111" s="3442">
        <f>D111*E111</f>
        <v>104000000</v>
      </c>
      <c r="G111" s="247">
        <v>20000000</v>
      </c>
      <c r="H111" s="1108" t="s">
        <v>2711</v>
      </c>
      <c r="I111" s="1109" t="s">
        <v>2715</v>
      </c>
      <c r="J111" s="1108" t="s">
        <v>2714</v>
      </c>
      <c r="K111" s="3442">
        <f>G111+G112</f>
        <v>24000000</v>
      </c>
      <c r="L111" s="3442">
        <f>24000000-K111</f>
        <v>0</v>
      </c>
      <c r="M111" s="3468" t="s">
        <v>2647</v>
      </c>
    </row>
    <row r="112" spans="1:13" ht="30" customHeight="1" x14ac:dyDescent="0.2">
      <c r="A112" s="3451"/>
      <c r="B112" s="3458"/>
      <c r="C112" s="3571"/>
      <c r="D112" s="3443"/>
      <c r="E112" s="3445"/>
      <c r="F112" s="3443"/>
      <c r="G112" s="1103">
        <v>4000000</v>
      </c>
      <c r="H112" s="1103" t="s">
        <v>2711</v>
      </c>
      <c r="I112" s="1103">
        <v>277218</v>
      </c>
      <c r="J112" s="1105" t="s">
        <v>2716</v>
      </c>
      <c r="K112" s="3443"/>
      <c r="L112" s="3443"/>
      <c r="M112" s="3469"/>
    </row>
    <row r="113" spans="1:13" ht="30" customHeight="1" x14ac:dyDescent="0.2">
      <c r="A113" s="1053">
        <v>64</v>
      </c>
      <c r="B113" s="1013" t="s">
        <v>1408</v>
      </c>
      <c r="C113" s="1034" t="s">
        <v>916</v>
      </c>
      <c r="D113" s="1020">
        <v>200000000</v>
      </c>
      <c r="E113" s="1017">
        <v>5.0999999999999997E-2</v>
      </c>
      <c r="F113" s="1020">
        <f t="shared" si="9"/>
        <v>10200000</v>
      </c>
      <c r="G113" s="1020">
        <v>10200000</v>
      </c>
      <c r="H113" s="1020" t="s">
        <v>2823</v>
      </c>
      <c r="I113" s="1045" t="s">
        <v>2833</v>
      </c>
      <c r="J113" s="24" t="s">
        <v>1407</v>
      </c>
      <c r="K113" s="1020">
        <f>G113</f>
        <v>10200000</v>
      </c>
      <c r="L113" s="1020">
        <f t="shared" si="11"/>
        <v>0</v>
      </c>
      <c r="M113" s="103" t="s">
        <v>1409</v>
      </c>
    </row>
    <row r="114" spans="1:13" ht="30" customHeight="1" x14ac:dyDescent="0.2">
      <c r="A114" s="1015">
        <v>65</v>
      </c>
      <c r="B114" s="1052" t="s">
        <v>203</v>
      </c>
      <c r="C114" s="1034"/>
      <c r="D114" s="1020">
        <v>500000000</v>
      </c>
      <c r="E114" s="1048">
        <v>0.04</v>
      </c>
      <c r="F114" s="1020">
        <f t="shared" si="9"/>
        <v>20000000</v>
      </c>
      <c r="G114" s="1020"/>
      <c r="H114" s="1020"/>
      <c r="I114" s="1036"/>
      <c r="J114" s="24"/>
      <c r="K114" s="1020"/>
      <c r="L114" s="1020">
        <f t="shared" si="11"/>
        <v>20000000</v>
      </c>
      <c r="M114" s="1052" t="s">
        <v>1615</v>
      </c>
    </row>
    <row r="115" spans="1:13" ht="30" customHeight="1" x14ac:dyDescent="0.2">
      <c r="A115" s="426">
        <v>66</v>
      </c>
      <c r="B115" s="1054" t="s">
        <v>204</v>
      </c>
      <c r="C115" s="1047"/>
      <c r="D115" s="1029"/>
      <c r="E115" s="44"/>
      <c r="F115" s="1029">
        <f t="shared" si="9"/>
        <v>0</v>
      </c>
      <c r="G115" s="1035"/>
      <c r="H115" s="1035"/>
      <c r="I115" s="423"/>
      <c r="J115" s="1051"/>
      <c r="K115" s="1035">
        <f>F115</f>
        <v>0</v>
      </c>
      <c r="L115" s="1029">
        <f>F115-K115</f>
        <v>0</v>
      </c>
      <c r="M115" s="103" t="s">
        <v>2654</v>
      </c>
    </row>
    <row r="116" spans="1:13" ht="30" customHeight="1" x14ac:dyDescent="0.2">
      <c r="A116" s="1053">
        <v>68</v>
      </c>
      <c r="B116" s="1052" t="s">
        <v>205</v>
      </c>
      <c r="C116" s="1034" t="s">
        <v>1350</v>
      </c>
      <c r="D116" s="1020">
        <v>150000000</v>
      </c>
      <c r="E116" s="1048">
        <v>0.05</v>
      </c>
      <c r="F116" s="1020">
        <f t="shared" si="9"/>
        <v>7500000</v>
      </c>
      <c r="G116" s="1020">
        <v>7500000</v>
      </c>
      <c r="H116" s="1020" t="s">
        <v>2666</v>
      </c>
      <c r="I116" s="1036" t="s">
        <v>2671</v>
      </c>
      <c r="J116" s="70" t="s">
        <v>2672</v>
      </c>
      <c r="K116" s="1020">
        <f>G116</f>
        <v>7500000</v>
      </c>
      <c r="L116" s="1020">
        <f>F116-K116</f>
        <v>0</v>
      </c>
      <c r="M116" s="1052"/>
    </row>
    <row r="117" spans="1:13" ht="30" customHeight="1" x14ac:dyDescent="0.2">
      <c r="A117" s="1014">
        <v>69</v>
      </c>
      <c r="B117" s="1054" t="s">
        <v>206</v>
      </c>
      <c r="C117" s="1047" t="s">
        <v>916</v>
      </c>
      <c r="D117" s="1035">
        <v>280000000</v>
      </c>
      <c r="E117" s="1048">
        <f>F117/D117</f>
        <v>7.0000000000000007E-2</v>
      </c>
      <c r="F117" s="1035">
        <v>19600000</v>
      </c>
      <c r="G117" s="1035">
        <v>19600000</v>
      </c>
      <c r="H117" s="1035" t="s">
        <v>2823</v>
      </c>
      <c r="I117" s="1050" t="s">
        <v>2876</v>
      </c>
      <c r="J117" s="1051" t="s">
        <v>2877</v>
      </c>
      <c r="K117" s="1035">
        <f>G117</f>
        <v>19600000</v>
      </c>
      <c r="L117" s="1035">
        <f>F117-K117</f>
        <v>0</v>
      </c>
      <c r="M117" s="1046"/>
    </row>
    <row r="118" spans="1:13" ht="30" customHeight="1" x14ac:dyDescent="0.2">
      <c r="A118" s="1053">
        <v>70</v>
      </c>
      <c r="B118" s="1052" t="s">
        <v>207</v>
      </c>
      <c r="C118" s="1034" t="s">
        <v>916</v>
      </c>
      <c r="D118" s="1020">
        <v>100000000</v>
      </c>
      <c r="E118" s="1017">
        <v>0.04</v>
      </c>
      <c r="F118" s="1020">
        <f t="shared" si="9"/>
        <v>4000000</v>
      </c>
      <c r="G118" s="1020">
        <v>4000000</v>
      </c>
      <c r="H118" s="1020" t="s">
        <v>2666</v>
      </c>
      <c r="I118" s="1036" t="s">
        <v>2679</v>
      </c>
      <c r="J118" s="1039" t="s">
        <v>1457</v>
      </c>
      <c r="K118" s="1020">
        <f>G118</f>
        <v>4000000</v>
      </c>
      <c r="L118" s="1020">
        <f t="shared" si="11"/>
        <v>0</v>
      </c>
      <c r="M118" s="1052"/>
    </row>
    <row r="119" spans="1:13" ht="30" customHeight="1" x14ac:dyDescent="0.2">
      <c r="A119" s="1014">
        <v>71</v>
      </c>
      <c r="B119" s="1052" t="s">
        <v>208</v>
      </c>
      <c r="C119" s="1047" t="s">
        <v>971</v>
      </c>
      <c r="D119" s="1035">
        <v>20000000</v>
      </c>
      <c r="E119" s="1048">
        <v>0.05</v>
      </c>
      <c r="F119" s="1035">
        <f t="shared" si="9"/>
        <v>1000000</v>
      </c>
      <c r="G119" s="1035">
        <v>1000000</v>
      </c>
      <c r="H119" s="1035" t="s">
        <v>1477</v>
      </c>
      <c r="I119" s="424" t="s">
        <v>1478</v>
      </c>
      <c r="J119" s="1051" t="s">
        <v>1479</v>
      </c>
      <c r="K119" s="1035">
        <f>G119</f>
        <v>1000000</v>
      </c>
      <c r="L119" s="1035">
        <f t="shared" si="11"/>
        <v>0</v>
      </c>
      <c r="M119" s="3466"/>
    </row>
    <row r="120" spans="1:13" ht="30" customHeight="1" x14ac:dyDescent="0.2">
      <c r="A120" s="1202"/>
      <c r="B120" s="1201"/>
      <c r="C120" s="1209"/>
      <c r="D120" s="1203">
        <v>30000000</v>
      </c>
      <c r="E120" s="1206"/>
      <c r="F120" s="1203"/>
      <c r="G120" s="3615" t="s">
        <v>2898</v>
      </c>
      <c r="H120" s="3616"/>
      <c r="I120" s="3616"/>
      <c r="J120" s="3616"/>
      <c r="K120" s="3617"/>
      <c r="L120" s="1203"/>
      <c r="M120" s="3467"/>
    </row>
    <row r="121" spans="1:13" ht="30" customHeight="1" x14ac:dyDescent="0.2">
      <c r="A121" s="3450">
        <v>72</v>
      </c>
      <c r="B121" s="3457" t="s">
        <v>1053</v>
      </c>
      <c r="C121" s="3570"/>
      <c r="D121" s="3442">
        <v>1685000000</v>
      </c>
      <c r="E121" s="3444">
        <v>0.06</v>
      </c>
      <c r="F121" s="3442">
        <f t="shared" si="9"/>
        <v>101100000</v>
      </c>
      <c r="G121" s="1020">
        <v>50000000</v>
      </c>
      <c r="H121" s="1020" t="s">
        <v>3139</v>
      </c>
      <c r="I121" s="1041" t="s">
        <v>3201</v>
      </c>
      <c r="J121" s="24" t="s">
        <v>3202</v>
      </c>
      <c r="K121" s="3442">
        <f>G121+G122</f>
        <v>100000000</v>
      </c>
      <c r="L121" s="3442">
        <f t="shared" si="11"/>
        <v>1100000</v>
      </c>
      <c r="M121" s="3525"/>
    </row>
    <row r="122" spans="1:13" ht="30" customHeight="1" x14ac:dyDescent="0.2">
      <c r="A122" s="3451"/>
      <c r="B122" s="3458"/>
      <c r="C122" s="3571"/>
      <c r="D122" s="3443"/>
      <c r="E122" s="3445"/>
      <c r="F122" s="3443"/>
      <c r="G122" s="1328">
        <v>50000000</v>
      </c>
      <c r="H122" s="1328" t="s">
        <v>3218</v>
      </c>
      <c r="I122" s="1339" t="s">
        <v>3233</v>
      </c>
      <c r="J122" s="24" t="s">
        <v>3202</v>
      </c>
      <c r="K122" s="3443"/>
      <c r="L122" s="3443"/>
      <c r="M122" s="3526"/>
    </row>
    <row r="123" spans="1:13" ht="30" customHeight="1" x14ac:dyDescent="0.2">
      <c r="A123" s="1015">
        <v>73</v>
      </c>
      <c r="B123" s="1052" t="s">
        <v>209</v>
      </c>
      <c r="C123" s="1034" t="s">
        <v>1348</v>
      </c>
      <c r="D123" s="1020">
        <v>20000000</v>
      </c>
      <c r="E123" s="1048">
        <v>0.05</v>
      </c>
      <c r="F123" s="1020">
        <f t="shared" si="9"/>
        <v>1000000</v>
      </c>
      <c r="G123" s="1020">
        <v>1000000</v>
      </c>
      <c r="H123" s="1020" t="s">
        <v>2711</v>
      </c>
      <c r="I123" s="1036" t="s">
        <v>2720</v>
      </c>
      <c r="J123" s="24" t="s">
        <v>973</v>
      </c>
      <c r="K123" s="1020">
        <f>G123</f>
        <v>1000000</v>
      </c>
      <c r="L123" s="1020">
        <f t="shared" si="11"/>
        <v>0</v>
      </c>
      <c r="M123" s="1052"/>
    </row>
    <row r="124" spans="1:13" ht="30" customHeight="1" x14ac:dyDescent="0.2">
      <c r="A124" s="1053">
        <v>74</v>
      </c>
      <c r="B124" s="1052" t="s">
        <v>210</v>
      </c>
      <c r="C124" s="1034" t="s">
        <v>916</v>
      </c>
      <c r="D124" s="1020">
        <v>125000000</v>
      </c>
      <c r="E124" s="1048">
        <v>0.04</v>
      </c>
      <c r="F124" s="1020">
        <f t="shared" si="9"/>
        <v>5000000</v>
      </c>
      <c r="G124" s="1020">
        <v>5000000</v>
      </c>
      <c r="H124" s="1020" t="s">
        <v>2666</v>
      </c>
      <c r="I124" s="1036" t="s">
        <v>2669</v>
      </c>
      <c r="J124" s="24" t="s">
        <v>2670</v>
      </c>
      <c r="K124" s="1020">
        <f>G124</f>
        <v>5000000</v>
      </c>
      <c r="L124" s="1020">
        <f t="shared" si="11"/>
        <v>0</v>
      </c>
      <c r="M124" s="1052"/>
    </row>
    <row r="125" spans="1:13" ht="30" customHeight="1" x14ac:dyDescent="0.2">
      <c r="A125" s="1015">
        <v>75</v>
      </c>
      <c r="B125" s="1052" t="s">
        <v>211</v>
      </c>
      <c r="C125" s="1034" t="s">
        <v>916</v>
      </c>
      <c r="D125" s="1020">
        <v>50000000</v>
      </c>
      <c r="E125" s="1048">
        <v>0.05</v>
      </c>
      <c r="F125" s="1020">
        <f t="shared" si="9"/>
        <v>2500000</v>
      </c>
      <c r="G125" s="1020">
        <v>2500000</v>
      </c>
      <c r="H125" s="1020" t="s">
        <v>2937</v>
      </c>
      <c r="I125" s="1036" t="s">
        <v>2949</v>
      </c>
      <c r="J125" s="24" t="s">
        <v>977</v>
      </c>
      <c r="K125" s="1020">
        <f>G125</f>
        <v>2500000</v>
      </c>
      <c r="L125" s="1020">
        <f t="shared" si="11"/>
        <v>0</v>
      </c>
      <c r="M125" s="1052"/>
    </row>
    <row r="126" spans="1:13" ht="30" customHeight="1" x14ac:dyDescent="0.2">
      <c r="A126" s="1053">
        <v>76</v>
      </c>
      <c r="B126" s="1052" t="s">
        <v>212</v>
      </c>
      <c r="C126" s="1034" t="s">
        <v>1348</v>
      </c>
      <c r="D126" s="1020">
        <v>100000000</v>
      </c>
      <c r="E126" s="1048">
        <v>0.05</v>
      </c>
      <c r="F126" s="1020">
        <f t="shared" si="9"/>
        <v>5000000</v>
      </c>
      <c r="G126" s="1020">
        <v>5000000</v>
      </c>
      <c r="H126" s="1020" t="s">
        <v>2711</v>
      </c>
      <c r="I126" s="1036" t="s">
        <v>2719</v>
      </c>
      <c r="J126" s="24" t="s">
        <v>1631</v>
      </c>
      <c r="K126" s="1020">
        <f>G126</f>
        <v>5000000</v>
      </c>
      <c r="L126" s="1020">
        <f t="shared" si="11"/>
        <v>0</v>
      </c>
      <c r="M126" s="1052"/>
    </row>
    <row r="127" spans="1:13" ht="30" customHeight="1" x14ac:dyDescent="0.2">
      <c r="A127" s="3450">
        <v>77</v>
      </c>
      <c r="B127" s="3457" t="s">
        <v>213</v>
      </c>
      <c r="C127" s="3570" t="s">
        <v>1816</v>
      </c>
      <c r="D127" s="1020">
        <v>30000000</v>
      </c>
      <c r="E127" s="1048">
        <v>7.0000000000000007E-2</v>
      </c>
      <c r="F127" s="1020">
        <f t="shared" si="9"/>
        <v>2100000</v>
      </c>
      <c r="G127" s="3442">
        <v>3675000</v>
      </c>
      <c r="H127" s="3442" t="s">
        <v>2768</v>
      </c>
      <c r="I127" s="3577" t="s">
        <v>2786</v>
      </c>
      <c r="J127" s="3542" t="s">
        <v>1663</v>
      </c>
      <c r="K127" s="3442">
        <f>G127</f>
        <v>3675000</v>
      </c>
      <c r="L127" s="3442">
        <f>(F127+F128)-K127</f>
        <v>0</v>
      </c>
      <c r="M127" s="3468" t="s">
        <v>982</v>
      </c>
    </row>
    <row r="128" spans="1:13" ht="30" customHeight="1" x14ac:dyDescent="0.2">
      <c r="A128" s="3451"/>
      <c r="B128" s="3458"/>
      <c r="C128" s="3571"/>
      <c r="D128" s="1020">
        <v>35000000</v>
      </c>
      <c r="E128" s="1048">
        <v>4.4999999999999998E-2</v>
      </c>
      <c r="F128" s="1020">
        <f t="shared" si="9"/>
        <v>1575000</v>
      </c>
      <c r="G128" s="3443"/>
      <c r="H128" s="3443"/>
      <c r="I128" s="3578"/>
      <c r="J128" s="3543"/>
      <c r="K128" s="3443"/>
      <c r="L128" s="3443"/>
      <c r="M128" s="3469"/>
    </row>
    <row r="129" spans="1:13" ht="30" customHeight="1" x14ac:dyDescent="0.2">
      <c r="A129" s="1053">
        <v>78</v>
      </c>
      <c r="B129" s="1052" t="s">
        <v>214</v>
      </c>
      <c r="C129" s="1034"/>
      <c r="D129" s="1026"/>
      <c r="E129" s="44"/>
      <c r="F129" s="1026">
        <f t="shared" si="9"/>
        <v>0</v>
      </c>
      <c r="G129" s="1020">
        <v>1900000</v>
      </c>
      <c r="H129" s="1020" t="s">
        <v>2337</v>
      </c>
      <c r="I129" s="1036" t="s">
        <v>2751</v>
      </c>
      <c r="J129" s="88" t="s">
        <v>984</v>
      </c>
      <c r="K129" s="1020">
        <f t="shared" ref="K129:K135" si="12">G129</f>
        <v>1900000</v>
      </c>
      <c r="L129" s="1026">
        <f t="shared" si="11"/>
        <v>-1900000</v>
      </c>
      <c r="M129" s="1052"/>
    </row>
    <row r="130" spans="1:13" ht="30" customHeight="1" x14ac:dyDescent="0.2">
      <c r="A130" s="1053">
        <v>79</v>
      </c>
      <c r="B130" s="1052" t="s">
        <v>215</v>
      </c>
      <c r="C130" s="1034" t="s">
        <v>916</v>
      </c>
      <c r="D130" s="1020">
        <v>15000000</v>
      </c>
      <c r="E130" s="1048">
        <v>4.4999999999999998E-2</v>
      </c>
      <c r="F130" s="1020">
        <f t="shared" si="9"/>
        <v>675000</v>
      </c>
      <c r="G130" s="1020">
        <v>675000</v>
      </c>
      <c r="H130" s="1020" t="s">
        <v>2823</v>
      </c>
      <c r="I130" s="1036" t="s">
        <v>2892</v>
      </c>
      <c r="J130" s="24" t="s">
        <v>986</v>
      </c>
      <c r="K130" s="1020">
        <f t="shared" si="12"/>
        <v>675000</v>
      </c>
      <c r="L130" s="1020">
        <f t="shared" si="11"/>
        <v>0</v>
      </c>
      <c r="M130" s="1052"/>
    </row>
    <row r="131" spans="1:13" ht="30" customHeight="1" x14ac:dyDescent="0.2">
      <c r="A131" s="1053">
        <v>80</v>
      </c>
      <c r="B131" s="1052" t="s">
        <v>185</v>
      </c>
      <c r="C131" s="1034" t="s">
        <v>1348</v>
      </c>
      <c r="D131" s="1020">
        <v>145000000</v>
      </c>
      <c r="E131" s="1048">
        <v>4.4999999999999998E-2</v>
      </c>
      <c r="F131" s="1020">
        <v>6775000</v>
      </c>
      <c r="G131" s="1020">
        <v>6775000</v>
      </c>
      <c r="H131" s="1020" t="s">
        <v>2687</v>
      </c>
      <c r="I131" s="1036" t="s">
        <v>2702</v>
      </c>
      <c r="J131" s="1035" t="s">
        <v>2703</v>
      </c>
      <c r="K131" s="1020">
        <f t="shared" si="12"/>
        <v>6775000</v>
      </c>
      <c r="L131" s="1020">
        <f t="shared" si="11"/>
        <v>0</v>
      </c>
      <c r="M131" s="1052"/>
    </row>
    <row r="132" spans="1:13" ht="30" customHeight="1" x14ac:dyDescent="0.2">
      <c r="A132" s="1053">
        <v>81</v>
      </c>
      <c r="B132" s="1052" t="s">
        <v>216</v>
      </c>
      <c r="C132" s="1034"/>
      <c r="D132" s="1273">
        <v>5000000</v>
      </c>
      <c r="E132" s="1280">
        <v>0.04</v>
      </c>
      <c r="F132" s="1273">
        <f t="shared" si="9"/>
        <v>200000</v>
      </c>
      <c r="G132" s="1273">
        <v>200000</v>
      </c>
      <c r="H132" s="1273" t="s">
        <v>3051</v>
      </c>
      <c r="I132" s="1278" t="s">
        <v>3060</v>
      </c>
      <c r="J132" s="24" t="s">
        <v>1435</v>
      </c>
      <c r="K132" s="1273">
        <f t="shared" si="12"/>
        <v>200000</v>
      </c>
      <c r="L132" s="1273">
        <f t="shared" si="11"/>
        <v>0</v>
      </c>
      <c r="M132" s="1052"/>
    </row>
    <row r="133" spans="1:13" ht="30" customHeight="1" x14ac:dyDescent="0.2">
      <c r="A133" s="1053">
        <v>82</v>
      </c>
      <c r="B133" s="1052" t="s">
        <v>217</v>
      </c>
      <c r="C133" s="1034"/>
      <c r="D133" s="1020">
        <v>16000000</v>
      </c>
      <c r="E133" s="1048">
        <v>0.05</v>
      </c>
      <c r="F133" s="1020">
        <f t="shared" si="9"/>
        <v>800000</v>
      </c>
      <c r="G133" s="1020">
        <v>800000</v>
      </c>
      <c r="H133" s="1020" t="s">
        <v>2847</v>
      </c>
      <c r="I133" s="1036" t="s">
        <v>2932</v>
      </c>
      <c r="J133" s="88" t="s">
        <v>993</v>
      </c>
      <c r="K133" s="1020">
        <f t="shared" si="12"/>
        <v>800000</v>
      </c>
      <c r="L133" s="1020">
        <f t="shared" si="11"/>
        <v>0</v>
      </c>
      <c r="M133" s="1052"/>
    </row>
    <row r="134" spans="1:13" ht="30" customHeight="1" x14ac:dyDescent="0.2">
      <c r="A134" s="1053">
        <v>83</v>
      </c>
      <c r="B134" s="1052" t="s">
        <v>218</v>
      </c>
      <c r="C134" s="1034" t="s">
        <v>1110</v>
      </c>
      <c r="D134" s="1020">
        <v>160000000</v>
      </c>
      <c r="E134" s="1048">
        <v>0.05</v>
      </c>
      <c r="F134" s="1020">
        <f>D134*E134</f>
        <v>8000000</v>
      </c>
      <c r="G134" s="1020">
        <v>8000000</v>
      </c>
      <c r="H134" s="1020" t="s">
        <v>2687</v>
      </c>
      <c r="I134" s="1036" t="s">
        <v>2692</v>
      </c>
      <c r="J134" s="1035" t="s">
        <v>1788</v>
      </c>
      <c r="K134" s="1020">
        <f t="shared" si="12"/>
        <v>8000000</v>
      </c>
      <c r="L134" s="1020">
        <f t="shared" si="11"/>
        <v>0</v>
      </c>
      <c r="M134" s="1052"/>
    </row>
    <row r="135" spans="1:13" ht="30" customHeight="1" x14ac:dyDescent="0.2">
      <c r="A135" s="1053">
        <v>84</v>
      </c>
      <c r="B135" s="1052" t="s">
        <v>219</v>
      </c>
      <c r="C135" s="1034"/>
      <c r="D135" s="1020">
        <v>400000000</v>
      </c>
      <c r="E135" s="1048">
        <v>6.0999999999999999E-2</v>
      </c>
      <c r="F135" s="1020">
        <f t="shared" si="9"/>
        <v>24400000</v>
      </c>
      <c r="G135" s="1020">
        <v>24400000</v>
      </c>
      <c r="H135" s="1020" t="s">
        <v>2711</v>
      </c>
      <c r="I135" s="1036" t="s">
        <v>2717</v>
      </c>
      <c r="J135" s="88" t="s">
        <v>1646</v>
      </c>
      <c r="K135" s="1020">
        <f t="shared" si="12"/>
        <v>24400000</v>
      </c>
      <c r="L135" s="1020">
        <f t="shared" si="11"/>
        <v>0</v>
      </c>
      <c r="M135" s="1052"/>
    </row>
    <row r="136" spans="1:13" ht="30" customHeight="1" x14ac:dyDescent="0.2">
      <c r="A136" s="3450">
        <v>85</v>
      </c>
      <c r="B136" s="3457" t="s">
        <v>1004</v>
      </c>
      <c r="C136" s="3570" t="s">
        <v>916</v>
      </c>
      <c r="D136" s="1104">
        <v>200000000</v>
      </c>
      <c r="E136" s="479">
        <v>0.06</v>
      </c>
      <c r="F136" s="1104">
        <f t="shared" si="9"/>
        <v>12000000</v>
      </c>
      <c r="G136" s="1035">
        <v>10000000</v>
      </c>
      <c r="H136" s="1035" t="s">
        <v>2711</v>
      </c>
      <c r="I136" s="1050" t="s">
        <v>2723</v>
      </c>
      <c r="J136" s="88" t="s">
        <v>2724</v>
      </c>
      <c r="K136" s="3442">
        <f>G137+G136</f>
        <v>10000000</v>
      </c>
      <c r="L136" s="3442">
        <f>F140-K136</f>
        <v>32600000</v>
      </c>
      <c r="M136" s="3627"/>
    </row>
    <row r="137" spans="1:13" ht="30" customHeight="1" x14ac:dyDescent="0.2">
      <c r="A137" s="3456"/>
      <c r="B137" s="3459"/>
      <c r="C137" s="3576"/>
      <c r="D137" s="1104">
        <v>458000000</v>
      </c>
      <c r="E137" s="479">
        <v>0.05</v>
      </c>
      <c r="F137" s="1104">
        <f t="shared" si="9"/>
        <v>22900000</v>
      </c>
      <c r="G137" s="247"/>
      <c r="H137" s="247"/>
      <c r="I137" s="1114"/>
      <c r="J137" s="1115"/>
      <c r="K137" s="3461"/>
      <c r="L137" s="3461"/>
      <c r="M137" s="3668"/>
    </row>
    <row r="138" spans="1:13" ht="30" customHeight="1" x14ac:dyDescent="0.2">
      <c r="A138" s="3456"/>
      <c r="B138" s="3459"/>
      <c r="C138" s="3576"/>
      <c r="D138" s="1104">
        <v>10000000</v>
      </c>
      <c r="E138" s="479">
        <v>7.0000000000000007E-2</v>
      </c>
      <c r="F138" s="1104">
        <f t="shared" si="9"/>
        <v>700000.00000000012</v>
      </c>
      <c r="G138" s="247"/>
      <c r="H138" s="247"/>
      <c r="I138" s="1114"/>
      <c r="J138" s="1115"/>
      <c r="K138" s="3461"/>
      <c r="L138" s="3461"/>
      <c r="M138" s="3668"/>
    </row>
    <row r="139" spans="1:13" ht="30" customHeight="1" x14ac:dyDescent="0.2">
      <c r="A139" s="3456"/>
      <c r="B139" s="3459"/>
      <c r="C139" s="3576"/>
      <c r="D139" s="1104">
        <v>42000000</v>
      </c>
      <c r="E139" s="479">
        <v>7.0000000000000007E-2</v>
      </c>
      <c r="F139" s="1104">
        <f t="shared" si="9"/>
        <v>2940000.0000000005</v>
      </c>
      <c r="G139" s="247"/>
      <c r="H139" s="247"/>
      <c r="I139" s="247"/>
      <c r="J139" s="247"/>
      <c r="K139" s="3461"/>
      <c r="L139" s="3461"/>
      <c r="M139" s="1111" t="s">
        <v>1850</v>
      </c>
    </row>
    <row r="140" spans="1:13" ht="30" customHeight="1" x14ac:dyDescent="0.2">
      <c r="A140" s="3451"/>
      <c r="B140" s="3459"/>
      <c r="C140" s="3576"/>
      <c r="D140" s="1162">
        <f>SUM(D136:D139)</f>
        <v>710000000</v>
      </c>
      <c r="E140" s="1165"/>
      <c r="F140" s="1162">
        <v>42600000</v>
      </c>
      <c r="G140" s="1020"/>
      <c r="H140" s="1020"/>
      <c r="I140" s="1041"/>
      <c r="J140" s="1039"/>
      <c r="K140" s="3461"/>
      <c r="L140" s="3461"/>
      <c r="M140" s="1111"/>
    </row>
    <row r="141" spans="1:13" ht="30" customHeight="1" x14ac:dyDescent="0.2">
      <c r="A141" s="1160"/>
      <c r="B141" s="3459"/>
      <c r="C141" s="3576"/>
      <c r="D141" s="1171">
        <f>D140+107400000</f>
        <v>817400000</v>
      </c>
      <c r="E141" s="1172"/>
      <c r="F141" s="1171"/>
      <c r="G141" s="3478" t="s">
        <v>2813</v>
      </c>
      <c r="H141" s="3479"/>
      <c r="I141" s="3479"/>
      <c r="J141" s="3480"/>
      <c r="K141" s="1161"/>
      <c r="L141" s="1161"/>
      <c r="M141" s="1164"/>
    </row>
    <row r="142" spans="1:13" ht="30" customHeight="1" x14ac:dyDescent="0.2">
      <c r="A142" s="1160"/>
      <c r="B142" s="3459"/>
      <c r="C142" s="3576"/>
      <c r="D142" s="1171">
        <f>D141+L136</f>
        <v>850000000</v>
      </c>
      <c r="E142" s="1172"/>
      <c r="F142" s="1171"/>
      <c r="G142" s="3478" t="s">
        <v>2814</v>
      </c>
      <c r="H142" s="3479"/>
      <c r="I142" s="3479"/>
      <c r="J142" s="3480"/>
      <c r="K142" s="1161"/>
      <c r="L142" s="1161"/>
      <c r="M142" s="1164"/>
    </row>
    <row r="143" spans="1:13" ht="30" customHeight="1" x14ac:dyDescent="0.2">
      <c r="A143" s="1160"/>
      <c r="B143" s="3458"/>
      <c r="C143" s="3571"/>
      <c r="D143" s="1171">
        <v>850000000</v>
      </c>
      <c r="E143" s="1172">
        <f>F143/D143</f>
        <v>6.1647058823529409E-2</v>
      </c>
      <c r="F143" s="1171">
        <v>52400000</v>
      </c>
      <c r="G143" s="3610" t="s">
        <v>2868</v>
      </c>
      <c r="H143" s="3611"/>
      <c r="I143" s="3611"/>
      <c r="J143" s="3612"/>
      <c r="K143" s="1161"/>
      <c r="L143" s="1161"/>
      <c r="M143" s="1164"/>
    </row>
    <row r="144" spans="1:13" ht="30" customHeight="1" x14ac:dyDescent="0.2">
      <c r="A144" s="1053">
        <v>86</v>
      </c>
      <c r="B144" s="3457" t="s">
        <v>220</v>
      </c>
      <c r="C144" s="3570" t="s">
        <v>916</v>
      </c>
      <c r="D144" s="1605">
        <v>105000000</v>
      </c>
      <c r="E144" s="1608">
        <v>0.05</v>
      </c>
      <c r="F144" s="1605">
        <f t="shared" si="9"/>
        <v>5250000</v>
      </c>
      <c r="G144" s="1020">
        <v>2250000</v>
      </c>
      <c r="H144" s="1020" t="s">
        <v>2711</v>
      </c>
      <c r="I144" s="1036" t="s">
        <v>2734</v>
      </c>
      <c r="J144" s="1035" t="s">
        <v>2735</v>
      </c>
      <c r="K144" s="1126">
        <f>G144</f>
        <v>2250000</v>
      </c>
      <c r="L144" s="1123">
        <f>F144-K144</f>
        <v>3000000</v>
      </c>
      <c r="M144" s="1100"/>
    </row>
    <row r="145" spans="1:17" ht="30" customHeight="1" x14ac:dyDescent="0.2">
      <c r="A145" s="1604"/>
      <c r="B145" s="3458"/>
      <c r="C145" s="3571"/>
      <c r="D145" s="1605">
        <v>108000000</v>
      </c>
      <c r="E145" s="1608">
        <v>0.05</v>
      </c>
      <c r="F145" s="1605">
        <f>D145*E145</f>
        <v>5400000</v>
      </c>
      <c r="G145" s="3478" t="s">
        <v>3533</v>
      </c>
      <c r="H145" s="3479"/>
      <c r="I145" s="3479"/>
      <c r="J145" s="3479"/>
      <c r="K145" s="3480"/>
      <c r="L145" s="1606"/>
      <c r="M145" s="1625"/>
    </row>
    <row r="146" spans="1:17" ht="30" customHeight="1" x14ac:dyDescent="0.2">
      <c r="A146" s="1015"/>
      <c r="B146" s="1013" t="s">
        <v>177</v>
      </c>
      <c r="C146" s="1034"/>
      <c r="D146" s="1305">
        <v>723000000</v>
      </c>
      <c r="E146" s="1317"/>
      <c r="F146" s="1305"/>
      <c r="G146" s="1305">
        <v>43000000</v>
      </c>
      <c r="H146" s="1305" t="s">
        <v>2847</v>
      </c>
      <c r="I146" s="1314" t="s">
        <v>3195</v>
      </c>
      <c r="J146" s="21" t="s">
        <v>3196</v>
      </c>
      <c r="K146" s="1305">
        <f>G146</f>
        <v>43000000</v>
      </c>
      <c r="L146" s="1020">
        <f>43000000-K146</f>
        <v>0</v>
      </c>
      <c r="M146" s="3640" t="s">
        <v>2490</v>
      </c>
      <c r="N146" s="3641"/>
      <c r="O146" s="3641"/>
      <c r="P146" s="3641"/>
      <c r="Q146" s="3642"/>
    </row>
    <row r="147" spans="1:17" ht="30" customHeight="1" x14ac:dyDescent="0.2">
      <c r="A147" s="1053">
        <v>88</v>
      </c>
      <c r="B147" s="1052" t="s">
        <v>221</v>
      </c>
      <c r="C147" s="1034" t="s">
        <v>1350</v>
      </c>
      <c r="D147" s="1020">
        <v>45000000</v>
      </c>
      <c r="E147" s="1048">
        <v>0.04</v>
      </c>
      <c r="F147" s="1020">
        <v>2050000</v>
      </c>
      <c r="G147" s="1020">
        <v>2050000</v>
      </c>
      <c r="H147" s="1144" t="s">
        <v>2687</v>
      </c>
      <c r="I147" s="1036" t="s">
        <v>2704</v>
      </c>
      <c r="J147" s="21" t="s">
        <v>2705</v>
      </c>
      <c r="K147" s="1020">
        <f>G147</f>
        <v>2050000</v>
      </c>
      <c r="L147" s="1020">
        <f t="shared" si="11"/>
        <v>0</v>
      </c>
      <c r="M147" s="1052"/>
    </row>
    <row r="148" spans="1:17" ht="30" customHeight="1" x14ac:dyDescent="0.2">
      <c r="A148" s="3450">
        <v>89</v>
      </c>
      <c r="B148" s="3457" t="s">
        <v>222</v>
      </c>
      <c r="C148" s="3570" t="s">
        <v>1348</v>
      </c>
      <c r="D148" s="1508">
        <v>93000000</v>
      </c>
      <c r="E148" s="1048">
        <v>7.0000000000000007E-2</v>
      </c>
      <c r="F148" s="1035">
        <v>6500000</v>
      </c>
      <c r="G148" s="1149">
        <v>20000000</v>
      </c>
      <c r="H148" s="1149" t="s">
        <v>2790</v>
      </c>
      <c r="I148" s="1156" t="s">
        <v>2799</v>
      </c>
      <c r="J148" s="43" t="s">
        <v>2800</v>
      </c>
      <c r="K148" s="3442">
        <f>G148+G149</f>
        <v>22500000</v>
      </c>
      <c r="L148" s="3442">
        <f>(F148+F149)-K148</f>
        <v>0</v>
      </c>
      <c r="M148" s="3525"/>
    </row>
    <row r="149" spans="1:17" ht="30" customHeight="1" x14ac:dyDescent="0.2">
      <c r="A149" s="3456"/>
      <c r="B149" s="3459"/>
      <c r="C149" s="3576"/>
      <c r="D149" s="1490">
        <v>350000000</v>
      </c>
      <c r="E149" s="1048">
        <v>4.4999999999999998E-2</v>
      </c>
      <c r="F149" s="1035">
        <v>16000000</v>
      </c>
      <c r="G149" s="1149">
        <v>2500000</v>
      </c>
      <c r="H149" s="1149" t="s">
        <v>2790</v>
      </c>
      <c r="I149" s="1156" t="s">
        <v>2801</v>
      </c>
      <c r="J149" s="43" t="s">
        <v>2802</v>
      </c>
      <c r="K149" s="3443"/>
      <c r="L149" s="3443"/>
      <c r="M149" s="3526"/>
    </row>
    <row r="150" spans="1:17" ht="30" customHeight="1" x14ac:dyDescent="0.2">
      <c r="A150" s="3456"/>
      <c r="B150" s="3459"/>
      <c r="C150" s="3576"/>
      <c r="D150" s="1490">
        <v>100000000</v>
      </c>
      <c r="E150" s="1377"/>
      <c r="F150" s="1364"/>
      <c r="G150" s="3615" t="s">
        <v>3300</v>
      </c>
      <c r="H150" s="3616"/>
      <c r="I150" s="3616"/>
      <c r="J150" s="3617"/>
      <c r="K150" s="1367"/>
      <c r="L150" s="1367"/>
      <c r="M150" s="1378"/>
    </row>
    <row r="151" spans="1:17" ht="30" customHeight="1" x14ac:dyDescent="0.2">
      <c r="A151" s="3456"/>
      <c r="B151" s="3459"/>
      <c r="C151" s="3576"/>
      <c r="D151" s="1364"/>
      <c r="E151" s="1377"/>
      <c r="F151" s="1364"/>
      <c r="G151" s="3680" t="s">
        <v>3453</v>
      </c>
      <c r="H151" s="3681"/>
      <c r="I151" s="3681"/>
      <c r="J151" s="3682"/>
      <c r="K151" s="1367"/>
      <c r="L151" s="1367"/>
      <c r="M151" s="1378"/>
    </row>
    <row r="152" spans="1:17" ht="30" customHeight="1" x14ac:dyDescent="0.2">
      <c r="A152" s="3456"/>
      <c r="B152" s="3459"/>
      <c r="C152" s="3576"/>
      <c r="D152" s="1453">
        <v>93000000</v>
      </c>
      <c r="E152" s="1485">
        <v>7.0000000000000007E-2</v>
      </c>
      <c r="F152" s="1472">
        <v>6500000</v>
      </c>
      <c r="G152" s="3754" t="s">
        <v>3454</v>
      </c>
      <c r="H152" s="3755"/>
      <c r="I152" s="3755"/>
      <c r="J152" s="3756"/>
      <c r="K152" s="1458"/>
      <c r="L152" s="1458"/>
      <c r="M152" s="1482"/>
    </row>
    <row r="153" spans="1:17" ht="30" customHeight="1" x14ac:dyDescent="0.2">
      <c r="A153" s="3451"/>
      <c r="B153" s="3458"/>
      <c r="C153" s="3571"/>
      <c r="D153" s="1453">
        <v>450000000</v>
      </c>
      <c r="E153" s="1485">
        <v>0.05</v>
      </c>
      <c r="F153" s="1459">
        <f>D153*E153</f>
        <v>22500000</v>
      </c>
      <c r="G153" s="3757"/>
      <c r="H153" s="3758"/>
      <c r="I153" s="3758"/>
      <c r="J153" s="3759"/>
      <c r="K153" s="1458"/>
      <c r="L153" s="1458"/>
      <c r="M153" s="1482"/>
    </row>
    <row r="154" spans="1:17" ht="30" customHeight="1" x14ac:dyDescent="0.2">
      <c r="A154" s="3450">
        <v>90</v>
      </c>
      <c r="B154" s="3457" t="s">
        <v>223</v>
      </c>
      <c r="C154" s="3570" t="s">
        <v>1215</v>
      </c>
      <c r="D154" s="1020">
        <v>130000000</v>
      </c>
      <c r="E154" s="1048">
        <v>7.0000000000000007E-2</v>
      </c>
      <c r="F154" s="1020">
        <f>D154*E154</f>
        <v>9100000</v>
      </c>
      <c r="G154" s="3442">
        <v>14460000</v>
      </c>
      <c r="H154" s="3442" t="s">
        <v>2847</v>
      </c>
      <c r="I154" s="3593" t="s">
        <v>2909</v>
      </c>
      <c r="J154" s="3452" t="s">
        <v>785</v>
      </c>
      <c r="K154" s="3442">
        <f>G154</f>
        <v>14460000</v>
      </c>
      <c r="L154" s="3442">
        <f>(F154+F155)-K154</f>
        <v>0</v>
      </c>
      <c r="M154" s="3525"/>
    </row>
    <row r="155" spans="1:17" ht="30" customHeight="1" x14ac:dyDescent="0.2">
      <c r="A155" s="3451"/>
      <c r="B155" s="3458"/>
      <c r="C155" s="3571"/>
      <c r="D155" s="1020">
        <v>100000000</v>
      </c>
      <c r="E155" s="1048">
        <v>5.3999999999999999E-2</v>
      </c>
      <c r="F155" s="1020">
        <v>5360000</v>
      </c>
      <c r="G155" s="3443"/>
      <c r="H155" s="3443"/>
      <c r="I155" s="3594"/>
      <c r="J155" s="3453"/>
      <c r="K155" s="3443"/>
      <c r="L155" s="3443"/>
      <c r="M155" s="3526"/>
    </row>
    <row r="156" spans="1:17" ht="30" customHeight="1" x14ac:dyDescent="0.2">
      <c r="A156" s="1053">
        <v>91</v>
      </c>
      <c r="B156" s="1052" t="s">
        <v>224</v>
      </c>
      <c r="C156" s="1034"/>
      <c r="D156" s="1020">
        <v>50000000</v>
      </c>
      <c r="E156" s="1048">
        <v>0.05</v>
      </c>
      <c r="F156" s="1020">
        <f t="shared" si="9"/>
        <v>2500000</v>
      </c>
      <c r="G156" s="1020">
        <v>2500000</v>
      </c>
      <c r="H156" s="1020" t="s">
        <v>2337</v>
      </c>
      <c r="I156" s="1036" t="s">
        <v>2755</v>
      </c>
      <c r="J156" s="21" t="s">
        <v>1665</v>
      </c>
      <c r="K156" s="1020">
        <f>G156</f>
        <v>2500000</v>
      </c>
      <c r="L156" s="1020">
        <f t="shared" si="11"/>
        <v>0</v>
      </c>
      <c r="M156" s="1052"/>
    </row>
    <row r="157" spans="1:17" ht="30" customHeight="1" x14ac:dyDescent="0.2">
      <c r="A157" s="3450">
        <v>92</v>
      </c>
      <c r="B157" s="3687" t="s">
        <v>770</v>
      </c>
      <c r="C157" s="1047" t="s">
        <v>916</v>
      </c>
      <c r="D157" s="1035">
        <v>450000000</v>
      </c>
      <c r="E157" s="1048">
        <v>5.5E-2</v>
      </c>
      <c r="F157" s="1035">
        <v>24400000</v>
      </c>
      <c r="G157" s="1035">
        <v>24150000</v>
      </c>
      <c r="H157" s="1035" t="s">
        <v>2839</v>
      </c>
      <c r="I157" s="423" t="s">
        <v>2850</v>
      </c>
      <c r="J157" s="1051" t="s">
        <v>826</v>
      </c>
      <c r="K157" s="3442">
        <f>G157+G158</f>
        <v>24400000</v>
      </c>
      <c r="L157" s="3442">
        <f t="shared" si="11"/>
        <v>0</v>
      </c>
      <c r="M157" s="1054" t="s">
        <v>2148</v>
      </c>
    </row>
    <row r="158" spans="1:17" ht="30" customHeight="1" x14ac:dyDescent="0.2">
      <c r="A158" s="3456"/>
      <c r="B158" s="3687"/>
      <c r="C158" s="1321"/>
      <c r="D158" s="1305"/>
      <c r="E158" s="1308"/>
      <c r="F158" s="1305"/>
      <c r="G158" s="1305">
        <v>250000</v>
      </c>
      <c r="H158" s="3442" t="s">
        <v>3032</v>
      </c>
      <c r="I158" s="3577">
        <v>37557</v>
      </c>
      <c r="J158" s="3452" t="s">
        <v>3144</v>
      </c>
      <c r="K158" s="3443"/>
      <c r="L158" s="3443"/>
      <c r="M158" s="1319"/>
    </row>
    <row r="159" spans="1:17" ht="30" customHeight="1" x14ac:dyDescent="0.2">
      <c r="A159" s="3451"/>
      <c r="B159" s="3687"/>
      <c r="C159" s="1047" t="s">
        <v>1342</v>
      </c>
      <c r="D159" s="1020">
        <v>273000000</v>
      </c>
      <c r="E159" s="1017">
        <f>F159/D159</f>
        <v>5.4615384615384614E-2</v>
      </c>
      <c r="F159" s="1020">
        <v>14910000</v>
      </c>
      <c r="G159" s="1020">
        <f>14910000</f>
        <v>14910000</v>
      </c>
      <c r="H159" s="3443"/>
      <c r="I159" s="3578"/>
      <c r="J159" s="3453"/>
      <c r="K159" s="1020">
        <f>G159</f>
        <v>14910000</v>
      </c>
      <c r="L159" s="1020">
        <f>F159-K159</f>
        <v>0</v>
      </c>
      <c r="M159" s="1055"/>
    </row>
    <row r="160" spans="1:17" ht="30" customHeight="1" x14ac:dyDescent="0.2">
      <c r="A160" s="3450">
        <v>93</v>
      </c>
      <c r="B160" s="3457" t="s">
        <v>225</v>
      </c>
      <c r="C160" s="3570"/>
      <c r="D160" s="1020">
        <v>300000000</v>
      </c>
      <c r="E160" s="1017">
        <v>5.5E-2</v>
      </c>
      <c r="F160" s="1020">
        <f t="shared" si="9"/>
        <v>16500000</v>
      </c>
      <c r="G160" s="1020">
        <v>16500000</v>
      </c>
      <c r="H160" s="3442" t="s">
        <v>2687</v>
      </c>
      <c r="I160" s="3577" t="s">
        <v>2815</v>
      </c>
      <c r="J160" s="3452" t="s">
        <v>2816</v>
      </c>
      <c r="K160" s="1169">
        <f>G160</f>
        <v>16500000</v>
      </c>
      <c r="L160" s="1020">
        <f t="shared" si="11"/>
        <v>0</v>
      </c>
      <c r="M160" s="3525"/>
    </row>
    <row r="161" spans="1:13" ht="30" customHeight="1" x14ac:dyDescent="0.2">
      <c r="A161" s="3456"/>
      <c r="B161" s="3459"/>
      <c r="C161" s="3576"/>
      <c r="D161" s="3521" t="s">
        <v>2818</v>
      </c>
      <c r="E161" s="3613"/>
      <c r="F161" s="3522"/>
      <c r="G161" s="1168">
        <v>75000000</v>
      </c>
      <c r="H161" s="3443"/>
      <c r="I161" s="3578"/>
      <c r="J161" s="3453"/>
      <c r="K161" s="3575">
        <f>G161+G162</f>
        <v>150000000</v>
      </c>
      <c r="L161" s="3442"/>
      <c r="M161" s="3643"/>
    </row>
    <row r="162" spans="1:13" ht="30" customHeight="1" x14ac:dyDescent="0.2">
      <c r="A162" s="3456"/>
      <c r="B162" s="3459"/>
      <c r="C162" s="3576"/>
      <c r="D162" s="3523"/>
      <c r="E162" s="3614"/>
      <c r="F162" s="3524"/>
      <c r="G162" s="1168">
        <v>75000000</v>
      </c>
      <c r="H162" s="1168" t="s">
        <v>2642</v>
      </c>
      <c r="I162" s="1170" t="s">
        <v>2817</v>
      </c>
      <c r="J162" s="24" t="s">
        <v>2816</v>
      </c>
      <c r="K162" s="3575"/>
      <c r="L162" s="3443"/>
      <c r="M162" s="3643"/>
    </row>
    <row r="163" spans="1:13" ht="30" customHeight="1" x14ac:dyDescent="0.2">
      <c r="A163" s="3451"/>
      <c r="B163" s="3458"/>
      <c r="C163" s="3571"/>
      <c r="D163" s="1169">
        <v>150000000</v>
      </c>
      <c r="E163" s="1169"/>
      <c r="F163" s="1169"/>
      <c r="G163" s="1168"/>
      <c r="H163" s="3615" t="s">
        <v>2819</v>
      </c>
      <c r="I163" s="3616"/>
      <c r="J163" s="3616"/>
      <c r="K163" s="3617"/>
      <c r="L163" s="1168"/>
      <c r="M163" s="3526"/>
    </row>
    <row r="164" spans="1:13" ht="30" customHeight="1" x14ac:dyDescent="0.2">
      <c r="A164" s="1053">
        <v>94</v>
      </c>
      <c r="B164" s="1052" t="s">
        <v>1182</v>
      </c>
      <c r="C164" s="1034"/>
      <c r="D164" s="1020">
        <v>25000000</v>
      </c>
      <c r="E164" s="1048">
        <v>0.04</v>
      </c>
      <c r="F164" s="1020">
        <f>D164*E164</f>
        <v>1000000</v>
      </c>
      <c r="G164" s="1020">
        <v>1000000</v>
      </c>
      <c r="H164" s="1020" t="s">
        <v>2823</v>
      </c>
      <c r="I164" s="1036" t="s">
        <v>2894</v>
      </c>
      <c r="J164" s="24" t="s">
        <v>2895</v>
      </c>
      <c r="K164" s="1020">
        <f>G164</f>
        <v>1000000</v>
      </c>
      <c r="L164" s="1020">
        <f>F164-K164</f>
        <v>0</v>
      </c>
      <c r="M164" s="1052" t="s">
        <v>1514</v>
      </c>
    </row>
    <row r="165" spans="1:13" ht="30" customHeight="1" x14ac:dyDescent="0.2">
      <c r="A165" s="1053">
        <v>95</v>
      </c>
      <c r="B165" s="1052" t="s">
        <v>226</v>
      </c>
      <c r="C165" s="1034"/>
      <c r="D165" s="1020">
        <v>350000000</v>
      </c>
      <c r="E165" s="1048">
        <v>0.05</v>
      </c>
      <c r="F165" s="1020">
        <f t="shared" si="9"/>
        <v>17500000</v>
      </c>
      <c r="G165" s="1020">
        <v>17500000</v>
      </c>
      <c r="H165" s="1020" t="s">
        <v>2337</v>
      </c>
      <c r="I165" s="1036" t="s">
        <v>2759</v>
      </c>
      <c r="J165" s="24" t="s">
        <v>1674</v>
      </c>
      <c r="K165" s="1020">
        <f>G165</f>
        <v>17500000</v>
      </c>
      <c r="L165" s="1020">
        <f t="shared" si="11"/>
        <v>0</v>
      </c>
      <c r="M165" s="1052" t="s">
        <v>1672</v>
      </c>
    </row>
    <row r="166" spans="1:13" ht="30" customHeight="1" x14ac:dyDescent="0.2">
      <c r="A166" s="1053">
        <v>96</v>
      </c>
      <c r="B166" s="1052" t="s">
        <v>227</v>
      </c>
      <c r="C166" s="1034"/>
      <c r="D166" s="1020">
        <v>70000000</v>
      </c>
      <c r="E166" s="1048">
        <v>0.05</v>
      </c>
      <c r="F166" s="1020">
        <f t="shared" si="9"/>
        <v>3500000</v>
      </c>
      <c r="G166" s="1020">
        <v>3500000</v>
      </c>
      <c r="H166" s="1020" t="s">
        <v>2337</v>
      </c>
      <c r="I166" s="1036" t="s">
        <v>2754</v>
      </c>
      <c r="J166" s="1035" t="s">
        <v>1512</v>
      </c>
      <c r="K166" s="1020">
        <f>F166</f>
        <v>3500000</v>
      </c>
      <c r="L166" s="1020">
        <f t="shared" si="11"/>
        <v>0</v>
      </c>
      <c r="M166" s="1052"/>
    </row>
    <row r="167" spans="1:13" ht="30" customHeight="1" x14ac:dyDescent="0.2">
      <c r="A167" s="1053">
        <v>97</v>
      </c>
      <c r="B167" s="1052" t="s">
        <v>228</v>
      </c>
      <c r="C167" s="1034"/>
      <c r="D167" s="1020">
        <v>100000000</v>
      </c>
      <c r="E167" s="1048">
        <v>0.04</v>
      </c>
      <c r="F167" s="1020">
        <f t="shared" si="9"/>
        <v>4000000</v>
      </c>
      <c r="G167" s="1020"/>
      <c r="H167" s="1020"/>
      <c r="I167" s="1036"/>
      <c r="J167" s="24"/>
      <c r="K167" s="1020"/>
      <c r="L167" s="1020">
        <f t="shared" si="11"/>
        <v>4000000</v>
      </c>
      <c r="M167" s="1052"/>
    </row>
    <row r="168" spans="1:13" ht="30" customHeight="1" x14ac:dyDescent="0.2">
      <c r="A168" s="1053">
        <v>98</v>
      </c>
      <c r="B168" s="1052" t="s">
        <v>229</v>
      </c>
      <c r="C168" s="1034"/>
      <c r="D168" s="1020">
        <v>20000000</v>
      </c>
      <c r="E168" s="1048">
        <v>0.05</v>
      </c>
      <c r="F168" s="1020">
        <f t="shared" si="9"/>
        <v>1000000</v>
      </c>
      <c r="G168" s="1020">
        <v>1000000</v>
      </c>
      <c r="H168" s="1020" t="s">
        <v>3139</v>
      </c>
      <c r="I168" s="1036" t="s">
        <v>3187</v>
      </c>
      <c r="J168" s="1035" t="s">
        <v>812</v>
      </c>
      <c r="K168" s="1020">
        <f>G168</f>
        <v>1000000</v>
      </c>
      <c r="L168" s="1020">
        <f t="shared" si="11"/>
        <v>0</v>
      </c>
      <c r="M168" s="1052"/>
    </row>
    <row r="169" spans="1:13" ht="30" customHeight="1" x14ac:dyDescent="0.2">
      <c r="A169" s="1053">
        <v>99</v>
      </c>
      <c r="B169" s="1052" t="s">
        <v>230</v>
      </c>
      <c r="C169" s="1034" t="s">
        <v>1352</v>
      </c>
      <c r="D169" s="1020">
        <v>100000000</v>
      </c>
      <c r="E169" s="1048">
        <v>0.04</v>
      </c>
      <c r="F169" s="1020">
        <f t="shared" si="9"/>
        <v>4000000</v>
      </c>
      <c r="G169" s="1020">
        <v>4000000</v>
      </c>
      <c r="H169" s="1087" t="s">
        <v>2687</v>
      </c>
      <c r="I169" s="1036" t="s">
        <v>2695</v>
      </c>
      <c r="J169" s="88" t="s">
        <v>2696</v>
      </c>
      <c r="K169" s="1020">
        <f>G169</f>
        <v>4000000</v>
      </c>
      <c r="L169" s="1020">
        <f t="shared" si="11"/>
        <v>0</v>
      </c>
      <c r="M169" s="1052"/>
    </row>
    <row r="170" spans="1:13" ht="30" customHeight="1" x14ac:dyDescent="0.2">
      <c r="A170" s="1053">
        <v>100</v>
      </c>
      <c r="B170" s="1052" t="s">
        <v>231</v>
      </c>
      <c r="C170" s="1034" t="s">
        <v>401</v>
      </c>
      <c r="D170" s="1248">
        <v>101000000</v>
      </c>
      <c r="E170" s="1256">
        <v>5.0999999999999997E-2</v>
      </c>
      <c r="F170" s="1248">
        <v>5100000</v>
      </c>
      <c r="G170" s="1248">
        <v>5100000</v>
      </c>
      <c r="H170" s="1248" t="s">
        <v>2036</v>
      </c>
      <c r="I170" s="1253" t="s">
        <v>2993</v>
      </c>
      <c r="J170" s="24" t="s">
        <v>2994</v>
      </c>
      <c r="K170" s="1248">
        <f>G170</f>
        <v>5100000</v>
      </c>
      <c r="L170" s="1248">
        <f t="shared" si="11"/>
        <v>0</v>
      </c>
      <c r="M170" s="1052"/>
    </row>
    <row r="171" spans="1:13" ht="30" customHeight="1" x14ac:dyDescent="0.2">
      <c r="A171" s="3693">
        <v>101</v>
      </c>
      <c r="B171" s="3805" t="s">
        <v>180</v>
      </c>
      <c r="C171" s="3686" t="s">
        <v>1110</v>
      </c>
      <c r="D171" s="3575">
        <v>80000000</v>
      </c>
      <c r="E171" s="3683">
        <v>0.06</v>
      </c>
      <c r="F171" s="3442">
        <f t="shared" si="9"/>
        <v>4800000</v>
      </c>
      <c r="G171" s="1020">
        <v>4000000</v>
      </c>
      <c r="H171" s="1020" t="s">
        <v>2839</v>
      </c>
      <c r="I171" s="1036" t="s">
        <v>2856</v>
      </c>
      <c r="J171" s="1035" t="s">
        <v>2857</v>
      </c>
      <c r="K171" s="3442">
        <f>G171+G172</f>
        <v>4800000</v>
      </c>
      <c r="L171" s="3442">
        <f t="shared" si="11"/>
        <v>0</v>
      </c>
      <c r="M171" s="3627" t="s">
        <v>1811</v>
      </c>
    </row>
    <row r="172" spans="1:13" ht="30" customHeight="1" x14ac:dyDescent="0.2">
      <c r="A172" s="3693"/>
      <c r="B172" s="3805"/>
      <c r="C172" s="3686"/>
      <c r="D172" s="3575"/>
      <c r="E172" s="3683"/>
      <c r="F172" s="3443"/>
      <c r="G172" s="1203">
        <v>800000</v>
      </c>
      <c r="H172" s="1203" t="s">
        <v>2847</v>
      </c>
      <c r="I172" s="1213" t="s">
        <v>2908</v>
      </c>
      <c r="J172" s="1212" t="s">
        <v>816</v>
      </c>
      <c r="K172" s="3443"/>
      <c r="L172" s="3443"/>
      <c r="M172" s="3628"/>
    </row>
    <row r="173" spans="1:13" ht="30" customHeight="1" x14ac:dyDescent="0.2">
      <c r="A173" s="3693"/>
      <c r="B173" s="3805"/>
      <c r="C173" s="3686"/>
      <c r="D173" s="1435">
        <v>13000000</v>
      </c>
      <c r="E173" s="1351">
        <v>0.05</v>
      </c>
      <c r="F173" s="1448">
        <f>D173*E173</f>
        <v>650000</v>
      </c>
      <c r="G173" s="1452"/>
      <c r="H173" s="3615" t="s">
        <v>3438</v>
      </c>
      <c r="I173" s="3616"/>
      <c r="J173" s="3616"/>
      <c r="K173" s="3617"/>
      <c r="L173" s="1446"/>
      <c r="M173" s="1450"/>
    </row>
    <row r="174" spans="1:13" ht="30" customHeight="1" x14ac:dyDescent="0.2">
      <c r="A174" s="3693"/>
      <c r="B174" s="3805"/>
      <c r="C174" s="3686"/>
      <c r="D174" s="1435">
        <v>80000000</v>
      </c>
      <c r="E174" s="1351">
        <v>0.06</v>
      </c>
      <c r="F174" s="1448">
        <f>D174*E174</f>
        <v>4800000</v>
      </c>
      <c r="G174" s="1446"/>
      <c r="H174" s="3615" t="s">
        <v>3480</v>
      </c>
      <c r="I174" s="3616"/>
      <c r="J174" s="3616"/>
      <c r="K174" s="3617"/>
      <c r="L174" s="1446"/>
      <c r="M174" s="1450"/>
    </row>
    <row r="175" spans="1:13" ht="30" customHeight="1" x14ac:dyDescent="0.2">
      <c r="A175" s="3693"/>
      <c r="B175" s="3805"/>
      <c r="C175" s="3686"/>
      <c r="D175" s="1435"/>
      <c r="E175" s="1351"/>
      <c r="F175" s="1477"/>
      <c r="G175" s="1459">
        <v>5235000</v>
      </c>
      <c r="H175" s="1459">
        <v>5235000</v>
      </c>
      <c r="I175" s="1474" t="s">
        <v>3440</v>
      </c>
      <c r="J175" s="1472" t="s">
        <v>3481</v>
      </c>
      <c r="K175" s="1469">
        <f>G175</f>
        <v>5235000</v>
      </c>
      <c r="L175" s="1459"/>
      <c r="M175" s="1484" t="s">
        <v>3482</v>
      </c>
    </row>
    <row r="176" spans="1:13" ht="30" customHeight="1" x14ac:dyDescent="0.2">
      <c r="A176" s="1230"/>
      <c r="B176" s="1447" t="s">
        <v>2959</v>
      </c>
      <c r="C176" s="1479" t="s">
        <v>916</v>
      </c>
      <c r="D176" s="1465">
        <v>200000000</v>
      </c>
      <c r="E176" s="1466">
        <v>0.06</v>
      </c>
      <c r="F176" s="1465">
        <f t="shared" si="9"/>
        <v>12000000</v>
      </c>
      <c r="G176" s="1465"/>
      <c r="H176" s="1465"/>
      <c r="I176" s="835"/>
      <c r="J176" s="1467"/>
      <c r="K176" s="1465"/>
      <c r="L176" s="1465"/>
      <c r="M176" s="126"/>
    </row>
    <row r="177" spans="1:13" ht="30" customHeight="1" x14ac:dyDescent="0.2">
      <c r="A177" s="3450">
        <v>102</v>
      </c>
      <c r="B177" s="3457" t="s">
        <v>232</v>
      </c>
      <c r="C177" s="3570"/>
      <c r="D177" s="3442">
        <v>30000000</v>
      </c>
      <c r="E177" s="3444">
        <v>0.05</v>
      </c>
      <c r="F177" s="3442">
        <f t="shared" si="9"/>
        <v>1500000</v>
      </c>
      <c r="G177" s="1020">
        <v>1500000</v>
      </c>
      <c r="H177" s="1020" t="s">
        <v>3433</v>
      </c>
      <c r="I177" s="1036" t="s">
        <v>3434</v>
      </c>
      <c r="J177" s="30" t="s">
        <v>488</v>
      </c>
      <c r="K177" s="1020">
        <f>G177</f>
        <v>1500000</v>
      </c>
      <c r="L177" s="1020">
        <f>F177-K177</f>
        <v>0</v>
      </c>
      <c r="M177" s="3627" t="s">
        <v>3442</v>
      </c>
    </row>
    <row r="178" spans="1:13" ht="30" customHeight="1" x14ac:dyDescent="0.2">
      <c r="A178" s="3456"/>
      <c r="B178" s="3459"/>
      <c r="C178" s="3576"/>
      <c r="D178" s="3443"/>
      <c r="E178" s="3445"/>
      <c r="F178" s="3443"/>
      <c r="G178" s="1472">
        <v>30000000</v>
      </c>
      <c r="H178" s="1472" t="s">
        <v>3440</v>
      </c>
      <c r="I178" s="1489" t="s">
        <v>3441</v>
      </c>
      <c r="J178" s="30" t="s">
        <v>1093</v>
      </c>
      <c r="K178" s="1472">
        <f>G178</f>
        <v>30000000</v>
      </c>
      <c r="L178" s="1459"/>
      <c r="M178" s="3668"/>
    </row>
    <row r="179" spans="1:13" ht="30" customHeight="1" x14ac:dyDescent="0.2">
      <c r="A179" s="3451"/>
      <c r="B179" s="3458"/>
      <c r="C179" s="3571"/>
      <c r="D179" s="1020">
        <v>30000000</v>
      </c>
      <c r="E179" s="1048">
        <v>4.4999999999999998E-2</v>
      </c>
      <c r="F179" s="1020">
        <f t="shared" si="9"/>
        <v>1350000</v>
      </c>
      <c r="G179" s="3325" t="s">
        <v>3439</v>
      </c>
      <c r="H179" s="3340"/>
      <c r="I179" s="3340"/>
      <c r="J179" s="3340"/>
      <c r="K179" s="3341"/>
      <c r="L179" s="1459"/>
      <c r="M179" s="3628"/>
    </row>
    <row r="180" spans="1:13" ht="30" customHeight="1" x14ac:dyDescent="0.2">
      <c r="A180" s="3450">
        <v>103</v>
      </c>
      <c r="B180" s="3457" t="s">
        <v>233</v>
      </c>
      <c r="C180" s="3570" t="s">
        <v>1215</v>
      </c>
      <c r="D180" s="1020">
        <v>17000000</v>
      </c>
      <c r="E180" s="1048">
        <v>5.5E-2</v>
      </c>
      <c r="F180" s="1020">
        <v>950000</v>
      </c>
      <c r="G180" s="1020">
        <v>950000</v>
      </c>
      <c r="H180" s="1020" t="s">
        <v>2337</v>
      </c>
      <c r="I180" s="1036" t="s">
        <v>2747</v>
      </c>
      <c r="J180" s="21" t="s">
        <v>1644</v>
      </c>
      <c r="K180" s="1020">
        <f>G180</f>
        <v>950000</v>
      </c>
      <c r="L180" s="1020">
        <f t="shared" si="11"/>
        <v>0</v>
      </c>
      <c r="M180" s="1052"/>
    </row>
    <row r="181" spans="1:13" ht="30" customHeight="1" x14ac:dyDescent="0.2">
      <c r="A181" s="3451"/>
      <c r="B181" s="3458"/>
      <c r="C181" s="3571"/>
      <c r="D181" s="1133">
        <v>37000000</v>
      </c>
      <c r="E181" s="1134">
        <v>5.5E-2</v>
      </c>
      <c r="F181" s="1133">
        <f>D181*E181</f>
        <v>2035000</v>
      </c>
      <c r="G181" s="3610" t="s">
        <v>2762</v>
      </c>
      <c r="H181" s="3611"/>
      <c r="I181" s="3611"/>
      <c r="J181" s="3611"/>
      <c r="K181" s="3612"/>
      <c r="L181" s="1133"/>
      <c r="M181" s="1135" t="s">
        <v>3203</v>
      </c>
    </row>
    <row r="182" spans="1:13" ht="30" customHeight="1" x14ac:dyDescent="0.2">
      <c r="A182" s="1053">
        <v>104</v>
      </c>
      <c r="B182" s="1052" t="s">
        <v>234</v>
      </c>
      <c r="C182" s="1034" t="s">
        <v>1215</v>
      </c>
      <c r="D182" s="1020">
        <v>20000000</v>
      </c>
      <c r="E182" s="1048">
        <v>0.05</v>
      </c>
      <c r="F182" s="1020">
        <f t="shared" si="9"/>
        <v>1000000</v>
      </c>
      <c r="G182" s="1020">
        <v>1000000</v>
      </c>
      <c r="H182" s="1020" t="s">
        <v>2847</v>
      </c>
      <c r="I182" s="1036" t="s">
        <v>2924</v>
      </c>
      <c r="J182" s="24" t="s">
        <v>1638</v>
      </c>
      <c r="K182" s="1020">
        <f>G182</f>
        <v>1000000</v>
      </c>
      <c r="L182" s="1020">
        <f t="shared" si="11"/>
        <v>0</v>
      </c>
      <c r="M182" s="1052"/>
    </row>
    <row r="183" spans="1:13" ht="30" customHeight="1" x14ac:dyDescent="0.2">
      <c r="A183" s="1053">
        <v>105</v>
      </c>
      <c r="B183" s="1052" t="s">
        <v>235</v>
      </c>
      <c r="C183" s="1034"/>
      <c r="D183" s="1026"/>
      <c r="E183" s="44"/>
      <c r="F183" s="1026">
        <f t="shared" ref="F183:F222" si="13">D183*E183</f>
        <v>0</v>
      </c>
      <c r="G183" s="1020">
        <v>1900000</v>
      </c>
      <c r="H183" s="1020" t="s">
        <v>2711</v>
      </c>
      <c r="I183" s="1036" t="s">
        <v>2742</v>
      </c>
      <c r="J183" s="24" t="s">
        <v>795</v>
      </c>
      <c r="K183" s="1020">
        <f>G183</f>
        <v>1900000</v>
      </c>
      <c r="L183" s="1026">
        <f t="shared" si="11"/>
        <v>-1900000</v>
      </c>
      <c r="M183" s="1052"/>
    </row>
    <row r="184" spans="1:13" ht="30" customHeight="1" x14ac:dyDescent="0.2">
      <c r="A184" s="1053">
        <v>106</v>
      </c>
      <c r="B184" s="1052" t="s">
        <v>236</v>
      </c>
      <c r="C184" s="1034"/>
      <c r="D184" s="1020">
        <v>100000000</v>
      </c>
      <c r="E184" s="1048">
        <v>0.04</v>
      </c>
      <c r="F184" s="1020">
        <f t="shared" si="13"/>
        <v>4000000</v>
      </c>
      <c r="G184" s="1020">
        <v>4000000</v>
      </c>
      <c r="H184" s="1020" t="s">
        <v>2768</v>
      </c>
      <c r="I184" s="1036" t="s">
        <v>2772</v>
      </c>
      <c r="J184" s="1035" t="s">
        <v>797</v>
      </c>
      <c r="K184" s="1020">
        <f>F184</f>
        <v>4000000</v>
      </c>
      <c r="L184" s="1020">
        <f t="shared" ref="L184:L222" si="14">F184-K184</f>
        <v>0</v>
      </c>
      <c r="M184" s="1052"/>
    </row>
    <row r="185" spans="1:13" ht="30" customHeight="1" x14ac:dyDescent="0.2">
      <c r="A185" s="1053">
        <v>107</v>
      </c>
      <c r="B185" s="1052" t="s">
        <v>237</v>
      </c>
      <c r="C185" s="1034"/>
      <c r="D185" s="1020">
        <v>65000000</v>
      </c>
      <c r="E185" s="1048">
        <v>3.4000000000000002E-2</v>
      </c>
      <c r="F185" s="1020">
        <v>2200000</v>
      </c>
      <c r="G185" s="1020">
        <v>2200000</v>
      </c>
      <c r="H185" s="1020" t="s">
        <v>2337</v>
      </c>
      <c r="I185" s="1036" t="s">
        <v>2766</v>
      </c>
      <c r="J185" s="1035" t="s">
        <v>1783</v>
      </c>
      <c r="K185" s="1020">
        <f t="shared" ref="K185:K193" si="15">G185</f>
        <v>2200000</v>
      </c>
      <c r="L185" s="1020">
        <f t="shared" si="14"/>
        <v>0</v>
      </c>
      <c r="M185" s="1052"/>
    </row>
    <row r="186" spans="1:13" ht="30" customHeight="1" x14ac:dyDescent="0.2">
      <c r="A186" s="3450">
        <v>108</v>
      </c>
      <c r="B186" s="3457" t="s">
        <v>238</v>
      </c>
      <c r="C186" s="3570"/>
      <c r="D186" s="1210"/>
      <c r="E186" s="44"/>
      <c r="F186" s="1210">
        <f t="shared" si="13"/>
        <v>0</v>
      </c>
      <c r="G186" s="1020">
        <v>20000000</v>
      </c>
      <c r="H186" s="1020" t="s">
        <v>2337</v>
      </c>
      <c r="I186" s="1036" t="s">
        <v>2763</v>
      </c>
      <c r="J186" s="24" t="s">
        <v>1763</v>
      </c>
      <c r="K186" s="3575">
        <f>G186+G187+G188</f>
        <v>61800000</v>
      </c>
      <c r="L186" s="3505">
        <f t="shared" si="14"/>
        <v>-61800000</v>
      </c>
      <c r="M186" s="3765" t="s">
        <v>2205</v>
      </c>
    </row>
    <row r="187" spans="1:13" ht="30" customHeight="1" x14ac:dyDescent="0.2">
      <c r="A187" s="3456"/>
      <c r="B187" s="3459"/>
      <c r="C187" s="3576"/>
      <c r="D187" s="1210"/>
      <c r="E187" s="44"/>
      <c r="F187" s="1210"/>
      <c r="G187" s="1144">
        <v>30000000</v>
      </c>
      <c r="H187" s="1144" t="s">
        <v>2790</v>
      </c>
      <c r="I187" s="1150" t="s">
        <v>2791</v>
      </c>
      <c r="J187" s="24" t="s">
        <v>799</v>
      </c>
      <c r="K187" s="3575"/>
      <c r="L187" s="3549"/>
      <c r="M187" s="3766"/>
    </row>
    <row r="188" spans="1:13" ht="30" customHeight="1" x14ac:dyDescent="0.2">
      <c r="A188" s="3456"/>
      <c r="B188" s="3459"/>
      <c r="C188" s="3576"/>
      <c r="D188" s="1207"/>
      <c r="E188" s="1208"/>
      <c r="F188" s="1207"/>
      <c r="G188" s="1203">
        <v>11800000</v>
      </c>
      <c r="H188" s="1211" t="s">
        <v>2847</v>
      </c>
      <c r="I188" s="868" t="s">
        <v>2911</v>
      </c>
      <c r="J188" s="588" t="s">
        <v>1763</v>
      </c>
      <c r="K188" s="3575"/>
      <c r="L188" s="3506"/>
      <c r="M188" s="3767"/>
    </row>
    <row r="189" spans="1:13" ht="30" customHeight="1" x14ac:dyDescent="0.2">
      <c r="A189" s="3451"/>
      <c r="B189" s="3458"/>
      <c r="C189" s="3571"/>
      <c r="D189" s="1203">
        <v>35000000</v>
      </c>
      <c r="E189" s="1206"/>
      <c r="F189" s="1203"/>
      <c r="G189" s="1203"/>
      <c r="H189" s="3615" t="s">
        <v>2903</v>
      </c>
      <c r="I189" s="3616"/>
      <c r="J189" s="3616"/>
      <c r="K189" s="3617"/>
      <c r="L189" s="1207"/>
      <c r="M189" s="1226" t="s">
        <v>2904</v>
      </c>
    </row>
    <row r="190" spans="1:13" ht="30" customHeight="1" x14ac:dyDescent="0.2">
      <c r="A190" s="1053">
        <v>109</v>
      </c>
      <c r="B190" s="1052" t="s">
        <v>239</v>
      </c>
      <c r="C190" s="1034"/>
      <c r="D190" s="1020">
        <v>1000000000</v>
      </c>
      <c r="E190" s="1048">
        <v>0.05</v>
      </c>
      <c r="F190" s="1020">
        <f t="shared" si="13"/>
        <v>50000000</v>
      </c>
      <c r="G190" s="1020">
        <v>50000000</v>
      </c>
      <c r="H190" s="1020" t="s">
        <v>2337</v>
      </c>
      <c r="I190" s="1036" t="s">
        <v>2749</v>
      </c>
      <c r="J190" s="24" t="s">
        <v>2750</v>
      </c>
      <c r="K190" s="1020">
        <f t="shared" si="15"/>
        <v>50000000</v>
      </c>
      <c r="L190" s="1020">
        <f t="shared" si="14"/>
        <v>0</v>
      </c>
      <c r="M190" s="1052"/>
    </row>
    <row r="191" spans="1:13" ht="30" customHeight="1" x14ac:dyDescent="0.2">
      <c r="A191" s="1053">
        <v>110</v>
      </c>
      <c r="B191" s="1054" t="s">
        <v>1960</v>
      </c>
      <c r="C191" s="1033" t="s">
        <v>1347</v>
      </c>
      <c r="D191" s="1020">
        <v>14000000</v>
      </c>
      <c r="E191" s="1048">
        <v>4.2999999999999997E-2</v>
      </c>
      <c r="F191" s="1020">
        <v>600000</v>
      </c>
      <c r="G191" s="1020">
        <v>600000</v>
      </c>
      <c r="H191" s="1020" t="s">
        <v>2036</v>
      </c>
      <c r="I191" s="1036" t="s">
        <v>2990</v>
      </c>
      <c r="J191" s="24" t="s">
        <v>1972</v>
      </c>
      <c r="K191" s="1035">
        <f t="shared" si="15"/>
        <v>600000</v>
      </c>
      <c r="L191" s="1035">
        <f>F191-K191</f>
        <v>0</v>
      </c>
      <c r="M191" s="22"/>
    </row>
    <row r="192" spans="1:13" ht="30" customHeight="1" x14ac:dyDescent="0.2">
      <c r="A192" s="1053">
        <v>111</v>
      </c>
      <c r="B192" s="1054" t="s">
        <v>240</v>
      </c>
      <c r="C192" s="1033" t="s">
        <v>1347</v>
      </c>
      <c r="D192" s="1020">
        <v>20000000</v>
      </c>
      <c r="E192" s="1048">
        <v>4.4999999999999998E-2</v>
      </c>
      <c r="F192" s="1020">
        <f>D192*E192</f>
        <v>900000</v>
      </c>
      <c r="G192" s="1020">
        <v>900000</v>
      </c>
      <c r="H192" s="1020" t="s">
        <v>2687</v>
      </c>
      <c r="I192" s="1036" t="s">
        <v>2690</v>
      </c>
      <c r="J192" s="24" t="s">
        <v>563</v>
      </c>
      <c r="K192" s="1035">
        <f t="shared" si="15"/>
        <v>900000</v>
      </c>
      <c r="L192" s="1035">
        <f>F192-K192</f>
        <v>0</v>
      </c>
      <c r="M192" s="22"/>
    </row>
    <row r="193" spans="1:13" ht="30" customHeight="1" x14ac:dyDescent="0.2">
      <c r="A193" s="1053">
        <v>112</v>
      </c>
      <c r="B193" s="1052" t="s">
        <v>241</v>
      </c>
      <c r="C193" s="1047"/>
      <c r="D193" s="1020">
        <v>40000000</v>
      </c>
      <c r="E193" s="1048">
        <v>0.05</v>
      </c>
      <c r="F193" s="1020">
        <f t="shared" si="13"/>
        <v>2000000</v>
      </c>
      <c r="G193" s="1020">
        <v>2000000</v>
      </c>
      <c r="H193" s="1020" t="s">
        <v>2790</v>
      </c>
      <c r="I193" s="1036" t="s">
        <v>2792</v>
      </c>
      <c r="J193" s="88" t="s">
        <v>804</v>
      </c>
      <c r="K193" s="1020">
        <f t="shared" si="15"/>
        <v>2000000</v>
      </c>
      <c r="L193" s="1020">
        <f t="shared" si="14"/>
        <v>0</v>
      </c>
      <c r="M193" s="1052"/>
    </row>
    <row r="194" spans="1:13" ht="30" customHeight="1" x14ac:dyDescent="0.2">
      <c r="A194" s="3450">
        <v>113</v>
      </c>
      <c r="B194" s="3525" t="s">
        <v>242</v>
      </c>
      <c r="C194" s="3570" t="s">
        <v>411</v>
      </c>
      <c r="D194" s="1020">
        <v>252000000</v>
      </c>
      <c r="E194" s="1048">
        <v>4.4999999999999998E-2</v>
      </c>
      <c r="F194" s="1020">
        <f t="shared" si="13"/>
        <v>11340000</v>
      </c>
      <c r="G194" s="3316" t="s">
        <v>2906</v>
      </c>
      <c r="H194" s="3768"/>
      <c r="I194" s="3768"/>
      <c r="J194" s="3768"/>
      <c r="K194" s="3351"/>
      <c r="L194" s="1020">
        <f t="shared" si="14"/>
        <v>11340000</v>
      </c>
      <c r="M194" s="3525"/>
    </row>
    <row r="195" spans="1:13" ht="30" customHeight="1" x14ac:dyDescent="0.2">
      <c r="A195" s="3456"/>
      <c r="B195" s="3643"/>
      <c r="C195" s="3576"/>
      <c r="D195" s="3442"/>
      <c r="E195" s="3444"/>
      <c r="F195" s="3442">
        <v>25840000</v>
      </c>
      <c r="G195" s="1203">
        <v>20000000</v>
      </c>
      <c r="H195" s="1203" t="s">
        <v>2036</v>
      </c>
      <c r="I195" s="1213" t="s">
        <v>2979</v>
      </c>
      <c r="J195" s="24" t="s">
        <v>2980</v>
      </c>
      <c r="K195" s="3442">
        <f>G195+G196</f>
        <v>25840000</v>
      </c>
      <c r="L195" s="3442">
        <f>F195-K195</f>
        <v>0</v>
      </c>
      <c r="M195" s="3643"/>
    </row>
    <row r="196" spans="1:13" ht="30" customHeight="1" x14ac:dyDescent="0.2">
      <c r="A196" s="3456"/>
      <c r="B196" s="3643"/>
      <c r="C196" s="3576"/>
      <c r="D196" s="3443"/>
      <c r="E196" s="3445"/>
      <c r="F196" s="3443"/>
      <c r="G196" s="1203">
        <v>5840000</v>
      </c>
      <c r="H196" s="1203" t="s">
        <v>3279</v>
      </c>
      <c r="I196" s="1213" t="s">
        <v>3315</v>
      </c>
      <c r="J196" s="24" t="s">
        <v>2980</v>
      </c>
      <c r="K196" s="3443"/>
      <c r="L196" s="3443"/>
      <c r="M196" s="3643"/>
    </row>
    <row r="197" spans="1:13" ht="30" customHeight="1" x14ac:dyDescent="0.2">
      <c r="A197" s="3451"/>
      <c r="B197" s="3526"/>
      <c r="C197" s="3571"/>
      <c r="D197" s="1203">
        <v>250000000</v>
      </c>
      <c r="E197" s="1216">
        <v>0.05</v>
      </c>
      <c r="F197" s="1203">
        <f>D197*E197</f>
        <v>12500000</v>
      </c>
      <c r="G197" s="3610" t="s">
        <v>2907</v>
      </c>
      <c r="H197" s="3611"/>
      <c r="I197" s="3611"/>
      <c r="J197" s="3611"/>
      <c r="K197" s="3612"/>
      <c r="L197" s="1203"/>
      <c r="M197" s="3526"/>
    </row>
    <row r="198" spans="1:13" ht="30" customHeight="1" x14ac:dyDescent="0.2">
      <c r="A198" s="1053">
        <v>114</v>
      </c>
      <c r="B198" s="1052" t="s">
        <v>243</v>
      </c>
      <c r="C198" s="1034"/>
      <c r="D198" s="1020">
        <v>100000000</v>
      </c>
      <c r="E198" s="1048">
        <v>4.4999999999999998E-2</v>
      </c>
      <c r="F198" s="1020">
        <f t="shared" si="13"/>
        <v>4500000</v>
      </c>
      <c r="G198" s="1020"/>
      <c r="H198" s="1020"/>
      <c r="I198" s="1036"/>
      <c r="J198" s="89" t="s">
        <v>1718</v>
      </c>
      <c r="K198" s="1020">
        <f>G198</f>
        <v>0</v>
      </c>
      <c r="L198" s="1020">
        <f t="shared" si="14"/>
        <v>4500000</v>
      </c>
      <c r="M198" s="1052"/>
    </row>
    <row r="199" spans="1:13" ht="30" customHeight="1" x14ac:dyDescent="0.2">
      <c r="A199" s="426">
        <v>115</v>
      </c>
      <c r="B199" s="1054" t="s">
        <v>244</v>
      </c>
      <c r="C199" s="421" t="s">
        <v>1175</v>
      </c>
      <c r="D199" s="1035">
        <v>20000000</v>
      </c>
      <c r="E199" s="1048">
        <v>0.05</v>
      </c>
      <c r="F199" s="1035">
        <f t="shared" si="13"/>
        <v>1000000</v>
      </c>
      <c r="G199" s="1020">
        <v>1000000</v>
      </c>
      <c r="H199" s="1020" t="s">
        <v>3421</v>
      </c>
      <c r="I199" s="1036" t="s">
        <v>3422</v>
      </c>
      <c r="J199" s="24" t="s">
        <v>1444</v>
      </c>
      <c r="K199" s="1020">
        <f>G199</f>
        <v>1000000</v>
      </c>
      <c r="L199" s="1020">
        <f t="shared" si="14"/>
        <v>0</v>
      </c>
      <c r="M199" s="1024"/>
    </row>
    <row r="200" spans="1:13" ht="30" customHeight="1" x14ac:dyDescent="0.2">
      <c r="A200" s="3450">
        <v>117</v>
      </c>
      <c r="B200" s="3457" t="s">
        <v>246</v>
      </c>
      <c r="C200" s="3570" t="s">
        <v>916</v>
      </c>
      <c r="D200" s="1020">
        <v>300000000</v>
      </c>
      <c r="E200" s="1017">
        <v>4.4999999999999998E-2</v>
      </c>
      <c r="F200" s="1020">
        <f t="shared" si="13"/>
        <v>13500000</v>
      </c>
      <c r="G200" s="1020">
        <v>13500000</v>
      </c>
      <c r="H200" s="3442" t="s">
        <v>2768</v>
      </c>
      <c r="I200" s="3577" t="s">
        <v>2779</v>
      </c>
      <c r="J200" s="3452" t="s">
        <v>2780</v>
      </c>
      <c r="K200" s="3442">
        <f>G200+G201</f>
        <v>20000000</v>
      </c>
      <c r="L200" s="3442">
        <f>(G200+G201)-K200</f>
        <v>0</v>
      </c>
      <c r="M200" s="3468" t="s">
        <v>3126</v>
      </c>
    </row>
    <row r="201" spans="1:13" ht="30" customHeight="1" x14ac:dyDescent="0.2">
      <c r="A201" s="3456"/>
      <c r="B201" s="3459"/>
      <c r="C201" s="3576"/>
      <c r="D201" s="1144">
        <v>145000000</v>
      </c>
      <c r="E201" s="1145">
        <v>4.4999999999999998E-2</v>
      </c>
      <c r="F201" s="1144">
        <v>6500000</v>
      </c>
      <c r="G201" s="1144">
        <v>6500000</v>
      </c>
      <c r="H201" s="3443"/>
      <c r="I201" s="3578"/>
      <c r="J201" s="3453"/>
      <c r="K201" s="3443"/>
      <c r="L201" s="3443"/>
      <c r="M201" s="3469"/>
    </row>
    <row r="202" spans="1:13" ht="30" customHeight="1" x14ac:dyDescent="0.2">
      <c r="A202" s="3451"/>
      <c r="B202" s="3458"/>
      <c r="C202" s="3571"/>
      <c r="D202" s="1144">
        <v>445000000</v>
      </c>
      <c r="E202" s="1145">
        <v>4.4999999999999998E-2</v>
      </c>
      <c r="F202" s="1144">
        <v>20000000</v>
      </c>
      <c r="G202" s="1459">
        <v>20000000</v>
      </c>
      <c r="H202" s="1459" t="s">
        <v>3440</v>
      </c>
      <c r="I202" s="1474" t="s">
        <v>3472</v>
      </c>
      <c r="J202" s="89" t="s">
        <v>2780</v>
      </c>
      <c r="K202" s="1459">
        <f>G202</f>
        <v>20000000</v>
      </c>
      <c r="L202" s="1144">
        <f>F202-K202</f>
        <v>0</v>
      </c>
      <c r="M202" s="103" t="s">
        <v>3473</v>
      </c>
    </row>
    <row r="203" spans="1:13" ht="30" customHeight="1" x14ac:dyDescent="0.2">
      <c r="A203" s="1053">
        <v>118</v>
      </c>
      <c r="B203" s="1052" t="s">
        <v>247</v>
      </c>
      <c r="C203" s="1034"/>
      <c r="D203" s="1020">
        <v>20000000</v>
      </c>
      <c r="E203" s="1048">
        <v>0.05</v>
      </c>
      <c r="F203" s="1020">
        <f t="shared" si="13"/>
        <v>1000000</v>
      </c>
      <c r="G203" s="1020">
        <v>1000000</v>
      </c>
      <c r="H203" s="1020" t="s">
        <v>2337</v>
      </c>
      <c r="I203" s="1036" t="s">
        <v>2752</v>
      </c>
      <c r="J203" s="89" t="s">
        <v>625</v>
      </c>
      <c r="K203" s="1020">
        <f t="shared" ref="K203:K209" si="16">G203</f>
        <v>1000000</v>
      </c>
      <c r="L203" s="1020">
        <f t="shared" si="14"/>
        <v>0</v>
      </c>
      <c r="M203" s="1052"/>
    </row>
    <row r="204" spans="1:13" ht="30" customHeight="1" x14ac:dyDescent="0.2">
      <c r="A204" s="3450">
        <v>119</v>
      </c>
      <c r="B204" s="3457" t="s">
        <v>248</v>
      </c>
      <c r="C204" s="3570"/>
      <c r="D204" s="1020">
        <v>100000000</v>
      </c>
      <c r="E204" s="1048">
        <v>0.04</v>
      </c>
      <c r="F204" s="1020">
        <f t="shared" si="13"/>
        <v>4000000</v>
      </c>
      <c r="G204" s="1020">
        <v>4000000</v>
      </c>
      <c r="H204" s="1020" t="s">
        <v>2839</v>
      </c>
      <c r="I204" s="1036" t="s">
        <v>2851</v>
      </c>
      <c r="J204" s="24" t="s">
        <v>1727</v>
      </c>
      <c r="K204" s="1020">
        <f t="shared" si="16"/>
        <v>4000000</v>
      </c>
      <c r="L204" s="1020">
        <f t="shared" si="14"/>
        <v>0</v>
      </c>
      <c r="M204" s="103" t="s">
        <v>2900</v>
      </c>
    </row>
    <row r="205" spans="1:13" ht="30" customHeight="1" x14ac:dyDescent="0.2">
      <c r="A205" s="3451"/>
      <c r="B205" s="3458"/>
      <c r="C205" s="3571"/>
      <c r="D205" s="3325" t="s">
        <v>1398</v>
      </c>
      <c r="E205" s="3340"/>
      <c r="F205" s="3341"/>
      <c r="G205" s="3478" t="s">
        <v>2957</v>
      </c>
      <c r="H205" s="3479"/>
      <c r="I205" s="3479"/>
      <c r="J205" s="3479"/>
      <c r="K205" s="3480"/>
      <c r="L205" s="1203"/>
      <c r="M205" s="1205"/>
    </row>
    <row r="206" spans="1:13" ht="30" customHeight="1" x14ac:dyDescent="0.2">
      <c r="A206" s="3450">
        <v>120</v>
      </c>
      <c r="B206" s="3457" t="s">
        <v>249</v>
      </c>
      <c r="C206" s="3570" t="s">
        <v>379</v>
      </c>
      <c r="D206" s="3442">
        <v>617000000</v>
      </c>
      <c r="E206" s="3444">
        <v>7.0000000000000007E-2</v>
      </c>
      <c r="F206" s="3442">
        <v>43200000</v>
      </c>
      <c r="G206" s="1035">
        <v>30000000</v>
      </c>
      <c r="H206" s="1035" t="s">
        <v>2036</v>
      </c>
      <c r="I206" s="424" t="s">
        <v>2999</v>
      </c>
      <c r="J206" s="1051" t="s">
        <v>3000</v>
      </c>
      <c r="K206" s="3442">
        <f>G206+G207</f>
        <v>43200000</v>
      </c>
      <c r="L206" s="3442">
        <f>F206-K206</f>
        <v>0</v>
      </c>
      <c r="M206" s="3525"/>
    </row>
    <row r="207" spans="1:13" ht="30" customHeight="1" x14ac:dyDescent="0.2">
      <c r="A207" s="3451"/>
      <c r="B207" s="3458"/>
      <c r="C207" s="3571"/>
      <c r="D207" s="3443"/>
      <c r="E207" s="3445"/>
      <c r="F207" s="3443"/>
      <c r="G207" s="1397">
        <v>13200000</v>
      </c>
      <c r="H207" s="1397" t="s">
        <v>3362</v>
      </c>
      <c r="I207" s="1405" t="s">
        <v>3390</v>
      </c>
      <c r="J207" s="1411" t="s">
        <v>3000</v>
      </c>
      <c r="K207" s="3443"/>
      <c r="L207" s="3443"/>
      <c r="M207" s="3526"/>
    </row>
    <row r="208" spans="1:13" ht="30" customHeight="1" x14ac:dyDescent="0.2">
      <c r="A208" s="1053">
        <v>122</v>
      </c>
      <c r="B208" s="1052" t="s">
        <v>251</v>
      </c>
      <c r="C208" s="1034"/>
      <c r="D208" s="1020">
        <v>50000000</v>
      </c>
      <c r="E208" s="1048">
        <v>4.4999999999999998E-2</v>
      </c>
      <c r="F208" s="1020">
        <f t="shared" si="13"/>
        <v>2250000</v>
      </c>
      <c r="G208" s="1020">
        <v>2250000</v>
      </c>
      <c r="H208" s="1020" t="s">
        <v>2768</v>
      </c>
      <c r="I208" s="1036" t="s">
        <v>2776</v>
      </c>
      <c r="J208" s="21" t="s">
        <v>1661</v>
      </c>
      <c r="K208" s="1020">
        <f t="shared" si="16"/>
        <v>2250000</v>
      </c>
      <c r="L208" s="1020">
        <f t="shared" si="14"/>
        <v>0</v>
      </c>
      <c r="M208" s="1052"/>
    </row>
    <row r="209" spans="1:13" ht="30" customHeight="1" x14ac:dyDescent="0.2">
      <c r="A209" s="3450">
        <v>123</v>
      </c>
      <c r="B209" s="3457" t="s">
        <v>1744</v>
      </c>
      <c r="C209" s="1034" t="s">
        <v>1350</v>
      </c>
      <c r="D209" s="1020">
        <v>60000000</v>
      </c>
      <c r="E209" s="1048">
        <v>0.05</v>
      </c>
      <c r="F209" s="1020">
        <f t="shared" si="13"/>
        <v>3000000</v>
      </c>
      <c r="G209" s="3442">
        <v>4400000</v>
      </c>
      <c r="H209" s="3442" t="s">
        <v>2847</v>
      </c>
      <c r="I209" s="3577" t="s">
        <v>2920</v>
      </c>
      <c r="J209" s="3452" t="s">
        <v>588</v>
      </c>
      <c r="K209" s="3442">
        <f t="shared" si="16"/>
        <v>4400000</v>
      </c>
      <c r="L209" s="3442">
        <f>(F209+F210)-K209</f>
        <v>0</v>
      </c>
      <c r="M209" s="3525"/>
    </row>
    <row r="210" spans="1:13" ht="30" customHeight="1" x14ac:dyDescent="0.2">
      <c r="A210" s="3451"/>
      <c r="B210" s="3458"/>
      <c r="C210" s="1034" t="s">
        <v>1351</v>
      </c>
      <c r="D210" s="1020">
        <v>20000000</v>
      </c>
      <c r="E210" s="1048">
        <v>7.0000000000000007E-2</v>
      </c>
      <c r="F210" s="1020">
        <f t="shared" si="13"/>
        <v>1400000.0000000002</v>
      </c>
      <c r="G210" s="3443"/>
      <c r="H210" s="3443"/>
      <c r="I210" s="3578"/>
      <c r="J210" s="3453"/>
      <c r="K210" s="3443"/>
      <c r="L210" s="3443"/>
      <c r="M210" s="3526"/>
    </row>
    <row r="211" spans="1:13" ht="30" customHeight="1" x14ac:dyDescent="0.2">
      <c r="A211" s="1053">
        <v>124</v>
      </c>
      <c r="B211" s="1052" t="s">
        <v>253</v>
      </c>
      <c r="C211" s="1034" t="s">
        <v>401</v>
      </c>
      <c r="D211" s="1020">
        <v>200000000</v>
      </c>
      <c r="E211" s="1048">
        <v>0.05</v>
      </c>
      <c r="F211" s="1020">
        <f t="shared" si="13"/>
        <v>10000000</v>
      </c>
      <c r="G211" s="1020">
        <v>10000000</v>
      </c>
      <c r="H211" s="1020" t="s">
        <v>2937</v>
      </c>
      <c r="I211" s="1041" t="s">
        <v>2956</v>
      </c>
      <c r="J211" s="21" t="s">
        <v>1473</v>
      </c>
      <c r="K211" s="1020">
        <f>G211</f>
        <v>10000000</v>
      </c>
      <c r="L211" s="1020">
        <f t="shared" si="14"/>
        <v>0</v>
      </c>
      <c r="M211" s="1052"/>
    </row>
    <row r="212" spans="1:13" ht="30" customHeight="1" x14ac:dyDescent="0.2">
      <c r="A212" s="426">
        <v>125</v>
      </c>
      <c r="B212" s="1054" t="s">
        <v>254</v>
      </c>
      <c r="C212" s="1047"/>
      <c r="D212" s="1035">
        <v>160000000</v>
      </c>
      <c r="E212" s="1048">
        <v>7.0000000000000007E-2</v>
      </c>
      <c r="F212" s="1035">
        <v>11000000</v>
      </c>
      <c r="G212" s="1020">
        <v>11000000</v>
      </c>
      <c r="H212" s="1020" t="s">
        <v>2768</v>
      </c>
      <c r="I212" s="1036" t="s">
        <v>2775</v>
      </c>
      <c r="J212" s="24" t="s">
        <v>1700</v>
      </c>
      <c r="K212" s="1020">
        <f>G212</f>
        <v>11000000</v>
      </c>
      <c r="L212" s="1020">
        <f t="shared" si="14"/>
        <v>0</v>
      </c>
      <c r="M212" s="1052"/>
    </row>
    <row r="213" spans="1:13" ht="30" customHeight="1" x14ac:dyDescent="0.2">
      <c r="A213" s="1053">
        <v>126</v>
      </c>
      <c r="B213" s="1052" t="s">
        <v>255</v>
      </c>
      <c r="C213" s="1034" t="s">
        <v>411</v>
      </c>
      <c r="D213" s="1020">
        <v>180000000</v>
      </c>
      <c r="E213" s="1017">
        <v>4.4999999999999998E-2</v>
      </c>
      <c r="F213" s="1020">
        <f t="shared" si="13"/>
        <v>8100000</v>
      </c>
      <c r="G213" s="1020">
        <v>8100000</v>
      </c>
      <c r="H213" s="1020" t="s">
        <v>2036</v>
      </c>
      <c r="I213" s="1036" t="s">
        <v>2975</v>
      </c>
      <c r="J213" s="24" t="s">
        <v>2976</v>
      </c>
      <c r="K213" s="1020">
        <f>G213</f>
        <v>8100000</v>
      </c>
      <c r="L213" s="1231">
        <f t="shared" si="14"/>
        <v>0</v>
      </c>
      <c r="M213" s="1052"/>
    </row>
    <row r="214" spans="1:13" ht="30" customHeight="1" x14ac:dyDescent="0.2">
      <c r="A214" s="3450">
        <v>127</v>
      </c>
      <c r="B214" s="3457" t="s">
        <v>256</v>
      </c>
      <c r="C214" s="3570"/>
      <c r="D214" s="3442">
        <v>800000000</v>
      </c>
      <c r="E214" s="3444">
        <v>0.05</v>
      </c>
      <c r="F214" s="3442">
        <f t="shared" si="13"/>
        <v>40000000</v>
      </c>
      <c r="G214" s="1020">
        <v>20000000</v>
      </c>
      <c r="H214" s="1020" t="s">
        <v>2666</v>
      </c>
      <c r="I214" s="1041" t="s">
        <v>2673</v>
      </c>
      <c r="J214" s="24" t="s">
        <v>2674</v>
      </c>
      <c r="K214" s="3442">
        <f>G214+G215</f>
        <v>40000000</v>
      </c>
      <c r="L214" s="3442">
        <f t="shared" si="14"/>
        <v>0</v>
      </c>
      <c r="M214" s="3525"/>
    </row>
    <row r="215" spans="1:13" ht="30" customHeight="1" x14ac:dyDescent="0.2">
      <c r="A215" s="3451"/>
      <c r="B215" s="3458"/>
      <c r="C215" s="3571"/>
      <c r="D215" s="3443"/>
      <c r="E215" s="3445"/>
      <c r="F215" s="3443"/>
      <c r="G215" s="1020">
        <v>20000000</v>
      </c>
      <c r="H215" s="1020" t="s">
        <v>2687</v>
      </c>
      <c r="I215" s="1041" t="s">
        <v>2688</v>
      </c>
      <c r="J215" s="24" t="s">
        <v>2674</v>
      </c>
      <c r="K215" s="3443"/>
      <c r="L215" s="3443"/>
      <c r="M215" s="3526"/>
    </row>
    <row r="216" spans="1:13" ht="30" customHeight="1" x14ac:dyDescent="0.2">
      <c r="A216" s="1053">
        <v>128</v>
      </c>
      <c r="B216" s="1052" t="s">
        <v>257</v>
      </c>
      <c r="C216" s="1034"/>
      <c r="D216" s="1026"/>
      <c r="E216" s="44"/>
      <c r="F216" s="1026">
        <f t="shared" si="13"/>
        <v>0</v>
      </c>
      <c r="G216" s="1020">
        <v>3000000</v>
      </c>
      <c r="H216" s="1020" t="s">
        <v>3362</v>
      </c>
      <c r="I216" s="1036" t="s">
        <v>3368</v>
      </c>
      <c r="J216" s="24" t="s">
        <v>3369</v>
      </c>
      <c r="K216" s="1020">
        <f>G216</f>
        <v>3000000</v>
      </c>
      <c r="L216" s="1026">
        <f t="shared" si="14"/>
        <v>-3000000</v>
      </c>
      <c r="M216" s="1052"/>
    </row>
    <row r="217" spans="1:13" ht="30" customHeight="1" x14ac:dyDescent="0.2">
      <c r="A217" s="3450">
        <v>129</v>
      </c>
      <c r="B217" s="3457" t="s">
        <v>258</v>
      </c>
      <c r="C217" s="3570" t="s">
        <v>1138</v>
      </c>
      <c r="D217" s="1019"/>
      <c r="E217" s="1016"/>
      <c r="F217" s="1019"/>
      <c r="G217" s="1020">
        <v>9000000</v>
      </c>
      <c r="H217" s="1020" t="s">
        <v>2666</v>
      </c>
      <c r="I217" s="1036" t="s">
        <v>2675</v>
      </c>
      <c r="J217" s="24" t="s">
        <v>604</v>
      </c>
      <c r="K217" s="1020">
        <f>G217</f>
        <v>9000000</v>
      </c>
      <c r="L217" s="1020">
        <f>12000000-3000000-K217</f>
        <v>0</v>
      </c>
      <c r="M217" s="103" t="s">
        <v>2655</v>
      </c>
    </row>
    <row r="218" spans="1:13" ht="30" customHeight="1" x14ac:dyDescent="0.2">
      <c r="A218" s="3456"/>
      <c r="B218" s="3458"/>
      <c r="C218" s="3571"/>
      <c r="D218" s="1018">
        <v>200000000</v>
      </c>
      <c r="E218" s="1016">
        <v>0.06</v>
      </c>
      <c r="F218" s="1018">
        <f>D218*E218</f>
        <v>12000000</v>
      </c>
      <c r="G218" s="1020">
        <v>12000000</v>
      </c>
      <c r="H218" s="1020" t="s">
        <v>3362</v>
      </c>
      <c r="I218" s="1036" t="s">
        <v>3386</v>
      </c>
      <c r="J218" s="24" t="s">
        <v>3387</v>
      </c>
      <c r="K218" s="1018">
        <f>G218</f>
        <v>12000000</v>
      </c>
      <c r="L218" s="1018">
        <f>F218-K218</f>
        <v>0</v>
      </c>
      <c r="M218" s="103" t="s">
        <v>3126</v>
      </c>
    </row>
    <row r="219" spans="1:13" ht="30" customHeight="1" x14ac:dyDescent="0.2">
      <c r="A219" s="3450">
        <v>130</v>
      </c>
      <c r="B219" s="3457" t="s">
        <v>1213</v>
      </c>
      <c r="C219" s="3570" t="s">
        <v>1354</v>
      </c>
      <c r="D219" s="3442">
        <v>200000000</v>
      </c>
      <c r="E219" s="3444">
        <v>0.05</v>
      </c>
      <c r="F219" s="3442">
        <f t="shared" si="13"/>
        <v>10000000</v>
      </c>
      <c r="G219" s="1035">
        <v>50000000</v>
      </c>
      <c r="H219" s="1035" t="s">
        <v>2711</v>
      </c>
      <c r="I219" s="424" t="s">
        <v>2726</v>
      </c>
      <c r="J219" s="1051" t="s">
        <v>2727</v>
      </c>
      <c r="K219" s="1035">
        <f>G219</f>
        <v>50000000</v>
      </c>
      <c r="L219" s="1035"/>
      <c r="M219" s="103" t="s">
        <v>2728</v>
      </c>
    </row>
    <row r="220" spans="1:13" ht="30" customHeight="1" x14ac:dyDescent="0.2">
      <c r="A220" s="3456"/>
      <c r="B220" s="3459"/>
      <c r="C220" s="3576"/>
      <c r="D220" s="3443"/>
      <c r="E220" s="3445"/>
      <c r="F220" s="3443"/>
      <c r="G220" s="1108">
        <v>10000000</v>
      </c>
      <c r="H220" s="1108" t="s">
        <v>3032</v>
      </c>
      <c r="I220" s="1113" t="s">
        <v>3124</v>
      </c>
      <c r="J220" s="1112" t="s">
        <v>3125</v>
      </c>
      <c r="K220" s="1108">
        <f>G220</f>
        <v>10000000</v>
      </c>
      <c r="L220" s="1099">
        <f>F219-K220</f>
        <v>0</v>
      </c>
      <c r="M220" s="103" t="s">
        <v>3126</v>
      </c>
    </row>
    <row r="221" spans="1:13" ht="30" customHeight="1" x14ac:dyDescent="0.2">
      <c r="A221" s="3451"/>
      <c r="B221" s="3458"/>
      <c r="C221" s="3571"/>
      <c r="D221" s="1103">
        <v>150000000</v>
      </c>
      <c r="E221" s="1102">
        <v>0.05</v>
      </c>
      <c r="F221" s="1103">
        <f>D221*E221</f>
        <v>7500000</v>
      </c>
      <c r="G221" s="3478" t="s">
        <v>2725</v>
      </c>
      <c r="H221" s="3479"/>
      <c r="I221" s="3479"/>
      <c r="J221" s="3479"/>
      <c r="K221" s="3479"/>
      <c r="L221" s="3480"/>
      <c r="M221" s="1106"/>
    </row>
    <row r="222" spans="1:13" ht="30" customHeight="1" x14ac:dyDescent="0.2">
      <c r="A222" s="1053">
        <v>131</v>
      </c>
      <c r="B222" s="1013" t="s">
        <v>259</v>
      </c>
      <c r="C222" s="1034"/>
      <c r="D222" s="1020">
        <v>200000000</v>
      </c>
      <c r="E222" s="1017">
        <v>0.05</v>
      </c>
      <c r="F222" s="1020">
        <f t="shared" si="13"/>
        <v>10000000</v>
      </c>
      <c r="G222" s="1020">
        <v>10000000</v>
      </c>
      <c r="H222" s="1020" t="s">
        <v>2768</v>
      </c>
      <c r="I222" s="1036" t="s">
        <v>2783</v>
      </c>
      <c r="J222" s="28" t="s">
        <v>1785</v>
      </c>
      <c r="K222" s="1020">
        <f>G222</f>
        <v>10000000</v>
      </c>
      <c r="L222" s="1020">
        <f t="shared" si="14"/>
        <v>0</v>
      </c>
      <c r="M222" s="103" t="s">
        <v>1786</v>
      </c>
    </row>
    <row r="223" spans="1:13" ht="30" customHeight="1" x14ac:dyDescent="0.2">
      <c r="A223" s="3450">
        <v>132</v>
      </c>
      <c r="B223" s="3802" t="s">
        <v>1266</v>
      </c>
      <c r="C223" s="3570" t="s">
        <v>1746</v>
      </c>
      <c r="D223" s="3442"/>
      <c r="E223" s="3444"/>
      <c r="F223" s="3442"/>
      <c r="G223" s="3575"/>
      <c r="H223" s="3575"/>
      <c r="I223" s="3575"/>
      <c r="J223" s="3575"/>
      <c r="K223" s="3575"/>
      <c r="L223" s="3442"/>
      <c r="M223" s="103" t="s">
        <v>2004</v>
      </c>
    </row>
    <row r="224" spans="1:13" ht="30" customHeight="1" x14ac:dyDescent="0.2">
      <c r="A224" s="3456"/>
      <c r="B224" s="3803"/>
      <c r="C224" s="3576"/>
      <c r="D224" s="3443"/>
      <c r="E224" s="3445"/>
      <c r="F224" s="3443"/>
      <c r="G224" s="3575"/>
      <c r="H224" s="3575"/>
      <c r="I224" s="3575"/>
      <c r="J224" s="3575"/>
      <c r="K224" s="3575"/>
      <c r="L224" s="3443"/>
      <c r="M224" s="103" t="s">
        <v>2656</v>
      </c>
    </row>
    <row r="225" spans="1:13" ht="30" customHeight="1" x14ac:dyDescent="0.2">
      <c r="A225" s="3451"/>
      <c r="B225" s="3804"/>
      <c r="C225" s="3571"/>
      <c r="D225" s="1521">
        <v>490000000</v>
      </c>
      <c r="E225" s="1518">
        <v>0.05</v>
      </c>
      <c r="F225" s="1521">
        <f>D225*E225</f>
        <v>24500000</v>
      </c>
      <c r="G225" s="1521">
        <v>14500000</v>
      </c>
      <c r="H225" s="1521" t="s">
        <v>3279</v>
      </c>
      <c r="I225" s="1562" t="s">
        <v>3303</v>
      </c>
      <c r="J225" s="1535" t="s">
        <v>1268</v>
      </c>
      <c r="K225" s="1521">
        <f>G225</f>
        <v>14500000</v>
      </c>
      <c r="L225" s="1521">
        <f>F225-K225</f>
        <v>10000000</v>
      </c>
      <c r="M225" s="103" t="s">
        <v>3304</v>
      </c>
    </row>
    <row r="226" spans="1:13" ht="30" customHeight="1" x14ac:dyDescent="0.2">
      <c r="A226" s="1572">
        <v>133</v>
      </c>
      <c r="B226" s="1513" t="s">
        <v>178</v>
      </c>
      <c r="C226" s="1541" t="s">
        <v>1817</v>
      </c>
      <c r="D226" s="1521">
        <v>100000000</v>
      </c>
      <c r="E226" s="1518">
        <v>4.4999999999999998E-2</v>
      </c>
      <c r="F226" s="1521">
        <f t="shared" ref="F226:F301" si="17">D226*E226</f>
        <v>4500000</v>
      </c>
      <c r="G226" s="1521">
        <v>4500000</v>
      </c>
      <c r="H226" s="1521" t="s">
        <v>2823</v>
      </c>
      <c r="I226" s="1543" t="s">
        <v>2887</v>
      </c>
      <c r="J226" s="24" t="s">
        <v>534</v>
      </c>
      <c r="K226" s="1521">
        <f>G226</f>
        <v>4500000</v>
      </c>
      <c r="L226" s="1521">
        <f t="shared" ref="L226:L301" si="18">F226-K226</f>
        <v>0</v>
      </c>
      <c r="M226" s="1526" t="s">
        <v>3247</v>
      </c>
    </row>
    <row r="227" spans="1:13" ht="30" customHeight="1" x14ac:dyDescent="0.2">
      <c r="A227" s="3450">
        <v>134</v>
      </c>
      <c r="B227" s="3457" t="s">
        <v>169</v>
      </c>
      <c r="C227" s="3570"/>
      <c r="D227" s="3442">
        <v>110000000</v>
      </c>
      <c r="E227" s="3444">
        <v>0.04</v>
      </c>
      <c r="F227" s="3442">
        <f t="shared" si="17"/>
        <v>4400000</v>
      </c>
      <c r="G227" s="1521">
        <v>3000000</v>
      </c>
      <c r="H227" s="1521" t="s">
        <v>2839</v>
      </c>
      <c r="I227" s="1543" t="s">
        <v>2858</v>
      </c>
      <c r="J227" s="24" t="s">
        <v>522</v>
      </c>
      <c r="K227" s="3442">
        <f>G227+G228</f>
        <v>4400000</v>
      </c>
      <c r="L227" s="3442">
        <f t="shared" si="18"/>
        <v>0</v>
      </c>
      <c r="M227" s="3525"/>
    </row>
    <row r="228" spans="1:13" ht="30" customHeight="1" x14ac:dyDescent="0.2">
      <c r="A228" s="3451"/>
      <c r="B228" s="3458"/>
      <c r="C228" s="3571"/>
      <c r="D228" s="3443"/>
      <c r="E228" s="3445"/>
      <c r="F228" s="3443"/>
      <c r="G228" s="1521">
        <v>1400000</v>
      </c>
      <c r="H228" s="1521" t="s">
        <v>2839</v>
      </c>
      <c r="I228" s="1543" t="s">
        <v>2859</v>
      </c>
      <c r="J228" s="24" t="s">
        <v>2860</v>
      </c>
      <c r="K228" s="3443"/>
      <c r="L228" s="3443"/>
      <c r="M228" s="3526"/>
    </row>
    <row r="229" spans="1:13" ht="30" customHeight="1" x14ac:dyDescent="0.2">
      <c r="A229" s="3450">
        <v>135</v>
      </c>
      <c r="B229" s="3457" t="s">
        <v>7</v>
      </c>
      <c r="C229" s="1571" t="s">
        <v>401</v>
      </c>
      <c r="D229" s="1521">
        <v>100000000</v>
      </c>
      <c r="E229" s="1569">
        <v>0.05</v>
      </c>
      <c r="F229" s="1521">
        <f t="shared" si="17"/>
        <v>5000000</v>
      </c>
      <c r="G229" s="1521">
        <v>5000000</v>
      </c>
      <c r="H229" s="1521" t="s">
        <v>2768</v>
      </c>
      <c r="I229" s="1543" t="s">
        <v>2777</v>
      </c>
      <c r="J229" s="30" t="s">
        <v>1642</v>
      </c>
      <c r="K229" s="3442">
        <f>G229+G230</f>
        <v>11000000</v>
      </c>
      <c r="L229" s="3442">
        <f>(F229+F230)-K229</f>
        <v>0</v>
      </c>
      <c r="M229" s="3525"/>
    </row>
    <row r="230" spans="1:13" ht="30" customHeight="1" x14ac:dyDescent="0.2">
      <c r="A230" s="3451"/>
      <c r="B230" s="3458"/>
      <c r="C230" s="1571" t="s">
        <v>1354</v>
      </c>
      <c r="D230" s="1521">
        <v>124000000</v>
      </c>
      <c r="E230" s="1569">
        <v>4.9000000000000002E-2</v>
      </c>
      <c r="F230" s="1521">
        <v>6000000</v>
      </c>
      <c r="G230" s="1521">
        <v>6000000</v>
      </c>
      <c r="H230" s="1521" t="s">
        <v>3236</v>
      </c>
      <c r="I230" s="1543" t="s">
        <v>3241</v>
      </c>
      <c r="J230" s="57" t="s">
        <v>2322</v>
      </c>
      <c r="K230" s="3443"/>
      <c r="L230" s="3443"/>
      <c r="M230" s="3526"/>
    </row>
    <row r="231" spans="1:13" ht="30" customHeight="1" x14ac:dyDescent="0.2">
      <c r="A231" s="1572">
        <v>136</v>
      </c>
      <c r="B231" s="1570" t="s">
        <v>260</v>
      </c>
      <c r="C231" s="1541"/>
      <c r="D231" s="1531"/>
      <c r="E231" s="44"/>
      <c r="F231" s="1531">
        <f t="shared" si="17"/>
        <v>0</v>
      </c>
      <c r="G231" s="1521"/>
      <c r="H231" s="1521"/>
      <c r="I231" s="1543"/>
      <c r="J231" s="28"/>
      <c r="K231" s="1521"/>
      <c r="L231" s="1531">
        <f t="shared" si="18"/>
        <v>0</v>
      </c>
      <c r="M231" s="1526" t="s">
        <v>3297</v>
      </c>
    </row>
    <row r="232" spans="1:13" ht="30" customHeight="1" x14ac:dyDescent="0.2">
      <c r="A232" s="426">
        <v>137</v>
      </c>
      <c r="B232" s="1567" t="s">
        <v>182</v>
      </c>
      <c r="C232" s="1571" t="s">
        <v>1219</v>
      </c>
      <c r="D232" s="1521">
        <v>210000000</v>
      </c>
      <c r="E232" s="1569">
        <f>F232/D232</f>
        <v>4.8571428571428571E-2</v>
      </c>
      <c r="F232" s="1521">
        <v>10200000</v>
      </c>
      <c r="G232" s="1521">
        <v>10200000</v>
      </c>
      <c r="H232" s="1521" t="s">
        <v>2823</v>
      </c>
      <c r="I232" s="1543" t="s">
        <v>2831</v>
      </c>
      <c r="J232" s="28" t="s">
        <v>1810</v>
      </c>
      <c r="K232" s="1521">
        <f t="shared" ref="K232:K242" si="19">G232</f>
        <v>10200000</v>
      </c>
      <c r="L232" s="1521">
        <f t="shared" si="18"/>
        <v>0</v>
      </c>
      <c r="M232" s="1526" t="s">
        <v>2076</v>
      </c>
    </row>
    <row r="233" spans="1:13" ht="30" customHeight="1" x14ac:dyDescent="0.2">
      <c r="A233" s="3450">
        <v>138</v>
      </c>
      <c r="B233" s="3457" t="s">
        <v>262</v>
      </c>
      <c r="C233" s="3570" t="s">
        <v>1215</v>
      </c>
      <c r="D233" s="1521">
        <v>500000000</v>
      </c>
      <c r="E233" s="1569">
        <v>0.06</v>
      </c>
      <c r="F233" s="1521">
        <f t="shared" si="17"/>
        <v>30000000</v>
      </c>
      <c r="G233" s="1521">
        <v>30000000</v>
      </c>
      <c r="H233" s="1521" t="s">
        <v>2823</v>
      </c>
      <c r="I233" s="1562" t="s">
        <v>2883</v>
      </c>
      <c r="J233" s="24" t="s">
        <v>542</v>
      </c>
      <c r="K233" s="1521">
        <f t="shared" si="19"/>
        <v>30000000</v>
      </c>
      <c r="L233" s="1521">
        <f t="shared" si="18"/>
        <v>0</v>
      </c>
      <c r="M233" s="1570"/>
    </row>
    <row r="234" spans="1:13" ht="30" customHeight="1" x14ac:dyDescent="0.2">
      <c r="A234" s="3456"/>
      <c r="B234" s="3459"/>
      <c r="C234" s="3576"/>
      <c r="D234" s="1521">
        <v>200000000</v>
      </c>
      <c r="E234" s="1569"/>
      <c r="F234" s="1521"/>
      <c r="G234" s="3610" t="s">
        <v>3029</v>
      </c>
      <c r="H234" s="3611"/>
      <c r="I234" s="3611"/>
      <c r="J234" s="3612"/>
      <c r="K234" s="1521"/>
      <c r="L234" s="1521"/>
      <c r="M234" s="1570"/>
    </row>
    <row r="235" spans="1:13" ht="30" customHeight="1" x14ac:dyDescent="0.2">
      <c r="A235" s="3456"/>
      <c r="B235" s="3459"/>
      <c r="C235" s="3576"/>
      <c r="D235" s="1521">
        <v>280000000</v>
      </c>
      <c r="E235" s="1569"/>
      <c r="F235" s="1521"/>
      <c r="G235" s="3610" t="s">
        <v>3030</v>
      </c>
      <c r="H235" s="3611"/>
      <c r="I235" s="3611"/>
      <c r="J235" s="3612"/>
      <c r="K235" s="1521"/>
      <c r="L235" s="1521"/>
      <c r="M235" s="1570"/>
    </row>
    <row r="236" spans="1:13" ht="30" customHeight="1" x14ac:dyDescent="0.2">
      <c r="A236" s="3451"/>
      <c r="B236" s="3459"/>
      <c r="C236" s="3576"/>
      <c r="D236" s="1521">
        <v>980000000</v>
      </c>
      <c r="E236" s="1569"/>
      <c r="F236" s="1521"/>
      <c r="G236" s="3610" t="s">
        <v>3031</v>
      </c>
      <c r="H236" s="3611"/>
      <c r="I236" s="3611"/>
      <c r="J236" s="3612"/>
      <c r="K236" s="1521"/>
      <c r="L236" s="1521"/>
      <c r="M236" s="1570"/>
    </row>
    <row r="237" spans="1:13" ht="30" customHeight="1" x14ac:dyDescent="0.2">
      <c r="A237" s="1516"/>
      <c r="B237" s="3459"/>
      <c r="C237" s="3576"/>
      <c r="D237" s="1521"/>
      <c r="E237" s="1569"/>
      <c r="F237" s="1521"/>
      <c r="G237" s="3610" t="s">
        <v>3140</v>
      </c>
      <c r="H237" s="3611"/>
      <c r="I237" s="3611"/>
      <c r="J237" s="3612"/>
      <c r="K237" s="1521"/>
      <c r="L237" s="1521"/>
      <c r="M237" s="1570"/>
    </row>
    <row r="238" spans="1:13" ht="30" customHeight="1" x14ac:dyDescent="0.2">
      <c r="A238" s="1516"/>
      <c r="B238" s="3458"/>
      <c r="C238" s="3571"/>
      <c r="D238" s="1521"/>
      <c r="E238" s="1569"/>
      <c r="F238" s="1521"/>
      <c r="G238" s="1583"/>
      <c r="H238" s="1584"/>
      <c r="I238" s="1584"/>
      <c r="J238" s="1552"/>
      <c r="K238" s="1521"/>
      <c r="L238" s="1521"/>
      <c r="M238" s="1570"/>
    </row>
    <row r="239" spans="1:13" ht="30" customHeight="1" x14ac:dyDescent="0.2">
      <c r="A239" s="1572">
        <v>139</v>
      </c>
      <c r="B239" s="22" t="s">
        <v>163</v>
      </c>
      <c r="C239" s="1541" t="s">
        <v>1817</v>
      </c>
      <c r="D239" s="1542">
        <v>110000000</v>
      </c>
      <c r="E239" s="1569">
        <v>0.05</v>
      </c>
      <c r="F239" s="1542">
        <f t="shared" si="17"/>
        <v>5500000</v>
      </c>
      <c r="G239" s="1521">
        <v>5500000</v>
      </c>
      <c r="H239" s="1521" t="s">
        <v>2823</v>
      </c>
      <c r="I239" s="1543" t="s">
        <v>2890</v>
      </c>
      <c r="J239" s="30" t="s">
        <v>2891</v>
      </c>
      <c r="K239" s="1542">
        <f t="shared" si="19"/>
        <v>5500000</v>
      </c>
      <c r="L239" s="1542">
        <f t="shared" si="18"/>
        <v>0</v>
      </c>
      <c r="M239" s="22"/>
    </row>
    <row r="240" spans="1:13" ht="30" customHeight="1" x14ac:dyDescent="0.2">
      <c r="A240" s="1572"/>
      <c r="B240" s="22" t="s">
        <v>2400</v>
      </c>
      <c r="C240" s="1541" t="s">
        <v>265</v>
      </c>
      <c r="D240" s="1542">
        <v>50000000</v>
      </c>
      <c r="E240" s="1569">
        <v>0.05</v>
      </c>
      <c r="F240" s="1542">
        <f>D240*E240</f>
        <v>2500000</v>
      </c>
      <c r="G240" s="1521">
        <v>2500000</v>
      </c>
      <c r="H240" s="1521" t="s">
        <v>2847</v>
      </c>
      <c r="I240" s="1543" t="s">
        <v>2925</v>
      </c>
      <c r="J240" s="30" t="s">
        <v>1833</v>
      </c>
      <c r="K240" s="1542">
        <f t="shared" si="19"/>
        <v>2500000</v>
      </c>
      <c r="L240" s="1542">
        <f t="shared" si="18"/>
        <v>0</v>
      </c>
      <c r="M240" s="22"/>
    </row>
    <row r="241" spans="1:13" ht="30" customHeight="1" x14ac:dyDescent="0.2">
      <c r="A241" s="1572">
        <v>140</v>
      </c>
      <c r="B241" s="1570" t="s">
        <v>546</v>
      </c>
      <c r="C241" s="1541" t="s">
        <v>380</v>
      </c>
      <c r="D241" s="1521">
        <v>150000000</v>
      </c>
      <c r="E241" s="1569">
        <v>0.04</v>
      </c>
      <c r="F241" s="1521">
        <f t="shared" si="17"/>
        <v>6000000</v>
      </c>
      <c r="G241" s="1521">
        <v>6000000</v>
      </c>
      <c r="H241" s="1521" t="s">
        <v>2036</v>
      </c>
      <c r="I241" s="1543" t="s">
        <v>2986</v>
      </c>
      <c r="J241" s="21" t="s">
        <v>2987</v>
      </c>
      <c r="K241" s="1521">
        <f t="shared" si="19"/>
        <v>6000000</v>
      </c>
      <c r="L241" s="1521">
        <f t="shared" si="18"/>
        <v>0</v>
      </c>
      <c r="M241" s="1570"/>
    </row>
    <row r="242" spans="1:13" ht="30" customHeight="1" x14ac:dyDescent="0.2">
      <c r="A242" s="1572">
        <v>141</v>
      </c>
      <c r="B242" s="1570" t="s">
        <v>8</v>
      </c>
      <c r="C242" s="1541"/>
      <c r="D242" s="1521">
        <v>30000000</v>
      </c>
      <c r="E242" s="1569">
        <v>0.05</v>
      </c>
      <c r="F242" s="1521">
        <f t="shared" si="17"/>
        <v>1500000</v>
      </c>
      <c r="G242" s="1521"/>
      <c r="H242" s="1521"/>
      <c r="I242" s="1543"/>
      <c r="J242" s="24" t="s">
        <v>548</v>
      </c>
      <c r="K242" s="1521">
        <f t="shared" si="19"/>
        <v>0</v>
      </c>
      <c r="L242" s="1521">
        <f t="shared" si="18"/>
        <v>1500000</v>
      </c>
      <c r="M242" s="1570"/>
    </row>
    <row r="243" spans="1:13" ht="30" customHeight="1" x14ac:dyDescent="0.2">
      <c r="A243" s="3450">
        <v>142</v>
      </c>
      <c r="B243" s="3525" t="s">
        <v>9</v>
      </c>
      <c r="C243" s="3570"/>
      <c r="D243" s="3442">
        <v>2000000000</v>
      </c>
      <c r="E243" s="3444"/>
      <c r="F243" s="3442">
        <f>D244*E243</f>
        <v>0</v>
      </c>
      <c r="G243" s="3478" t="s">
        <v>2740</v>
      </c>
      <c r="H243" s="3479"/>
      <c r="I243" s="3479"/>
      <c r="J243" s="3480"/>
      <c r="K243" s="3442">
        <f>G244+G245+G246</f>
        <v>160000000</v>
      </c>
      <c r="L243" s="3442">
        <f>160000000-K243</f>
        <v>0</v>
      </c>
      <c r="M243" s="103" t="s">
        <v>1871</v>
      </c>
    </row>
    <row r="244" spans="1:13" ht="30" customHeight="1" x14ac:dyDescent="0.2">
      <c r="A244" s="3456"/>
      <c r="B244" s="3643"/>
      <c r="C244" s="3576"/>
      <c r="D244" s="3461"/>
      <c r="E244" s="3474"/>
      <c r="F244" s="3461"/>
      <c r="G244" s="1521">
        <v>40000000</v>
      </c>
      <c r="H244" s="1521" t="s">
        <v>3032</v>
      </c>
      <c r="I244" s="1544" t="s">
        <v>3153</v>
      </c>
      <c r="J244" s="1566" t="s">
        <v>550</v>
      </c>
      <c r="K244" s="3461"/>
      <c r="L244" s="3461"/>
      <c r="M244" s="103" t="s">
        <v>1879</v>
      </c>
    </row>
    <row r="245" spans="1:13" ht="30" customHeight="1" x14ac:dyDescent="0.2">
      <c r="A245" s="3456"/>
      <c r="B245" s="3643"/>
      <c r="C245" s="3576"/>
      <c r="D245" s="3461"/>
      <c r="E245" s="3474"/>
      <c r="F245" s="3461"/>
      <c r="G245" s="1521">
        <v>90400000</v>
      </c>
      <c r="H245" s="3478" t="s">
        <v>3154</v>
      </c>
      <c r="I245" s="3479"/>
      <c r="J245" s="3480"/>
      <c r="K245" s="3461"/>
      <c r="L245" s="3461"/>
      <c r="M245" s="3468" t="s">
        <v>2741</v>
      </c>
    </row>
    <row r="246" spans="1:13" ht="30" customHeight="1" x14ac:dyDescent="0.2">
      <c r="A246" s="3456"/>
      <c r="B246" s="3643"/>
      <c r="C246" s="3576"/>
      <c r="D246" s="3461"/>
      <c r="E246" s="3474"/>
      <c r="F246" s="3461"/>
      <c r="G246" s="1521">
        <v>29600000</v>
      </c>
      <c r="H246" s="1521" t="s">
        <v>3137</v>
      </c>
      <c r="I246" s="1544" t="s">
        <v>3167</v>
      </c>
      <c r="J246" s="1566" t="s">
        <v>550</v>
      </c>
      <c r="K246" s="3461"/>
      <c r="L246" s="3461"/>
      <c r="M246" s="3606"/>
    </row>
    <row r="247" spans="1:13" ht="30" customHeight="1" x14ac:dyDescent="0.2">
      <c r="A247" s="3456"/>
      <c r="B247" s="3643"/>
      <c r="C247" s="3576"/>
      <c r="D247" s="3461"/>
      <c r="E247" s="3474"/>
      <c r="F247" s="3461"/>
      <c r="G247" s="1521"/>
      <c r="H247" s="1521"/>
      <c r="I247" s="1544"/>
      <c r="J247" s="1566"/>
      <c r="K247" s="3461"/>
      <c r="L247" s="3461"/>
      <c r="M247" s="3606"/>
    </row>
    <row r="248" spans="1:13" ht="30" customHeight="1" x14ac:dyDescent="0.2">
      <c r="A248" s="3456"/>
      <c r="B248" s="3643"/>
      <c r="C248" s="3576"/>
      <c r="D248" s="3461"/>
      <c r="E248" s="3474"/>
      <c r="F248" s="3461"/>
      <c r="G248" s="1521"/>
      <c r="H248" s="1521"/>
      <c r="I248" s="1544"/>
      <c r="J248" s="1566"/>
      <c r="K248" s="3461"/>
      <c r="L248" s="3461"/>
      <c r="M248" s="3606"/>
    </row>
    <row r="249" spans="1:13" ht="30" customHeight="1" x14ac:dyDescent="0.2">
      <c r="A249" s="3456"/>
      <c r="B249" s="3643"/>
      <c r="C249" s="3576"/>
      <c r="D249" s="3461"/>
      <c r="E249" s="3474"/>
      <c r="F249" s="3461"/>
      <c r="G249" s="1521"/>
      <c r="H249" s="1521"/>
      <c r="I249" s="1544"/>
      <c r="J249" s="427"/>
      <c r="K249" s="3461"/>
      <c r="L249" s="3461"/>
      <c r="M249" s="3606"/>
    </row>
    <row r="250" spans="1:13" ht="30" customHeight="1" x14ac:dyDescent="0.2">
      <c r="A250" s="3456"/>
      <c r="B250" s="3643"/>
      <c r="C250" s="3576"/>
      <c r="D250" s="3461"/>
      <c r="E250" s="3474"/>
      <c r="F250" s="3461"/>
      <c r="G250" s="1521"/>
      <c r="H250" s="1521"/>
      <c r="I250" s="1544"/>
      <c r="J250" s="1566"/>
      <c r="K250" s="3461"/>
      <c r="L250" s="3461"/>
      <c r="M250" s="3606"/>
    </row>
    <row r="251" spans="1:13" ht="30" customHeight="1" x14ac:dyDescent="0.2">
      <c r="A251" s="3456"/>
      <c r="B251" s="3643"/>
      <c r="C251" s="3576"/>
      <c r="D251" s="3461"/>
      <c r="E251" s="3474"/>
      <c r="F251" s="3461"/>
      <c r="G251" s="1521"/>
      <c r="H251" s="1521"/>
      <c r="I251" s="1544"/>
      <c r="J251" s="1566"/>
      <c r="K251" s="3461"/>
      <c r="L251" s="3461"/>
      <c r="M251" s="3606"/>
    </row>
    <row r="252" spans="1:13" ht="30" customHeight="1" x14ac:dyDescent="0.2">
      <c r="A252" s="3451"/>
      <c r="B252" s="3526"/>
      <c r="C252" s="3571"/>
      <c r="D252" s="3443"/>
      <c r="E252" s="3445"/>
      <c r="F252" s="3443"/>
      <c r="G252" s="1521"/>
      <c r="H252" s="1521"/>
      <c r="I252" s="1544"/>
      <c r="J252" s="1566"/>
      <c r="K252" s="3443"/>
      <c r="L252" s="3443"/>
      <c r="M252" s="3469"/>
    </row>
    <row r="253" spans="1:13" ht="30" customHeight="1" x14ac:dyDescent="0.2">
      <c r="A253" s="1572">
        <v>143</v>
      </c>
      <c r="B253" s="1570" t="s">
        <v>10</v>
      </c>
      <c r="C253" s="1541"/>
      <c r="D253" s="1521">
        <v>50000000</v>
      </c>
      <c r="E253" s="1569">
        <v>0.04</v>
      </c>
      <c r="F253" s="1521">
        <f t="shared" si="17"/>
        <v>2000000</v>
      </c>
      <c r="G253" s="1521">
        <v>4000000</v>
      </c>
      <c r="H253" s="1521" t="s">
        <v>3051</v>
      </c>
      <c r="I253" s="1543" t="s">
        <v>3064</v>
      </c>
      <c r="J253" s="30" t="s">
        <v>3065</v>
      </c>
      <c r="K253" s="1521">
        <f>G253</f>
        <v>4000000</v>
      </c>
      <c r="L253" s="1521">
        <f t="shared" si="18"/>
        <v>-2000000</v>
      </c>
      <c r="M253" s="103" t="s">
        <v>3066</v>
      </c>
    </row>
    <row r="254" spans="1:13" ht="30" customHeight="1" x14ac:dyDescent="0.2">
      <c r="A254" s="1572">
        <v>144</v>
      </c>
      <c r="B254" s="1570" t="s">
        <v>527</v>
      </c>
      <c r="C254" s="1541"/>
      <c r="D254" s="1521">
        <v>5000000</v>
      </c>
      <c r="E254" s="1569">
        <v>0.05</v>
      </c>
      <c r="F254" s="1521">
        <f t="shared" si="17"/>
        <v>250000</v>
      </c>
      <c r="G254" s="1521">
        <v>250000</v>
      </c>
      <c r="H254" s="1521" t="s">
        <v>3010</v>
      </c>
      <c r="I254" s="1543" t="s">
        <v>3092</v>
      </c>
      <c r="J254" s="24" t="s">
        <v>529</v>
      </c>
      <c r="K254" s="1521">
        <f>G254</f>
        <v>250000</v>
      </c>
      <c r="L254" s="1521">
        <f t="shared" si="18"/>
        <v>0</v>
      </c>
      <c r="M254" s="1570"/>
    </row>
    <row r="255" spans="1:13" ht="30" customHeight="1" x14ac:dyDescent="0.2">
      <c r="A255" s="1572">
        <v>145</v>
      </c>
      <c r="B255" s="1570" t="s">
        <v>11</v>
      </c>
      <c r="C255" s="1541" t="s">
        <v>1215</v>
      </c>
      <c r="D255" s="1521">
        <v>105000000</v>
      </c>
      <c r="E255" s="1569">
        <v>0.04</v>
      </c>
      <c r="F255" s="1521">
        <f t="shared" si="17"/>
        <v>4200000</v>
      </c>
      <c r="G255" s="1521">
        <v>4200000</v>
      </c>
      <c r="H255" s="1521" t="s">
        <v>2823</v>
      </c>
      <c r="I255" s="1543" t="s">
        <v>2889</v>
      </c>
      <c r="J255" s="21" t="s">
        <v>1830</v>
      </c>
      <c r="K255" s="1521">
        <f>G255</f>
        <v>4200000</v>
      </c>
      <c r="L255" s="1521">
        <f t="shared" si="18"/>
        <v>0</v>
      </c>
      <c r="M255" s="1570"/>
    </row>
    <row r="256" spans="1:13" ht="30" customHeight="1" x14ac:dyDescent="0.2">
      <c r="A256" s="1572">
        <v>146</v>
      </c>
      <c r="B256" s="1570" t="s">
        <v>12</v>
      </c>
      <c r="C256" s="1541"/>
      <c r="D256" s="1521">
        <v>50000000</v>
      </c>
      <c r="E256" s="1569">
        <v>4.4999999999999998E-2</v>
      </c>
      <c r="F256" s="1521">
        <f t="shared" si="17"/>
        <v>2250000</v>
      </c>
      <c r="G256" s="1521"/>
      <c r="H256" s="1521"/>
      <c r="I256" s="1543"/>
      <c r="J256" s="24"/>
      <c r="K256" s="1521"/>
      <c r="L256" s="1521">
        <f t="shared" si="18"/>
        <v>2250000</v>
      </c>
      <c r="M256" s="1570"/>
    </row>
    <row r="257" spans="1:17" ht="30" customHeight="1" x14ac:dyDescent="0.2">
      <c r="A257" s="1572">
        <v>147</v>
      </c>
      <c r="B257" s="1570" t="s">
        <v>13</v>
      </c>
      <c r="C257" s="1541" t="s">
        <v>1350</v>
      </c>
      <c r="D257" s="1521">
        <v>30000000</v>
      </c>
      <c r="E257" s="1569">
        <v>0.04</v>
      </c>
      <c r="F257" s="1521">
        <f t="shared" si="17"/>
        <v>1200000</v>
      </c>
      <c r="G257" s="1521">
        <v>1200000</v>
      </c>
      <c r="H257" s="1521" t="s">
        <v>2790</v>
      </c>
      <c r="I257" s="1543" t="s">
        <v>2795</v>
      </c>
      <c r="J257" s="30" t="s">
        <v>525</v>
      </c>
      <c r="K257" s="1521">
        <f>G257</f>
        <v>1200000</v>
      </c>
      <c r="L257" s="1521">
        <f t="shared" si="18"/>
        <v>0</v>
      </c>
      <c r="M257" s="169" t="s">
        <v>526</v>
      </c>
    </row>
    <row r="258" spans="1:17" ht="30" customHeight="1" x14ac:dyDescent="0.2">
      <c r="A258" s="1514">
        <v>148</v>
      </c>
      <c r="B258" s="1567" t="s">
        <v>14</v>
      </c>
      <c r="C258" s="1571" t="s">
        <v>1590</v>
      </c>
      <c r="D258" s="1542">
        <v>55000000</v>
      </c>
      <c r="E258" s="1569">
        <v>0.05</v>
      </c>
      <c r="F258" s="1542">
        <f t="shared" si="17"/>
        <v>2750000</v>
      </c>
      <c r="G258" s="1542">
        <v>2750000</v>
      </c>
      <c r="H258" s="1542" t="s">
        <v>2036</v>
      </c>
      <c r="I258" s="1581" t="s">
        <v>2996</v>
      </c>
      <c r="J258" s="1566" t="s">
        <v>1473</v>
      </c>
      <c r="K258" s="1542">
        <f>G258</f>
        <v>2750000</v>
      </c>
      <c r="L258" s="1542">
        <f t="shared" si="18"/>
        <v>0</v>
      </c>
      <c r="M258" s="1537"/>
    </row>
    <row r="259" spans="1:17" ht="30" customHeight="1" x14ac:dyDescent="0.2">
      <c r="A259" s="1572">
        <v>149</v>
      </c>
      <c r="B259" s="1570" t="s">
        <v>15</v>
      </c>
      <c r="C259" s="1541" t="s">
        <v>1346</v>
      </c>
      <c r="D259" s="1521">
        <v>80000000</v>
      </c>
      <c r="E259" s="1518">
        <v>0.05</v>
      </c>
      <c r="F259" s="1521">
        <f t="shared" si="17"/>
        <v>4000000</v>
      </c>
      <c r="G259" s="1521">
        <v>4000000</v>
      </c>
      <c r="H259" s="1521" t="s">
        <v>3012</v>
      </c>
      <c r="I259" s="1543" t="s">
        <v>3098</v>
      </c>
      <c r="J259" s="425" t="s">
        <v>484</v>
      </c>
      <c r="K259" s="1521">
        <f t="shared" ref="K259:K264" si="20">G259</f>
        <v>4000000</v>
      </c>
      <c r="L259" s="1521">
        <f t="shared" si="18"/>
        <v>0</v>
      </c>
      <c r="M259" s="168" t="s">
        <v>364</v>
      </c>
    </row>
    <row r="260" spans="1:17" ht="30" customHeight="1" x14ac:dyDescent="0.2">
      <c r="A260" s="1572">
        <v>150</v>
      </c>
      <c r="B260" s="1570" t="s">
        <v>16</v>
      </c>
      <c r="C260" s="1541"/>
      <c r="D260" s="1531"/>
      <c r="E260" s="44"/>
      <c r="F260" s="1531">
        <f t="shared" si="17"/>
        <v>0</v>
      </c>
      <c r="G260" s="1521">
        <v>6400000</v>
      </c>
      <c r="H260" s="1521" t="s">
        <v>3100</v>
      </c>
      <c r="I260" s="1543" t="s">
        <v>3120</v>
      </c>
      <c r="J260" s="24" t="s">
        <v>3121</v>
      </c>
      <c r="K260" s="1521">
        <f t="shared" si="20"/>
        <v>6400000</v>
      </c>
      <c r="L260" s="1531">
        <f t="shared" si="18"/>
        <v>-6400000</v>
      </c>
      <c r="M260" s="1526" t="s">
        <v>3122</v>
      </c>
    </row>
    <row r="261" spans="1:17" ht="30" customHeight="1" x14ac:dyDescent="0.2">
      <c r="A261" s="1572">
        <v>151</v>
      </c>
      <c r="B261" s="1570" t="s">
        <v>17</v>
      </c>
      <c r="C261" s="1541" t="s">
        <v>1138</v>
      </c>
      <c r="D261" s="1521">
        <v>180000000</v>
      </c>
      <c r="E261" s="1569">
        <v>0.05</v>
      </c>
      <c r="F261" s="1521">
        <f t="shared" si="17"/>
        <v>9000000</v>
      </c>
      <c r="G261" s="1521">
        <v>9000000</v>
      </c>
      <c r="H261" s="1521" t="s">
        <v>3218</v>
      </c>
      <c r="I261" s="1562" t="s">
        <v>3221</v>
      </c>
      <c r="J261" s="24" t="s">
        <v>2275</v>
      </c>
      <c r="K261" s="1521">
        <f t="shared" si="20"/>
        <v>9000000</v>
      </c>
      <c r="L261" s="1521">
        <f t="shared" si="18"/>
        <v>0</v>
      </c>
      <c r="M261" s="1570"/>
    </row>
    <row r="262" spans="1:17" ht="30" customHeight="1" x14ac:dyDescent="0.2">
      <c r="A262" s="1572">
        <v>152</v>
      </c>
      <c r="B262" s="1570" t="s">
        <v>1146</v>
      </c>
      <c r="C262" s="1541" t="s">
        <v>3142</v>
      </c>
      <c r="D262" s="1521">
        <v>35000000</v>
      </c>
      <c r="E262" s="1569">
        <v>4.7E-2</v>
      </c>
      <c r="F262" s="1521">
        <v>1650000</v>
      </c>
      <c r="G262" s="1521">
        <v>1650000</v>
      </c>
      <c r="H262" s="1521" t="s">
        <v>3324</v>
      </c>
      <c r="I262" s="1543" t="s">
        <v>3326</v>
      </c>
      <c r="J262" s="24" t="s">
        <v>1148</v>
      </c>
      <c r="K262" s="1521">
        <f t="shared" si="20"/>
        <v>1650000</v>
      </c>
      <c r="L262" s="1521">
        <f t="shared" si="18"/>
        <v>0</v>
      </c>
      <c r="M262" s="1570"/>
    </row>
    <row r="263" spans="1:17" ht="30" customHeight="1" x14ac:dyDescent="0.2">
      <c r="A263" s="1572">
        <v>153</v>
      </c>
      <c r="B263" s="1570" t="s">
        <v>18</v>
      </c>
      <c r="C263" s="1541"/>
      <c r="D263" s="1521">
        <v>30000000</v>
      </c>
      <c r="E263" s="1569">
        <v>0.04</v>
      </c>
      <c r="F263" s="1521">
        <f t="shared" si="17"/>
        <v>1200000</v>
      </c>
      <c r="G263" s="1521">
        <v>1200000</v>
      </c>
      <c r="H263" s="1521" t="s">
        <v>3218</v>
      </c>
      <c r="I263" s="1543" t="s">
        <v>3234</v>
      </c>
      <c r="J263" s="24" t="s">
        <v>1181</v>
      </c>
      <c r="K263" s="1521">
        <f t="shared" si="20"/>
        <v>1200000</v>
      </c>
      <c r="L263" s="1521">
        <f t="shared" si="18"/>
        <v>0</v>
      </c>
      <c r="M263" s="1570"/>
    </row>
    <row r="264" spans="1:17" ht="30" customHeight="1" x14ac:dyDescent="0.2">
      <c r="A264" s="1572">
        <v>154</v>
      </c>
      <c r="B264" s="1570" t="s">
        <v>19</v>
      </c>
      <c r="C264" s="1541" t="s">
        <v>1909</v>
      </c>
      <c r="D264" s="1521">
        <v>15000000</v>
      </c>
      <c r="E264" s="1569">
        <v>7.0000000000000007E-2</v>
      </c>
      <c r="F264" s="1521">
        <f t="shared" si="17"/>
        <v>1050000</v>
      </c>
      <c r="G264" s="1521">
        <v>1050000</v>
      </c>
      <c r="H264" s="1521" t="s">
        <v>3362</v>
      </c>
      <c r="I264" s="1543" t="s">
        <v>3383</v>
      </c>
      <c r="J264" s="24" t="s">
        <v>1330</v>
      </c>
      <c r="K264" s="1521">
        <f t="shared" si="20"/>
        <v>1050000</v>
      </c>
      <c r="L264" s="1521">
        <f t="shared" si="18"/>
        <v>0</v>
      </c>
      <c r="M264" s="1570"/>
    </row>
    <row r="265" spans="1:17" ht="30" customHeight="1" x14ac:dyDescent="0.2">
      <c r="A265" s="1572">
        <v>155</v>
      </c>
      <c r="B265" s="1570" t="s">
        <v>20</v>
      </c>
      <c r="C265" s="1541"/>
      <c r="D265" s="1531"/>
      <c r="E265" s="44"/>
      <c r="F265" s="1531">
        <f t="shared" si="17"/>
        <v>0</v>
      </c>
      <c r="G265" s="1521"/>
      <c r="H265" s="1521"/>
      <c r="I265" s="1562"/>
      <c r="J265" s="24"/>
      <c r="K265" s="1521"/>
      <c r="L265" s="1531">
        <f t="shared" si="18"/>
        <v>0</v>
      </c>
      <c r="M265" s="1570"/>
    </row>
    <row r="266" spans="1:17" ht="30" customHeight="1" x14ac:dyDescent="0.2">
      <c r="A266" s="1514">
        <v>156</v>
      </c>
      <c r="B266" s="1567" t="s">
        <v>21</v>
      </c>
      <c r="C266" s="421"/>
      <c r="D266" s="1542">
        <v>50000000</v>
      </c>
      <c r="E266" s="1569">
        <v>0.04</v>
      </c>
      <c r="F266" s="1542">
        <f t="shared" si="17"/>
        <v>2000000</v>
      </c>
      <c r="G266" s="1521">
        <v>2000000</v>
      </c>
      <c r="H266" s="1521" t="s">
        <v>3010</v>
      </c>
      <c r="I266" s="1543" t="s">
        <v>3089</v>
      </c>
      <c r="J266" s="21" t="s">
        <v>472</v>
      </c>
      <c r="K266" s="1542">
        <f>G266</f>
        <v>2000000</v>
      </c>
      <c r="L266" s="1542">
        <f>F266-500000</f>
        <v>1500000</v>
      </c>
      <c r="M266" s="1526" t="s">
        <v>3090</v>
      </c>
    </row>
    <row r="267" spans="1:17" ht="30" customHeight="1" x14ac:dyDescent="0.2">
      <c r="A267" s="1572">
        <v>157</v>
      </c>
      <c r="B267" s="1570" t="s">
        <v>22</v>
      </c>
      <c r="C267" s="1541" t="s">
        <v>1349</v>
      </c>
      <c r="D267" s="1521">
        <v>20000000</v>
      </c>
      <c r="E267" s="1518">
        <v>0.05</v>
      </c>
      <c r="F267" s="1521">
        <f t="shared" si="17"/>
        <v>1000000</v>
      </c>
      <c r="G267" s="1521">
        <v>1000000</v>
      </c>
      <c r="H267" s="1521" t="s">
        <v>3139</v>
      </c>
      <c r="I267" s="1543" t="s">
        <v>3188</v>
      </c>
      <c r="J267" s="24" t="s">
        <v>709</v>
      </c>
      <c r="K267" s="1521">
        <f>G267</f>
        <v>1000000</v>
      </c>
      <c r="L267" s="1521">
        <f t="shared" si="18"/>
        <v>0</v>
      </c>
      <c r="M267" s="1570"/>
    </row>
    <row r="268" spans="1:17" ht="30" customHeight="1" x14ac:dyDescent="0.2">
      <c r="A268" s="3456"/>
      <c r="B268" s="3457" t="s">
        <v>848</v>
      </c>
      <c r="C268" s="1541" t="s">
        <v>1378</v>
      </c>
      <c r="D268" s="1521">
        <v>160000000</v>
      </c>
      <c r="E268" s="1569">
        <v>0.05</v>
      </c>
      <c r="F268" s="1521">
        <f>D268*E268</f>
        <v>8000000</v>
      </c>
      <c r="G268" s="3442">
        <v>9200000</v>
      </c>
      <c r="H268" s="3442" t="s">
        <v>3262</v>
      </c>
      <c r="I268" s="3577" t="s">
        <v>3263</v>
      </c>
      <c r="J268" s="3442" t="s">
        <v>3264</v>
      </c>
      <c r="K268" s="3442">
        <f>G268</f>
        <v>9200000</v>
      </c>
      <c r="L268" s="3442">
        <f>(F268+F269)-K268</f>
        <v>0</v>
      </c>
      <c r="M268" s="3701" t="s">
        <v>2331</v>
      </c>
      <c r="N268" s="3701"/>
      <c r="O268" s="3701"/>
      <c r="P268" s="3701"/>
      <c r="Q268" s="3701"/>
    </row>
    <row r="269" spans="1:17" ht="30" customHeight="1" x14ac:dyDescent="0.2">
      <c r="A269" s="3451"/>
      <c r="B269" s="3458"/>
      <c r="C269" s="1541" t="s">
        <v>1378</v>
      </c>
      <c r="D269" s="1521">
        <v>22000000</v>
      </c>
      <c r="E269" s="1569">
        <v>5.5E-2</v>
      </c>
      <c r="F269" s="1521">
        <v>1200000</v>
      </c>
      <c r="G269" s="3443"/>
      <c r="H269" s="3443"/>
      <c r="I269" s="3578"/>
      <c r="J269" s="3443"/>
      <c r="K269" s="3443"/>
      <c r="L269" s="3443"/>
      <c r="M269" s="1570"/>
    </row>
    <row r="270" spans="1:17" ht="30" customHeight="1" x14ac:dyDescent="0.2">
      <c r="A270" s="1572">
        <v>159</v>
      </c>
      <c r="B270" s="1570" t="s">
        <v>23</v>
      </c>
      <c r="C270" s="1541" t="s">
        <v>1355</v>
      </c>
      <c r="D270" s="1521">
        <v>25000000</v>
      </c>
      <c r="E270" s="1569">
        <v>0.05</v>
      </c>
      <c r="F270" s="1521">
        <f t="shared" si="17"/>
        <v>1250000</v>
      </c>
      <c r="G270" s="1521">
        <v>1250000</v>
      </c>
      <c r="H270" s="1521" t="s">
        <v>3139</v>
      </c>
      <c r="I270" s="1543" t="s">
        <v>3189</v>
      </c>
      <c r="J270" s="24" t="s">
        <v>2318</v>
      </c>
      <c r="K270" s="1521">
        <f>G270</f>
        <v>1250000</v>
      </c>
      <c r="L270" s="1521">
        <f t="shared" si="18"/>
        <v>0</v>
      </c>
      <c r="M270" s="1570"/>
    </row>
    <row r="271" spans="1:17" ht="30" customHeight="1" x14ac:dyDescent="0.2">
      <c r="A271" s="1572">
        <v>160</v>
      </c>
      <c r="B271" s="1570" t="s">
        <v>24</v>
      </c>
      <c r="C271" s="1541"/>
      <c r="D271" s="1521">
        <v>55000000</v>
      </c>
      <c r="E271" s="1569">
        <v>0.05</v>
      </c>
      <c r="F271" s="1521">
        <f t="shared" si="17"/>
        <v>2750000</v>
      </c>
      <c r="G271" s="1521"/>
      <c r="H271" s="1521"/>
      <c r="I271" s="1543"/>
      <c r="J271" s="24" t="s">
        <v>2288</v>
      </c>
      <c r="K271" s="1521">
        <f>G271</f>
        <v>0</v>
      </c>
      <c r="L271" s="1521">
        <f t="shared" si="18"/>
        <v>2750000</v>
      </c>
      <c r="M271" s="1570"/>
    </row>
    <row r="272" spans="1:17" ht="30" customHeight="1" x14ac:dyDescent="0.2">
      <c r="A272" s="1572">
        <v>161</v>
      </c>
      <c r="B272" s="1570" t="s">
        <v>25</v>
      </c>
      <c r="C272" s="1541" t="s">
        <v>1378</v>
      </c>
      <c r="D272" s="1521">
        <v>20000000</v>
      </c>
      <c r="E272" s="1569">
        <v>4.4999999999999998E-2</v>
      </c>
      <c r="F272" s="1521">
        <f t="shared" si="17"/>
        <v>900000</v>
      </c>
      <c r="G272" s="1521">
        <v>900000</v>
      </c>
      <c r="H272" s="1521" t="s">
        <v>3262</v>
      </c>
      <c r="I272" s="1543" t="s">
        <v>3289</v>
      </c>
      <c r="J272" s="24" t="s">
        <v>742</v>
      </c>
      <c r="K272" s="1521">
        <f>G272</f>
        <v>900000</v>
      </c>
      <c r="L272" s="1521">
        <f t="shared" si="18"/>
        <v>0</v>
      </c>
      <c r="M272" s="1570"/>
    </row>
    <row r="273" spans="1:17" ht="30" customHeight="1" x14ac:dyDescent="0.2">
      <c r="A273" s="1572">
        <v>162</v>
      </c>
      <c r="B273" s="1570" t="s">
        <v>26</v>
      </c>
      <c r="C273" s="1541" t="s">
        <v>1378</v>
      </c>
      <c r="D273" s="1521">
        <v>180000000</v>
      </c>
      <c r="E273" s="1569">
        <v>0.05</v>
      </c>
      <c r="F273" s="1521">
        <f t="shared" si="17"/>
        <v>9000000</v>
      </c>
      <c r="G273" s="1521">
        <v>9000000</v>
      </c>
      <c r="H273" s="1521" t="s">
        <v>3262</v>
      </c>
      <c r="I273" s="1543" t="s">
        <v>3266</v>
      </c>
      <c r="J273" s="24" t="s">
        <v>3267</v>
      </c>
      <c r="K273" s="1521">
        <f>G273</f>
        <v>9000000</v>
      </c>
      <c r="L273" s="1521">
        <f t="shared" si="18"/>
        <v>0</v>
      </c>
      <c r="M273" s="1570"/>
    </row>
    <row r="274" spans="1:17" ht="30" customHeight="1" x14ac:dyDescent="0.2">
      <c r="A274" s="1572">
        <v>163</v>
      </c>
      <c r="B274" s="1570" t="s">
        <v>854</v>
      </c>
      <c r="C274" s="1541"/>
      <c r="D274" s="1521">
        <v>200000000</v>
      </c>
      <c r="E274" s="1569">
        <v>0.05</v>
      </c>
      <c r="F274" s="1521">
        <f t="shared" si="17"/>
        <v>10000000</v>
      </c>
      <c r="G274" s="1521">
        <v>10000000</v>
      </c>
      <c r="H274" s="1521" t="s">
        <v>3262</v>
      </c>
      <c r="I274" s="1543" t="s">
        <v>3268</v>
      </c>
      <c r="J274" s="24" t="s">
        <v>3269</v>
      </c>
      <c r="K274" s="1521">
        <f>F274</f>
        <v>10000000</v>
      </c>
      <c r="L274" s="1521">
        <f t="shared" si="18"/>
        <v>0</v>
      </c>
      <c r="M274" s="1570"/>
    </row>
    <row r="275" spans="1:17" ht="30" customHeight="1" x14ac:dyDescent="0.2">
      <c r="A275" s="1572">
        <v>164</v>
      </c>
      <c r="B275" s="1570" t="s">
        <v>27</v>
      </c>
      <c r="C275" s="1541"/>
      <c r="D275" s="1521">
        <v>50000000</v>
      </c>
      <c r="E275" s="1569">
        <v>0.05</v>
      </c>
      <c r="F275" s="1521">
        <f t="shared" si="17"/>
        <v>2500000</v>
      </c>
      <c r="G275" s="1521">
        <v>2500000</v>
      </c>
      <c r="H275" s="1521" t="s">
        <v>3218</v>
      </c>
      <c r="I275" s="1543" t="s">
        <v>3226</v>
      </c>
      <c r="J275" s="24" t="s">
        <v>2325</v>
      </c>
      <c r="K275" s="1521">
        <f t="shared" ref="K275:K280" si="21">G275</f>
        <v>2500000</v>
      </c>
      <c r="L275" s="1521">
        <f t="shared" si="18"/>
        <v>0</v>
      </c>
      <c r="M275" s="1570"/>
    </row>
    <row r="276" spans="1:17" ht="30" customHeight="1" x14ac:dyDescent="0.2">
      <c r="A276" s="1572">
        <v>165</v>
      </c>
      <c r="B276" s="1570" t="s">
        <v>28</v>
      </c>
      <c r="C276" s="1541" t="s">
        <v>700</v>
      </c>
      <c r="D276" s="1521">
        <v>20000000</v>
      </c>
      <c r="E276" s="1569">
        <v>0.04</v>
      </c>
      <c r="F276" s="1521">
        <f t="shared" si="17"/>
        <v>800000</v>
      </c>
      <c r="G276" s="1521">
        <v>800000</v>
      </c>
      <c r="H276" s="1521" t="s">
        <v>3218</v>
      </c>
      <c r="I276" s="1543" t="s">
        <v>3222</v>
      </c>
      <c r="J276" s="24" t="s">
        <v>764</v>
      </c>
      <c r="K276" s="1521">
        <f t="shared" si="21"/>
        <v>800000</v>
      </c>
      <c r="L276" s="1521">
        <f t="shared" si="18"/>
        <v>0</v>
      </c>
      <c r="M276" s="1570"/>
    </row>
    <row r="277" spans="1:17" ht="30" customHeight="1" x14ac:dyDescent="0.2">
      <c r="A277" s="1572">
        <v>166</v>
      </c>
      <c r="B277" s="1570" t="s">
        <v>29</v>
      </c>
      <c r="C277" s="1541" t="s">
        <v>564</v>
      </c>
      <c r="D277" s="1521">
        <v>100000000</v>
      </c>
      <c r="E277" s="1569">
        <v>0.05</v>
      </c>
      <c r="F277" s="1521">
        <f t="shared" si="17"/>
        <v>5000000</v>
      </c>
      <c r="G277" s="1521">
        <v>5000000</v>
      </c>
      <c r="H277" s="1521" t="s">
        <v>3032</v>
      </c>
      <c r="I277" s="1543" t="s">
        <v>3148</v>
      </c>
      <c r="J277" s="30" t="s">
        <v>566</v>
      </c>
      <c r="K277" s="1521">
        <f t="shared" si="21"/>
        <v>5000000</v>
      </c>
      <c r="L277" s="1521">
        <f t="shared" si="18"/>
        <v>0</v>
      </c>
      <c r="M277" s="1570"/>
    </row>
    <row r="278" spans="1:17" ht="30" customHeight="1" x14ac:dyDescent="0.2">
      <c r="A278" s="1572">
        <v>167</v>
      </c>
      <c r="B278" s="1570" t="s">
        <v>758</v>
      </c>
      <c r="C278" s="1541" t="s">
        <v>1378</v>
      </c>
      <c r="D278" s="1521">
        <v>50000000</v>
      </c>
      <c r="E278" s="1569">
        <v>0.05</v>
      </c>
      <c r="F278" s="1521">
        <f t="shared" si="17"/>
        <v>2500000</v>
      </c>
      <c r="G278" s="1521">
        <v>2500000</v>
      </c>
      <c r="H278" s="1521" t="s">
        <v>3139</v>
      </c>
      <c r="I278" s="1543" t="s">
        <v>3190</v>
      </c>
      <c r="J278" s="24" t="s">
        <v>760</v>
      </c>
      <c r="K278" s="1521">
        <f t="shared" si="21"/>
        <v>2500000</v>
      </c>
      <c r="L278" s="1521">
        <f t="shared" si="18"/>
        <v>0</v>
      </c>
      <c r="M278" s="1570"/>
    </row>
    <row r="279" spans="1:17" ht="30" customHeight="1" x14ac:dyDescent="0.2">
      <c r="A279" s="1572">
        <v>168</v>
      </c>
      <c r="B279" s="1570" t="s">
        <v>844</v>
      </c>
      <c r="C279" s="1541"/>
      <c r="D279" s="1521">
        <v>50000000</v>
      </c>
      <c r="E279" s="1569">
        <v>7.0000000000000007E-2</v>
      </c>
      <c r="F279" s="1521">
        <f t="shared" si="17"/>
        <v>3500000.0000000005</v>
      </c>
      <c r="G279" s="1521">
        <v>3500000</v>
      </c>
      <c r="H279" s="1521" t="s">
        <v>3218</v>
      </c>
      <c r="I279" s="1543" t="s">
        <v>3219</v>
      </c>
      <c r="J279" s="24" t="s">
        <v>3220</v>
      </c>
      <c r="K279" s="1521">
        <f t="shared" si="21"/>
        <v>3500000</v>
      </c>
      <c r="L279" s="1521">
        <f t="shared" si="18"/>
        <v>0</v>
      </c>
      <c r="M279" s="1570"/>
    </row>
    <row r="280" spans="1:17" ht="30" customHeight="1" x14ac:dyDescent="0.2">
      <c r="A280" s="3450">
        <v>169</v>
      </c>
      <c r="B280" s="3525" t="s">
        <v>30</v>
      </c>
      <c r="C280" s="3570"/>
      <c r="D280" s="1521">
        <v>18000000</v>
      </c>
      <c r="E280" s="1569">
        <v>4.4999999999999998E-2</v>
      </c>
      <c r="F280" s="1521">
        <f t="shared" si="17"/>
        <v>810000</v>
      </c>
      <c r="G280" s="3442">
        <v>1000000</v>
      </c>
      <c r="H280" s="3442" t="s">
        <v>3218</v>
      </c>
      <c r="I280" s="3577" t="s">
        <v>3224</v>
      </c>
      <c r="J280" s="3442" t="s">
        <v>3225</v>
      </c>
      <c r="K280" s="3442">
        <f t="shared" si="21"/>
        <v>1000000</v>
      </c>
      <c r="L280" s="3442">
        <f>F282-K280</f>
        <v>0</v>
      </c>
      <c r="M280" s="1579"/>
    </row>
    <row r="281" spans="1:17" ht="30" customHeight="1" x14ac:dyDescent="0.2">
      <c r="A281" s="3456"/>
      <c r="B281" s="3643"/>
      <c r="C281" s="3576"/>
      <c r="D281" s="1521">
        <v>2000000</v>
      </c>
      <c r="E281" s="1569">
        <v>4.4999999999999998E-2</v>
      </c>
      <c r="F281" s="1521">
        <f>D281*E281</f>
        <v>90000</v>
      </c>
      <c r="G281" s="3461"/>
      <c r="H281" s="3461"/>
      <c r="I281" s="3588"/>
      <c r="J281" s="3461"/>
      <c r="K281" s="3461"/>
      <c r="L281" s="3461"/>
      <c r="M281" s="3478"/>
      <c r="N281" s="3479"/>
      <c r="O281" s="3479"/>
      <c r="P281" s="3479"/>
      <c r="Q281" s="3480"/>
    </row>
    <row r="282" spans="1:17" ht="30" customHeight="1" x14ac:dyDescent="0.2">
      <c r="A282" s="3451"/>
      <c r="B282" s="3526"/>
      <c r="C282" s="3571"/>
      <c r="D282" s="1553">
        <v>20000000</v>
      </c>
      <c r="E282" s="1351">
        <v>0.05</v>
      </c>
      <c r="F282" s="1553">
        <f>D282*E282</f>
        <v>1000000</v>
      </c>
      <c r="G282" s="3443"/>
      <c r="H282" s="3443"/>
      <c r="I282" s="3578"/>
      <c r="J282" s="3443"/>
      <c r="K282" s="3443"/>
      <c r="L282" s="3443"/>
      <c r="M282" s="3615" t="s">
        <v>2333</v>
      </c>
      <c r="N282" s="3616"/>
      <c r="O282" s="3616"/>
      <c r="P282" s="3616"/>
      <c r="Q282" s="3617"/>
    </row>
    <row r="283" spans="1:17" ht="30" customHeight="1" x14ac:dyDescent="0.2">
      <c r="A283" s="1572">
        <v>170</v>
      </c>
      <c r="B283" s="1570" t="s">
        <v>31</v>
      </c>
      <c r="C283" s="1541" t="s">
        <v>1138</v>
      </c>
      <c r="D283" s="1521">
        <v>70000000</v>
      </c>
      <c r="E283" s="1569">
        <v>0.05</v>
      </c>
      <c r="F283" s="1521">
        <f t="shared" si="17"/>
        <v>3500000</v>
      </c>
      <c r="G283" s="1521">
        <v>3500000</v>
      </c>
      <c r="H283" s="1521" t="s">
        <v>3262</v>
      </c>
      <c r="I283" s="1543" t="s">
        <v>3286</v>
      </c>
      <c r="J283" s="24" t="s">
        <v>1158</v>
      </c>
      <c r="K283" s="1521">
        <f>G283</f>
        <v>3500000</v>
      </c>
      <c r="L283" s="1521">
        <f t="shared" si="18"/>
        <v>0</v>
      </c>
      <c r="M283" s="1570"/>
    </row>
    <row r="284" spans="1:17" ht="30" customHeight="1" x14ac:dyDescent="0.2">
      <c r="A284" s="1572">
        <v>171</v>
      </c>
      <c r="B284" s="1570" t="s">
        <v>32</v>
      </c>
      <c r="C284" s="1541" t="s">
        <v>1348</v>
      </c>
      <c r="D284" s="1531"/>
      <c r="E284" s="44"/>
      <c r="F284" s="1521">
        <v>400000</v>
      </c>
      <c r="G284" s="1521">
        <v>400000</v>
      </c>
      <c r="H284" s="1521" t="s">
        <v>3051</v>
      </c>
      <c r="I284" s="1543" t="s">
        <v>3070</v>
      </c>
      <c r="J284" s="24" t="s">
        <v>686</v>
      </c>
      <c r="K284" s="1521">
        <f>G284</f>
        <v>400000</v>
      </c>
      <c r="L284" s="1521">
        <f t="shared" si="18"/>
        <v>0</v>
      </c>
      <c r="M284" s="103"/>
    </row>
    <row r="285" spans="1:17" ht="30" customHeight="1" x14ac:dyDescent="0.2">
      <c r="A285" s="3450">
        <v>172</v>
      </c>
      <c r="B285" s="3457" t="s">
        <v>33</v>
      </c>
      <c r="C285" s="3686"/>
      <c r="D285" s="1521">
        <v>5000000</v>
      </c>
      <c r="E285" s="1569">
        <v>0.06</v>
      </c>
      <c r="F285" s="1521">
        <f t="shared" si="17"/>
        <v>300000</v>
      </c>
      <c r="G285" s="1521">
        <v>300000</v>
      </c>
      <c r="H285" s="1521" t="s">
        <v>3362</v>
      </c>
      <c r="I285" s="1543" t="s">
        <v>3396</v>
      </c>
      <c r="J285" s="24" t="s">
        <v>648</v>
      </c>
      <c r="K285" s="1521">
        <f>G285</f>
        <v>300000</v>
      </c>
      <c r="L285" s="1521">
        <f t="shared" si="18"/>
        <v>0</v>
      </c>
      <c r="M285" s="1570"/>
    </row>
    <row r="286" spans="1:17" ht="30" customHeight="1" x14ac:dyDescent="0.2">
      <c r="A286" s="3451"/>
      <c r="B286" s="3458"/>
      <c r="C286" s="3686"/>
      <c r="D286" s="1531"/>
      <c r="E286" s="44"/>
      <c r="F286" s="1531"/>
      <c r="G286" s="3615" t="s">
        <v>3393</v>
      </c>
      <c r="H286" s="3616"/>
      <c r="I286" s="3616"/>
      <c r="J286" s="3616"/>
      <c r="K286" s="3617"/>
      <c r="L286" s="1531"/>
      <c r="M286" s="1570"/>
    </row>
    <row r="287" spans="1:17" ht="30" customHeight="1" x14ac:dyDescent="0.2">
      <c r="A287" s="1572">
        <v>173</v>
      </c>
      <c r="B287" s="1570" t="s">
        <v>34</v>
      </c>
      <c r="C287" s="1541"/>
      <c r="D287" s="1521">
        <v>40000000</v>
      </c>
      <c r="E287" s="1569">
        <v>0.05</v>
      </c>
      <c r="F287" s="1521">
        <f t="shared" si="17"/>
        <v>2000000</v>
      </c>
      <c r="G287" s="1521">
        <v>2000000</v>
      </c>
      <c r="H287" s="1521" t="s">
        <v>3218</v>
      </c>
      <c r="I287" s="1543" t="s">
        <v>3223</v>
      </c>
      <c r="J287" s="24" t="s">
        <v>864</v>
      </c>
      <c r="K287" s="1521">
        <f>G287</f>
        <v>2000000</v>
      </c>
      <c r="L287" s="1521">
        <f t="shared" si="18"/>
        <v>0</v>
      </c>
      <c r="M287" s="1570"/>
    </row>
    <row r="288" spans="1:17" ht="30" customHeight="1" x14ac:dyDescent="0.2">
      <c r="A288" s="3450">
        <v>174</v>
      </c>
      <c r="B288" s="3457" t="s">
        <v>35</v>
      </c>
      <c r="C288" s="3570" t="s">
        <v>1342</v>
      </c>
      <c r="D288" s="3442">
        <v>4545000000</v>
      </c>
      <c r="E288" s="3444">
        <v>7.0000000000000007E-2</v>
      </c>
      <c r="F288" s="3442">
        <v>318000000</v>
      </c>
      <c r="G288" s="1521">
        <v>5000000</v>
      </c>
      <c r="H288" s="1521" t="s">
        <v>2666</v>
      </c>
      <c r="I288" s="1543" t="s">
        <v>2680</v>
      </c>
      <c r="J288" s="24" t="s">
        <v>2681</v>
      </c>
      <c r="K288" s="3442">
        <f>G288+G289</f>
        <v>30000000</v>
      </c>
      <c r="L288" s="3442">
        <f>F288-K288</f>
        <v>288000000</v>
      </c>
      <c r="M288" s="1511"/>
    </row>
    <row r="289" spans="1:13" ht="30" customHeight="1" x14ac:dyDescent="0.2">
      <c r="A289" s="3456"/>
      <c r="B289" s="3459"/>
      <c r="C289" s="3576"/>
      <c r="D289" s="3461"/>
      <c r="E289" s="3474"/>
      <c r="F289" s="3461"/>
      <c r="G289" s="1521">
        <v>25000000</v>
      </c>
      <c r="H289" s="1521" t="s">
        <v>2937</v>
      </c>
      <c r="I289" s="1543" t="s">
        <v>2938</v>
      </c>
      <c r="J289" s="24" t="s">
        <v>2939</v>
      </c>
      <c r="K289" s="3443"/>
      <c r="L289" s="3461"/>
      <c r="M289" s="1512" t="s">
        <v>3023</v>
      </c>
    </row>
    <row r="290" spans="1:13" ht="30" customHeight="1" x14ac:dyDescent="0.2">
      <c r="A290" s="3456"/>
      <c r="B290" s="3459"/>
      <c r="C290" s="3576"/>
      <c r="D290" s="3443"/>
      <c r="E290" s="3445"/>
      <c r="F290" s="3443"/>
      <c r="G290" s="3615" t="s">
        <v>2940</v>
      </c>
      <c r="H290" s="3616"/>
      <c r="I290" s="3616"/>
      <c r="J290" s="3616"/>
      <c r="K290" s="3617"/>
      <c r="L290" s="3443"/>
      <c r="M290" s="1513" t="s">
        <v>2454</v>
      </c>
    </row>
    <row r="291" spans="1:13" ht="30" customHeight="1" x14ac:dyDescent="0.2">
      <c r="A291" s="3456"/>
      <c r="B291" s="3459"/>
      <c r="C291" s="3576"/>
      <c r="D291" s="1521"/>
      <c r="E291" s="1518"/>
      <c r="F291" s="1521"/>
      <c r="G291" s="3615" t="s">
        <v>3020</v>
      </c>
      <c r="H291" s="3616"/>
      <c r="I291" s="3616"/>
      <c r="J291" s="3616"/>
      <c r="K291" s="3617"/>
      <c r="L291" s="1521"/>
      <c r="M291" s="1513" t="s">
        <v>3021</v>
      </c>
    </row>
    <row r="292" spans="1:13" ht="30" customHeight="1" x14ac:dyDescent="0.2">
      <c r="A292" s="3456"/>
      <c r="B292" s="3459"/>
      <c r="C292" s="3576"/>
      <c r="D292" s="1521"/>
      <c r="E292" s="1518"/>
      <c r="F292" s="1521"/>
      <c r="G292" s="3615" t="s">
        <v>4412</v>
      </c>
      <c r="H292" s="3616"/>
      <c r="I292" s="3616"/>
      <c r="J292" s="3616"/>
      <c r="K292" s="3617"/>
      <c r="L292" s="1521"/>
      <c r="M292" s="1513"/>
    </row>
    <row r="293" spans="1:13" ht="30" customHeight="1" x14ac:dyDescent="0.2">
      <c r="A293" s="3451"/>
      <c r="B293" s="3458"/>
      <c r="C293" s="3571"/>
      <c r="D293" s="1521">
        <v>5000000000</v>
      </c>
      <c r="E293" s="1518">
        <v>0.08</v>
      </c>
      <c r="F293" s="1521">
        <f>D293*E293</f>
        <v>400000000</v>
      </c>
      <c r="G293" s="3615" t="s">
        <v>3022</v>
      </c>
      <c r="H293" s="3616"/>
      <c r="I293" s="3616"/>
      <c r="J293" s="3616"/>
      <c r="K293" s="3617"/>
      <c r="L293" s="1521"/>
      <c r="M293" s="1513"/>
    </row>
    <row r="294" spans="1:13" ht="30" customHeight="1" x14ac:dyDescent="0.2">
      <c r="A294" s="1572">
        <v>175</v>
      </c>
      <c r="B294" s="1570" t="s">
        <v>37</v>
      </c>
      <c r="C294" s="1541"/>
      <c r="D294" s="1521">
        <v>200000000</v>
      </c>
      <c r="E294" s="1518">
        <v>0.05</v>
      </c>
      <c r="F294" s="1521">
        <f t="shared" si="17"/>
        <v>10000000</v>
      </c>
      <c r="G294" s="1521">
        <v>10000000</v>
      </c>
      <c r="H294" s="1521" t="s">
        <v>3279</v>
      </c>
      <c r="I294" s="1549" t="s">
        <v>3316</v>
      </c>
      <c r="J294" s="24" t="s">
        <v>2347</v>
      </c>
      <c r="K294" s="1521">
        <f t="shared" ref="K294:K297" si="22">G294</f>
        <v>10000000</v>
      </c>
      <c r="L294" s="1521">
        <f t="shared" si="18"/>
        <v>0</v>
      </c>
      <c r="M294" s="1570"/>
    </row>
    <row r="295" spans="1:13" ht="30" customHeight="1" x14ac:dyDescent="0.2">
      <c r="A295" s="1572">
        <v>176</v>
      </c>
      <c r="B295" s="1570" t="s">
        <v>38</v>
      </c>
      <c r="C295" s="1541" t="s">
        <v>1138</v>
      </c>
      <c r="D295" s="1521">
        <v>150000000</v>
      </c>
      <c r="E295" s="1569">
        <v>7.0000000000000007E-2</v>
      </c>
      <c r="F295" s="1521">
        <f t="shared" si="17"/>
        <v>10500000.000000002</v>
      </c>
      <c r="G295" s="1521">
        <v>10500000</v>
      </c>
      <c r="H295" s="1521" t="s">
        <v>3324</v>
      </c>
      <c r="I295" s="1549" t="s">
        <v>3357</v>
      </c>
      <c r="J295" s="24" t="s">
        <v>3358</v>
      </c>
      <c r="K295" s="1521">
        <f t="shared" si="22"/>
        <v>10500000</v>
      </c>
      <c r="L295" s="1521">
        <f t="shared" si="18"/>
        <v>0</v>
      </c>
      <c r="M295" s="1570"/>
    </row>
    <row r="296" spans="1:13" ht="30" customHeight="1" x14ac:dyDescent="0.2">
      <c r="A296" s="1572">
        <v>177</v>
      </c>
      <c r="B296" s="1570" t="s">
        <v>39</v>
      </c>
      <c r="C296" s="1541" t="s">
        <v>1354</v>
      </c>
      <c r="D296" s="1521">
        <v>25000000</v>
      </c>
      <c r="E296" s="1569">
        <v>0.04</v>
      </c>
      <c r="F296" s="1521">
        <f t="shared" si="17"/>
        <v>1000000</v>
      </c>
      <c r="G296" s="1521">
        <v>1000000</v>
      </c>
      <c r="H296" s="1521" t="s">
        <v>3139</v>
      </c>
      <c r="I296" s="1543" t="s">
        <v>3193</v>
      </c>
      <c r="J296" s="21" t="s">
        <v>2301</v>
      </c>
      <c r="K296" s="1521">
        <f t="shared" si="22"/>
        <v>1000000</v>
      </c>
      <c r="L296" s="1521">
        <f t="shared" si="18"/>
        <v>0</v>
      </c>
      <c r="M296" s="1570"/>
    </row>
    <row r="297" spans="1:13" ht="30" customHeight="1" x14ac:dyDescent="0.2">
      <c r="A297" s="1572">
        <v>178</v>
      </c>
      <c r="B297" s="1570" t="s">
        <v>40</v>
      </c>
      <c r="C297" s="1541"/>
      <c r="D297" s="1521">
        <v>90000000</v>
      </c>
      <c r="E297" s="1569">
        <v>4.4999999999999998E-2</v>
      </c>
      <c r="F297" s="1521">
        <v>4000000</v>
      </c>
      <c r="G297" s="1521">
        <v>4000000</v>
      </c>
      <c r="H297" s="1521" t="s">
        <v>3137</v>
      </c>
      <c r="I297" s="1543" t="s">
        <v>3171</v>
      </c>
      <c r="J297" s="24" t="s">
        <v>2290</v>
      </c>
      <c r="K297" s="1521">
        <f t="shared" si="22"/>
        <v>4000000</v>
      </c>
      <c r="L297" s="1521">
        <f t="shared" si="18"/>
        <v>0</v>
      </c>
      <c r="M297" s="1570"/>
    </row>
    <row r="298" spans="1:13" ht="30" customHeight="1" x14ac:dyDescent="0.2">
      <c r="A298" s="426">
        <v>179</v>
      </c>
      <c r="B298" s="1567" t="s">
        <v>41</v>
      </c>
      <c r="C298" s="1540"/>
      <c r="D298" s="1530"/>
      <c r="E298" s="1532"/>
      <c r="F298" s="1530">
        <f t="shared" si="17"/>
        <v>0</v>
      </c>
      <c r="G298" s="1521">
        <v>16000000</v>
      </c>
      <c r="H298" s="1521" t="s">
        <v>3262</v>
      </c>
      <c r="I298" s="1562" t="s">
        <v>3272</v>
      </c>
      <c r="J298" s="24" t="s">
        <v>1121</v>
      </c>
      <c r="K298" s="1519">
        <f>G298</f>
        <v>16000000</v>
      </c>
      <c r="L298" s="1530">
        <f t="shared" si="18"/>
        <v>-16000000</v>
      </c>
      <c r="M298" s="1537"/>
    </row>
    <row r="299" spans="1:13" ht="30" customHeight="1" x14ac:dyDescent="0.2">
      <c r="A299" s="3450">
        <v>180</v>
      </c>
      <c r="B299" s="3457" t="s">
        <v>42</v>
      </c>
      <c r="C299" s="3466" t="s">
        <v>2533</v>
      </c>
      <c r="D299" s="3442">
        <v>300000000</v>
      </c>
      <c r="E299" s="3444">
        <v>5.7000000000000002E-2</v>
      </c>
      <c r="F299" s="3442">
        <v>17000000</v>
      </c>
      <c r="G299" s="1542">
        <v>16000000</v>
      </c>
      <c r="H299" s="1542" t="s">
        <v>3279</v>
      </c>
      <c r="I299" s="1565" t="s">
        <v>3312</v>
      </c>
      <c r="J299" s="1566" t="s">
        <v>2390</v>
      </c>
      <c r="K299" s="3442">
        <f>G299+G300</f>
        <v>17000000</v>
      </c>
      <c r="L299" s="3442">
        <f t="shared" si="18"/>
        <v>0</v>
      </c>
      <c r="M299" s="3525"/>
    </row>
    <row r="300" spans="1:13" ht="30" customHeight="1" x14ac:dyDescent="0.2">
      <c r="A300" s="3451"/>
      <c r="B300" s="3458"/>
      <c r="C300" s="3467"/>
      <c r="D300" s="3443"/>
      <c r="E300" s="3445"/>
      <c r="F300" s="3443"/>
      <c r="G300" s="1521">
        <v>1000000</v>
      </c>
      <c r="H300" s="1521" t="s">
        <v>3362</v>
      </c>
      <c r="I300" s="1562" t="s">
        <v>3370</v>
      </c>
      <c r="J300" s="24" t="s">
        <v>3371</v>
      </c>
      <c r="K300" s="3443"/>
      <c r="L300" s="3443"/>
      <c r="M300" s="3526"/>
    </row>
    <row r="301" spans="1:13" ht="30" customHeight="1" x14ac:dyDescent="0.2">
      <c r="A301" s="1572">
        <v>181</v>
      </c>
      <c r="B301" s="1570" t="s">
        <v>43</v>
      </c>
      <c r="C301" s="1541" t="s">
        <v>1018</v>
      </c>
      <c r="D301" s="1521">
        <v>50000000</v>
      </c>
      <c r="E301" s="1518">
        <v>0.05</v>
      </c>
      <c r="F301" s="1521">
        <f t="shared" si="17"/>
        <v>2500000</v>
      </c>
      <c r="G301" s="1521">
        <v>2500000</v>
      </c>
      <c r="H301" s="1521" t="s">
        <v>3324</v>
      </c>
      <c r="I301" s="1543" t="s">
        <v>3327</v>
      </c>
      <c r="J301" s="24" t="s">
        <v>3328</v>
      </c>
      <c r="K301" s="1521">
        <f t="shared" ref="K301:K309" si="23">G301</f>
        <v>2500000</v>
      </c>
      <c r="L301" s="1521">
        <f t="shared" si="18"/>
        <v>0</v>
      </c>
      <c r="M301" s="1570"/>
    </row>
    <row r="302" spans="1:13" ht="30" customHeight="1" x14ac:dyDescent="0.2">
      <c r="A302" s="3450">
        <v>182</v>
      </c>
      <c r="B302" s="3457" t="s">
        <v>44</v>
      </c>
      <c r="C302" s="3570" t="s">
        <v>1018</v>
      </c>
      <c r="D302" s="1521">
        <v>25000000</v>
      </c>
      <c r="E302" s="1569">
        <v>0.05</v>
      </c>
      <c r="F302" s="1521">
        <f t="shared" ref="F302:F381" si="24">D302*E302</f>
        <v>1250000</v>
      </c>
      <c r="G302" s="3325" t="s">
        <v>2867</v>
      </c>
      <c r="H302" s="3340"/>
      <c r="I302" s="3340"/>
      <c r="J302" s="3340"/>
      <c r="K302" s="3341"/>
      <c r="L302" s="1521"/>
      <c r="M302" s="1570"/>
    </row>
    <row r="303" spans="1:13" ht="30" customHeight="1" x14ac:dyDescent="0.2">
      <c r="A303" s="3456"/>
      <c r="B303" s="3459"/>
      <c r="C303" s="3576"/>
      <c r="D303" s="1521">
        <v>100000000</v>
      </c>
      <c r="E303" s="1569">
        <v>0.05</v>
      </c>
      <c r="F303" s="1521">
        <f>D303*E303</f>
        <v>5000000</v>
      </c>
      <c r="G303" s="3615" t="s">
        <v>2899</v>
      </c>
      <c r="H303" s="3616"/>
      <c r="I303" s="3616"/>
      <c r="J303" s="3616"/>
      <c r="K303" s="3617"/>
      <c r="L303" s="1521"/>
      <c r="M303" s="1570"/>
    </row>
    <row r="304" spans="1:13" ht="30" customHeight="1" x14ac:dyDescent="0.2">
      <c r="A304" s="3456"/>
      <c r="B304" s="3459"/>
      <c r="C304" s="3576"/>
      <c r="D304" s="1553">
        <v>125000000</v>
      </c>
      <c r="E304" s="1351">
        <v>0.05</v>
      </c>
      <c r="F304" s="1553">
        <f>D304*E304</f>
        <v>6250000</v>
      </c>
      <c r="G304" s="3615" t="s">
        <v>3302</v>
      </c>
      <c r="H304" s="3616"/>
      <c r="I304" s="3616"/>
      <c r="J304" s="3616"/>
      <c r="K304" s="3617"/>
      <c r="L304" s="1521"/>
      <c r="M304" s="1570"/>
    </row>
    <row r="305" spans="1:13" ht="30" customHeight="1" x14ac:dyDescent="0.2">
      <c r="A305" s="3451"/>
      <c r="B305" s="3458"/>
      <c r="C305" s="3571"/>
      <c r="D305" s="1553"/>
      <c r="E305" s="1351"/>
      <c r="F305" s="1553"/>
      <c r="G305" s="1521">
        <v>3750000</v>
      </c>
      <c r="H305" s="1521" t="s">
        <v>3440</v>
      </c>
      <c r="I305" s="1543" t="s">
        <v>3483</v>
      </c>
      <c r="J305" s="24" t="s">
        <v>3484</v>
      </c>
      <c r="K305" s="1521">
        <f>G305</f>
        <v>3750000</v>
      </c>
      <c r="L305" s="1521"/>
      <c r="M305" s="431" t="s">
        <v>3485</v>
      </c>
    </row>
    <row r="306" spans="1:13" ht="30" customHeight="1" x14ac:dyDescent="0.2">
      <c r="A306" s="1572">
        <v>183</v>
      </c>
      <c r="B306" s="1570" t="s">
        <v>45</v>
      </c>
      <c r="C306" s="1541" t="s">
        <v>1131</v>
      </c>
      <c r="D306" s="1521">
        <v>100000000</v>
      </c>
      <c r="E306" s="1569">
        <v>0.05</v>
      </c>
      <c r="F306" s="1521">
        <f t="shared" si="24"/>
        <v>5000000</v>
      </c>
      <c r="G306" s="1521">
        <v>5000000</v>
      </c>
      <c r="H306" s="1521" t="s">
        <v>3421</v>
      </c>
      <c r="I306" s="1543" t="s">
        <v>3430</v>
      </c>
      <c r="J306" s="24" t="s">
        <v>1186</v>
      </c>
      <c r="K306" s="1521">
        <f t="shared" si="23"/>
        <v>5000000</v>
      </c>
      <c r="L306" s="1521">
        <f t="shared" ref="L306:L339" si="25">F306-K306</f>
        <v>0</v>
      </c>
      <c r="M306" s="168"/>
    </row>
    <row r="307" spans="1:13" ht="30" customHeight="1" x14ac:dyDescent="0.2">
      <c r="A307" s="1572">
        <v>184</v>
      </c>
      <c r="B307" s="1570" t="s">
        <v>46</v>
      </c>
      <c r="C307" s="1541" t="s">
        <v>1018</v>
      </c>
      <c r="D307" s="1521">
        <v>20000000</v>
      </c>
      <c r="E307" s="1569">
        <v>0.05</v>
      </c>
      <c r="F307" s="1521">
        <f t="shared" si="24"/>
        <v>1000000</v>
      </c>
      <c r="G307" s="1521">
        <v>1000000</v>
      </c>
      <c r="H307" s="1521" t="s">
        <v>3262</v>
      </c>
      <c r="I307" s="1543" t="s">
        <v>3285</v>
      </c>
      <c r="J307" s="24" t="s">
        <v>2457</v>
      </c>
      <c r="K307" s="1521">
        <f t="shared" si="23"/>
        <v>1000000</v>
      </c>
      <c r="L307" s="1521">
        <f t="shared" si="25"/>
        <v>0</v>
      </c>
      <c r="M307" s="1570"/>
    </row>
    <row r="308" spans="1:13" ht="30" customHeight="1" x14ac:dyDescent="0.2">
      <c r="A308" s="1572">
        <v>185</v>
      </c>
      <c r="B308" s="1570" t="s">
        <v>47</v>
      </c>
      <c r="C308" s="1541" t="s">
        <v>1019</v>
      </c>
      <c r="D308" s="1521">
        <v>70000000</v>
      </c>
      <c r="E308" s="1569">
        <v>0.05</v>
      </c>
      <c r="F308" s="1521">
        <f t="shared" si="24"/>
        <v>3500000</v>
      </c>
      <c r="G308" s="1521">
        <v>3500000</v>
      </c>
      <c r="H308" s="1521" t="s">
        <v>3279</v>
      </c>
      <c r="I308" s="1543" t="s">
        <v>3320</v>
      </c>
      <c r="J308" s="24" t="s">
        <v>1117</v>
      </c>
      <c r="K308" s="1521">
        <f t="shared" si="23"/>
        <v>3500000</v>
      </c>
      <c r="L308" s="1521">
        <f t="shared" si="25"/>
        <v>0</v>
      </c>
      <c r="M308" s="1570"/>
    </row>
    <row r="309" spans="1:13" ht="30" customHeight="1" x14ac:dyDescent="0.2">
      <c r="A309" s="1572">
        <v>186</v>
      </c>
      <c r="B309" s="1570" t="s">
        <v>48</v>
      </c>
      <c r="C309" s="1541"/>
      <c r="D309" s="1521">
        <v>8000000</v>
      </c>
      <c r="E309" s="1569">
        <v>0.04</v>
      </c>
      <c r="F309" s="1521">
        <f t="shared" si="24"/>
        <v>320000</v>
      </c>
      <c r="G309" s="1521">
        <v>320000</v>
      </c>
      <c r="H309" s="1521" t="s">
        <v>3362</v>
      </c>
      <c r="I309" s="1543" t="s">
        <v>3382</v>
      </c>
      <c r="J309" s="24" t="s">
        <v>2430</v>
      </c>
      <c r="K309" s="1521">
        <f t="shared" si="23"/>
        <v>320000</v>
      </c>
      <c r="L309" s="1521">
        <f t="shared" si="25"/>
        <v>0</v>
      </c>
      <c r="M309" s="1570"/>
    </row>
    <row r="310" spans="1:13" ht="30" customHeight="1" x14ac:dyDescent="0.2">
      <c r="A310" s="3450">
        <v>187</v>
      </c>
      <c r="B310" s="3457" t="s">
        <v>2601</v>
      </c>
      <c r="C310" s="3570" t="s">
        <v>1175</v>
      </c>
      <c r="D310" s="3442">
        <v>200000000</v>
      </c>
      <c r="E310" s="3444">
        <v>0.05</v>
      </c>
      <c r="F310" s="3442">
        <f t="shared" si="24"/>
        <v>10000000</v>
      </c>
      <c r="G310" s="1521">
        <v>10000000</v>
      </c>
      <c r="H310" s="1521" t="s">
        <v>2666</v>
      </c>
      <c r="I310" s="1543" t="s">
        <v>2683</v>
      </c>
      <c r="J310" s="24" t="s">
        <v>2684</v>
      </c>
      <c r="K310" s="1521">
        <f>G310</f>
        <v>10000000</v>
      </c>
      <c r="L310" s="1521">
        <f t="shared" si="25"/>
        <v>0</v>
      </c>
      <c r="M310" s="103" t="s">
        <v>1811</v>
      </c>
    </row>
    <row r="311" spans="1:13" ht="30" customHeight="1" x14ac:dyDescent="0.2">
      <c r="A311" s="3451"/>
      <c r="B311" s="3458"/>
      <c r="C311" s="3571"/>
      <c r="D311" s="3443"/>
      <c r="E311" s="3445"/>
      <c r="F311" s="3443"/>
      <c r="G311" s="1521">
        <v>10000000</v>
      </c>
      <c r="H311" s="1521" t="s">
        <v>3461</v>
      </c>
      <c r="I311" s="1543" t="s">
        <v>3465</v>
      </c>
      <c r="J311" s="24" t="s">
        <v>3466</v>
      </c>
      <c r="K311" s="1521">
        <f>G311</f>
        <v>10000000</v>
      </c>
      <c r="L311" s="1521">
        <f>F310-K311</f>
        <v>0</v>
      </c>
      <c r="M311" s="103" t="s">
        <v>3126</v>
      </c>
    </row>
    <row r="312" spans="1:13" ht="30" customHeight="1" x14ac:dyDescent="0.2">
      <c r="A312" s="1572">
        <v>188</v>
      </c>
      <c r="B312" s="1570" t="s">
        <v>50</v>
      </c>
      <c r="C312" s="1541"/>
      <c r="D312" s="1521">
        <v>200000000</v>
      </c>
      <c r="E312" s="1569">
        <v>0.05</v>
      </c>
      <c r="F312" s="1521">
        <f t="shared" si="24"/>
        <v>10000000</v>
      </c>
      <c r="G312" s="1521">
        <v>10000000</v>
      </c>
      <c r="H312" s="1521" t="s">
        <v>3279</v>
      </c>
      <c r="I312" s="1543" t="s">
        <v>3317</v>
      </c>
      <c r="J312" s="24" t="s">
        <v>2284</v>
      </c>
      <c r="K312" s="1521">
        <f>G312</f>
        <v>10000000</v>
      </c>
      <c r="L312" s="1521">
        <f t="shared" si="25"/>
        <v>0</v>
      </c>
      <c r="M312" s="1570"/>
    </row>
    <row r="313" spans="1:13" ht="30" customHeight="1" x14ac:dyDescent="0.2">
      <c r="A313" s="1572">
        <v>189</v>
      </c>
      <c r="B313" s="1570" t="s">
        <v>51</v>
      </c>
      <c r="C313" s="1541" t="s">
        <v>700</v>
      </c>
      <c r="D313" s="1521">
        <v>15000000</v>
      </c>
      <c r="E313" s="1569">
        <v>0.05</v>
      </c>
      <c r="F313" s="1521">
        <f t="shared" si="24"/>
        <v>750000</v>
      </c>
      <c r="G313" s="1521">
        <v>750000</v>
      </c>
      <c r="H313" s="1521" t="s">
        <v>3262</v>
      </c>
      <c r="I313" s="1543" t="s">
        <v>3280</v>
      </c>
      <c r="J313" s="24" t="s">
        <v>860</v>
      </c>
      <c r="K313" s="1521">
        <f>G313</f>
        <v>750000</v>
      </c>
      <c r="L313" s="1521">
        <f t="shared" si="25"/>
        <v>0</v>
      </c>
      <c r="M313" s="1570"/>
    </row>
    <row r="314" spans="1:13" ht="30" customHeight="1" x14ac:dyDescent="0.2">
      <c r="A314" s="3450">
        <v>190</v>
      </c>
      <c r="B314" s="3457" t="s">
        <v>52</v>
      </c>
      <c r="C314" s="1541" t="s">
        <v>1131</v>
      </c>
      <c r="D314" s="1521">
        <v>80000000</v>
      </c>
      <c r="E314" s="1569">
        <v>0.05</v>
      </c>
      <c r="F314" s="1521">
        <f t="shared" si="24"/>
        <v>4000000</v>
      </c>
      <c r="G314" s="3442">
        <v>14000000</v>
      </c>
      <c r="H314" s="3442" t="s">
        <v>3362</v>
      </c>
      <c r="I314" s="3577" t="s">
        <v>3385</v>
      </c>
      <c r="J314" s="3452" t="s">
        <v>3102</v>
      </c>
      <c r="K314" s="3442">
        <f>G314</f>
        <v>14000000</v>
      </c>
      <c r="L314" s="3442">
        <f>(F314+F315)-K314</f>
        <v>0</v>
      </c>
      <c r="M314" s="3525"/>
    </row>
    <row r="315" spans="1:13" ht="30" customHeight="1" x14ac:dyDescent="0.2">
      <c r="A315" s="3451"/>
      <c r="B315" s="3458"/>
      <c r="C315" s="1541" t="s">
        <v>1131</v>
      </c>
      <c r="D315" s="1521">
        <v>200000000</v>
      </c>
      <c r="E315" s="1569">
        <v>0.05</v>
      </c>
      <c r="F315" s="1521">
        <f t="shared" si="24"/>
        <v>10000000</v>
      </c>
      <c r="G315" s="3443"/>
      <c r="H315" s="3443"/>
      <c r="I315" s="3578"/>
      <c r="J315" s="3453"/>
      <c r="K315" s="3443"/>
      <c r="L315" s="3443"/>
      <c r="M315" s="3526"/>
    </row>
    <row r="316" spans="1:13" ht="30" customHeight="1" x14ac:dyDescent="0.2">
      <c r="A316" s="3693">
        <v>191</v>
      </c>
      <c r="B316" s="3687" t="s">
        <v>53</v>
      </c>
      <c r="C316" s="3570" t="s">
        <v>265</v>
      </c>
      <c r="D316" s="3442">
        <v>700000000</v>
      </c>
      <c r="E316" s="3444">
        <v>7.6999999999999999E-2</v>
      </c>
      <c r="F316" s="3442">
        <v>54000000</v>
      </c>
      <c r="G316" s="1521">
        <v>43000000</v>
      </c>
      <c r="H316" s="1521">
        <v>43000000</v>
      </c>
      <c r="I316" s="1562" t="s">
        <v>2847</v>
      </c>
      <c r="J316" s="24" t="s">
        <v>696</v>
      </c>
      <c r="K316" s="3442">
        <f>G316+G317</f>
        <v>54000000</v>
      </c>
      <c r="L316" s="3442">
        <f t="shared" si="25"/>
        <v>0</v>
      </c>
      <c r="M316" s="1559" t="s">
        <v>2657</v>
      </c>
    </row>
    <row r="317" spans="1:13" ht="30" customHeight="1" x14ac:dyDescent="0.2">
      <c r="A317" s="3693"/>
      <c r="B317" s="3687"/>
      <c r="C317" s="3571"/>
      <c r="D317" s="3443"/>
      <c r="E317" s="3445"/>
      <c r="F317" s="3443"/>
      <c r="G317" s="1521">
        <v>11000000</v>
      </c>
      <c r="H317" s="1521" t="s">
        <v>2937</v>
      </c>
      <c r="I317" s="1562" t="s">
        <v>2943</v>
      </c>
      <c r="J317" s="24" t="s">
        <v>696</v>
      </c>
      <c r="K317" s="3443"/>
      <c r="L317" s="3443"/>
      <c r="M317" s="1560"/>
    </row>
    <row r="318" spans="1:13" ht="30" customHeight="1" x14ac:dyDescent="0.2">
      <c r="A318" s="3450">
        <v>192</v>
      </c>
      <c r="B318" s="3457" t="s">
        <v>54</v>
      </c>
      <c r="C318" s="3570" t="s">
        <v>1342</v>
      </c>
      <c r="D318" s="3575">
        <v>1400000000</v>
      </c>
      <c r="E318" s="3683">
        <v>7.0000000000000007E-2</v>
      </c>
      <c r="F318" s="3575">
        <f>D318*E318</f>
        <v>98000000.000000015</v>
      </c>
      <c r="G318" s="3701" t="s">
        <v>2117</v>
      </c>
      <c r="H318" s="3701"/>
      <c r="I318" s="3701"/>
      <c r="J318" s="3701"/>
      <c r="K318" s="3442"/>
      <c r="L318" s="3442"/>
      <c r="M318" s="192" t="s">
        <v>2118</v>
      </c>
    </row>
    <row r="319" spans="1:13" ht="30" customHeight="1" x14ac:dyDescent="0.2">
      <c r="A319" s="3456"/>
      <c r="B319" s="3459"/>
      <c r="C319" s="3571"/>
      <c r="D319" s="3575"/>
      <c r="E319" s="3683"/>
      <c r="F319" s="3575"/>
      <c r="G319" s="3701"/>
      <c r="H319" s="3701"/>
      <c r="I319" s="3701"/>
      <c r="J319" s="3701"/>
      <c r="K319" s="3443"/>
      <c r="L319" s="3443"/>
      <c r="M319" s="192" t="s">
        <v>2417</v>
      </c>
    </row>
    <row r="320" spans="1:13" ht="30" customHeight="1" x14ac:dyDescent="0.2">
      <c r="A320" s="3456"/>
      <c r="B320" s="3459"/>
      <c r="C320" s="3570"/>
      <c r="D320" s="3505">
        <f>D318+150000000</f>
        <v>1550000000</v>
      </c>
      <c r="E320" s="3444"/>
      <c r="F320" s="3442"/>
      <c r="G320" s="3615" t="s">
        <v>3049</v>
      </c>
      <c r="H320" s="3616"/>
      <c r="I320" s="3616"/>
      <c r="J320" s="3617"/>
      <c r="K320" s="1521"/>
      <c r="L320" s="1521"/>
      <c r="M320" s="192" t="s">
        <v>3050</v>
      </c>
    </row>
    <row r="321" spans="1:17" ht="30" customHeight="1" x14ac:dyDescent="0.2">
      <c r="A321" s="3456"/>
      <c r="B321" s="3459"/>
      <c r="C321" s="3576"/>
      <c r="D321" s="3506"/>
      <c r="E321" s="3445"/>
      <c r="F321" s="3443"/>
      <c r="G321" s="3615" t="s">
        <v>3048</v>
      </c>
      <c r="H321" s="3616"/>
      <c r="I321" s="3616"/>
      <c r="J321" s="3617"/>
      <c r="K321" s="1521"/>
      <c r="L321" s="1521"/>
      <c r="M321" s="192"/>
    </row>
    <row r="322" spans="1:17" ht="30" customHeight="1" x14ac:dyDescent="0.2">
      <c r="A322" s="3456"/>
      <c r="B322" s="3459"/>
      <c r="C322" s="3576"/>
      <c r="D322" s="1521"/>
      <c r="E322" s="1518"/>
      <c r="F322" s="1521"/>
      <c r="G322" s="1542">
        <v>5000000</v>
      </c>
      <c r="H322" s="1542" t="s">
        <v>3349</v>
      </c>
      <c r="I322" s="1543">
        <v>790844</v>
      </c>
      <c r="J322" s="1542" t="s">
        <v>888</v>
      </c>
      <c r="K322" s="1521">
        <f>G322</f>
        <v>5000000</v>
      </c>
      <c r="L322" s="1521"/>
      <c r="M322" s="192" t="s">
        <v>3409</v>
      </c>
    </row>
    <row r="323" spans="1:17" ht="30" customHeight="1" x14ac:dyDescent="0.2">
      <c r="A323" s="3451"/>
      <c r="B323" s="3458"/>
      <c r="C323" s="3571"/>
      <c r="D323" s="1521"/>
      <c r="E323" s="1518"/>
      <c r="F323" s="1521"/>
      <c r="G323" s="1542"/>
      <c r="H323" s="1542"/>
      <c r="I323" s="1542"/>
      <c r="J323" s="1542"/>
      <c r="K323" s="1521"/>
      <c r="L323" s="1521"/>
      <c r="M323" s="192"/>
    </row>
    <row r="324" spans="1:17" ht="30" customHeight="1" x14ac:dyDescent="0.2">
      <c r="A324" s="1572">
        <v>193</v>
      </c>
      <c r="B324" s="1570" t="s">
        <v>55</v>
      </c>
      <c r="C324" s="1541" t="s">
        <v>1378</v>
      </c>
      <c r="D324" s="1521">
        <v>45000000</v>
      </c>
      <c r="E324" s="1569">
        <v>0.04</v>
      </c>
      <c r="F324" s="1521">
        <f t="shared" si="24"/>
        <v>1800000</v>
      </c>
      <c r="G324" s="1521">
        <v>1800000</v>
      </c>
      <c r="H324" s="1521" t="s">
        <v>3362</v>
      </c>
      <c r="I324" s="1543" t="s">
        <v>3375</v>
      </c>
      <c r="J324" s="1542" t="s">
        <v>1026</v>
      </c>
      <c r="K324" s="1521">
        <f>G324</f>
        <v>1800000</v>
      </c>
      <c r="L324" s="1521">
        <f t="shared" si="25"/>
        <v>0</v>
      </c>
      <c r="M324" s="1570"/>
    </row>
    <row r="325" spans="1:17" ht="30" customHeight="1" x14ac:dyDescent="0.2">
      <c r="A325" s="1514">
        <v>194</v>
      </c>
      <c r="B325" s="22" t="s">
        <v>56</v>
      </c>
      <c r="C325" s="421"/>
      <c r="D325" s="1534"/>
      <c r="E325" s="1078"/>
      <c r="F325" s="1534">
        <f t="shared" si="24"/>
        <v>0</v>
      </c>
      <c r="G325" s="1542">
        <v>6500000</v>
      </c>
      <c r="H325" s="1542" t="s">
        <v>3279</v>
      </c>
      <c r="I325" s="1581" t="s">
        <v>3318</v>
      </c>
      <c r="J325" s="1566" t="s">
        <v>3319</v>
      </c>
      <c r="K325" s="1542">
        <f>G325</f>
        <v>6500000</v>
      </c>
      <c r="L325" s="1534">
        <f t="shared" si="25"/>
        <v>-6500000</v>
      </c>
      <c r="M325" s="1537"/>
    </row>
    <row r="326" spans="1:17" ht="30" customHeight="1" x14ac:dyDescent="0.2">
      <c r="A326" s="1572">
        <v>195</v>
      </c>
      <c r="B326" s="1513" t="s">
        <v>57</v>
      </c>
      <c r="C326" s="1541" t="s">
        <v>1019</v>
      </c>
      <c r="D326" s="1521">
        <v>10000000</v>
      </c>
      <c r="E326" s="1518">
        <v>0.05</v>
      </c>
      <c r="F326" s="1521">
        <f t="shared" si="24"/>
        <v>500000</v>
      </c>
      <c r="G326" s="1521">
        <v>500000</v>
      </c>
      <c r="H326" s="1521" t="s">
        <v>3349</v>
      </c>
      <c r="I326" s="1543" t="s">
        <v>3415</v>
      </c>
      <c r="J326" s="24" t="s">
        <v>1152</v>
      </c>
      <c r="K326" s="1521">
        <f>G326</f>
        <v>500000</v>
      </c>
      <c r="L326" s="1521">
        <f t="shared" si="25"/>
        <v>0</v>
      </c>
      <c r="M326" s="1570"/>
    </row>
    <row r="327" spans="1:17" ht="30" customHeight="1" x14ac:dyDescent="0.2">
      <c r="A327" s="3450">
        <v>196</v>
      </c>
      <c r="B327" s="3457" t="s">
        <v>58</v>
      </c>
      <c r="C327" s="1541" t="s">
        <v>1138</v>
      </c>
      <c r="D327" s="1521">
        <v>20000000</v>
      </c>
      <c r="E327" s="1569">
        <v>0.04</v>
      </c>
      <c r="F327" s="1521">
        <f t="shared" si="24"/>
        <v>800000</v>
      </c>
      <c r="G327" s="1521">
        <v>800000</v>
      </c>
      <c r="H327" s="1521" t="s">
        <v>3279</v>
      </c>
      <c r="I327" s="1521">
        <v>983499</v>
      </c>
      <c r="J327" s="24" t="s">
        <v>1137</v>
      </c>
      <c r="K327" s="1521">
        <f>G327</f>
        <v>800000</v>
      </c>
      <c r="L327" s="1521">
        <f>F327-K327</f>
        <v>0</v>
      </c>
      <c r="M327" s="1570"/>
    </row>
    <row r="328" spans="1:17" ht="30" customHeight="1" x14ac:dyDescent="0.2">
      <c r="A328" s="3451"/>
      <c r="B328" s="3458"/>
      <c r="C328" s="1541" t="s">
        <v>2127</v>
      </c>
      <c r="D328" s="1525">
        <v>30000000</v>
      </c>
      <c r="E328" s="479">
        <v>0.05</v>
      </c>
      <c r="F328" s="1525">
        <f t="shared" si="24"/>
        <v>1500000</v>
      </c>
      <c r="G328" s="1521">
        <v>1500000</v>
      </c>
      <c r="H328" s="1521" t="s">
        <v>3051</v>
      </c>
      <c r="I328" s="1521">
        <v>123339803720</v>
      </c>
      <c r="J328" s="24" t="s">
        <v>2463</v>
      </c>
      <c r="K328" s="1521">
        <f>G328</f>
        <v>1500000</v>
      </c>
      <c r="L328" s="1521">
        <f t="shared" si="25"/>
        <v>0</v>
      </c>
      <c r="M328" s="3615" t="s">
        <v>2128</v>
      </c>
      <c r="N328" s="3616"/>
      <c r="O328" s="3616"/>
      <c r="P328" s="3616"/>
      <c r="Q328" s="3617"/>
    </row>
    <row r="329" spans="1:17" ht="30" customHeight="1" x14ac:dyDescent="0.2">
      <c r="A329" s="1572">
        <v>197</v>
      </c>
      <c r="B329" s="1570" t="s">
        <v>59</v>
      </c>
      <c r="C329" s="1541"/>
      <c r="D329" s="1521">
        <v>150000000</v>
      </c>
      <c r="E329" s="1569">
        <v>0.04</v>
      </c>
      <c r="F329" s="1521">
        <f t="shared" si="24"/>
        <v>6000000</v>
      </c>
      <c r="G329" s="1521">
        <v>6000000</v>
      </c>
      <c r="H329" s="1521" t="s">
        <v>3279</v>
      </c>
      <c r="I329" s="1543" t="s">
        <v>3307</v>
      </c>
      <c r="J329" s="1542" t="s">
        <v>3308</v>
      </c>
      <c r="K329" s="1521">
        <f t="shared" ref="K329:K339" si="26">G329</f>
        <v>6000000</v>
      </c>
      <c r="L329" s="1521">
        <f t="shared" si="25"/>
        <v>0</v>
      </c>
      <c r="M329" s="1570"/>
    </row>
    <row r="330" spans="1:17" ht="30" customHeight="1" x14ac:dyDescent="0.2">
      <c r="A330" s="1572">
        <v>198</v>
      </c>
      <c r="B330" s="1570" t="s">
        <v>60</v>
      </c>
      <c r="C330" s="1541"/>
      <c r="D330" s="1521">
        <v>30000000</v>
      </c>
      <c r="E330" s="1569">
        <v>8.5000000000000006E-2</v>
      </c>
      <c r="F330" s="1521">
        <v>2500000</v>
      </c>
      <c r="G330" s="1521">
        <v>2500000</v>
      </c>
      <c r="H330" s="1521" t="s">
        <v>3440</v>
      </c>
      <c r="I330" s="1543" t="s">
        <v>3499</v>
      </c>
      <c r="J330" s="1542" t="s">
        <v>1205</v>
      </c>
      <c r="K330" s="1521">
        <f t="shared" si="26"/>
        <v>2500000</v>
      </c>
      <c r="L330" s="1521">
        <f t="shared" si="25"/>
        <v>0</v>
      </c>
      <c r="M330" s="1570"/>
    </row>
    <row r="331" spans="1:17" ht="30" customHeight="1" x14ac:dyDescent="0.2">
      <c r="A331" s="1572">
        <v>199</v>
      </c>
      <c r="B331" s="1570" t="s">
        <v>61</v>
      </c>
      <c r="C331" s="1541" t="s">
        <v>1131</v>
      </c>
      <c r="D331" s="1521">
        <v>50000000</v>
      </c>
      <c r="E331" s="1569">
        <v>0.05</v>
      </c>
      <c r="F331" s="1521">
        <f t="shared" si="24"/>
        <v>2500000</v>
      </c>
      <c r="G331" s="1521">
        <v>2500000</v>
      </c>
      <c r="H331" s="1521" t="s">
        <v>3362</v>
      </c>
      <c r="I331" s="1543" t="s">
        <v>3388</v>
      </c>
      <c r="J331" s="1542" t="s">
        <v>1173</v>
      </c>
      <c r="K331" s="1521">
        <f t="shared" si="26"/>
        <v>2500000</v>
      </c>
      <c r="L331" s="1521">
        <f t="shared" si="25"/>
        <v>0</v>
      </c>
      <c r="M331" s="1570"/>
    </row>
    <row r="332" spans="1:17" ht="30" customHeight="1" x14ac:dyDescent="0.2">
      <c r="A332" s="1572">
        <v>200</v>
      </c>
      <c r="B332" s="1570" t="s">
        <v>62</v>
      </c>
      <c r="C332" s="1541" t="s">
        <v>1112</v>
      </c>
      <c r="D332" s="1521">
        <v>350000000</v>
      </c>
      <c r="E332" s="1569">
        <v>7.0000000000000007E-2</v>
      </c>
      <c r="F332" s="1521">
        <f t="shared" si="24"/>
        <v>24500000.000000004</v>
      </c>
      <c r="G332" s="1521">
        <v>24500000</v>
      </c>
      <c r="H332" s="1521" t="s">
        <v>3433</v>
      </c>
      <c r="I332" s="1549" t="s">
        <v>3503</v>
      </c>
      <c r="J332" s="24" t="s">
        <v>1667</v>
      </c>
      <c r="K332" s="1521">
        <f t="shared" si="26"/>
        <v>24500000</v>
      </c>
      <c r="L332" s="1521">
        <f t="shared" si="25"/>
        <v>0</v>
      </c>
      <c r="M332" s="1570"/>
    </row>
    <row r="333" spans="1:17" ht="30" customHeight="1" x14ac:dyDescent="0.2">
      <c r="A333" s="1572">
        <v>201</v>
      </c>
      <c r="B333" s="1570" t="s">
        <v>63</v>
      </c>
      <c r="C333" s="1541"/>
      <c r="D333" s="1521">
        <v>60000000</v>
      </c>
      <c r="E333" s="1569">
        <v>6.5000000000000002E-2</v>
      </c>
      <c r="F333" s="1521">
        <v>4000000</v>
      </c>
      <c r="G333" s="1521">
        <v>4000000</v>
      </c>
      <c r="H333" s="1521" t="s">
        <v>3433</v>
      </c>
      <c r="I333" s="1543" t="s">
        <v>3455</v>
      </c>
      <c r="J333" s="1582" t="s">
        <v>1259</v>
      </c>
      <c r="K333" s="1521">
        <f t="shared" si="26"/>
        <v>4000000</v>
      </c>
      <c r="L333" s="1521">
        <f t="shared" si="25"/>
        <v>0</v>
      </c>
      <c r="M333" s="1570"/>
    </row>
    <row r="334" spans="1:17" ht="30" customHeight="1" x14ac:dyDescent="0.2">
      <c r="A334" s="3699">
        <v>202</v>
      </c>
      <c r="B334" s="3457" t="s">
        <v>64</v>
      </c>
      <c r="C334" s="3570" t="s">
        <v>1112</v>
      </c>
      <c r="D334" s="3442">
        <v>100000000</v>
      </c>
      <c r="E334" s="3444">
        <v>4.4999999999999998E-2</v>
      </c>
      <c r="F334" s="3442">
        <f t="shared" si="24"/>
        <v>4500000</v>
      </c>
      <c r="G334" s="1521">
        <v>4500000</v>
      </c>
      <c r="H334" s="1521" t="s">
        <v>2666</v>
      </c>
      <c r="I334" s="1543" t="s">
        <v>2677</v>
      </c>
      <c r="J334" s="24" t="s">
        <v>2678</v>
      </c>
      <c r="K334" s="1521">
        <f t="shared" si="26"/>
        <v>4500000</v>
      </c>
      <c r="L334" s="1521">
        <f t="shared" si="25"/>
        <v>0</v>
      </c>
      <c r="M334" s="103" t="s">
        <v>2655</v>
      </c>
    </row>
    <row r="335" spans="1:17" ht="30" customHeight="1" x14ac:dyDescent="0.2">
      <c r="A335" s="3700"/>
      <c r="B335" s="3458"/>
      <c r="C335" s="3571"/>
      <c r="D335" s="3443"/>
      <c r="E335" s="3445"/>
      <c r="F335" s="3443"/>
      <c r="G335" s="1521">
        <v>4500000</v>
      </c>
      <c r="H335" s="1521" t="s">
        <v>3433</v>
      </c>
      <c r="I335" s="1543" t="s">
        <v>3456</v>
      </c>
      <c r="J335" s="24" t="s">
        <v>2678</v>
      </c>
      <c r="K335" s="1521">
        <f t="shared" si="26"/>
        <v>4500000</v>
      </c>
      <c r="L335" s="1521">
        <f>F334-K335</f>
        <v>0</v>
      </c>
      <c r="M335" s="103" t="s">
        <v>3126</v>
      </c>
    </row>
    <row r="336" spans="1:17" ht="30" customHeight="1" x14ac:dyDescent="0.2">
      <c r="A336" s="1572">
        <v>203</v>
      </c>
      <c r="B336" s="1570" t="s">
        <v>1292</v>
      </c>
      <c r="C336" s="1541" t="s">
        <v>1112</v>
      </c>
      <c r="D336" s="1521">
        <v>60000000</v>
      </c>
      <c r="E336" s="1569">
        <v>0.05</v>
      </c>
      <c r="F336" s="1521">
        <f t="shared" si="24"/>
        <v>3000000</v>
      </c>
      <c r="G336" s="1521">
        <v>3000000</v>
      </c>
      <c r="H336" s="1521" t="s">
        <v>3349</v>
      </c>
      <c r="I336" s="1543" t="s">
        <v>3405</v>
      </c>
      <c r="J336" s="24" t="s">
        <v>1792</v>
      </c>
      <c r="K336" s="1521">
        <f t="shared" si="26"/>
        <v>3000000</v>
      </c>
      <c r="L336" s="1521">
        <f t="shared" si="25"/>
        <v>0</v>
      </c>
      <c r="M336" s="1570"/>
    </row>
    <row r="337" spans="1:13" ht="30" customHeight="1" x14ac:dyDescent="0.2">
      <c r="A337" s="1572">
        <v>204</v>
      </c>
      <c r="B337" s="1570" t="s">
        <v>65</v>
      </c>
      <c r="C337" s="1541"/>
      <c r="D337" s="1521">
        <v>30000000</v>
      </c>
      <c r="E337" s="1569">
        <v>4.4999999999999998E-2</v>
      </c>
      <c r="F337" s="1521">
        <f t="shared" si="24"/>
        <v>1350000</v>
      </c>
      <c r="G337" s="1521">
        <v>1350000</v>
      </c>
      <c r="H337" s="1521" t="s">
        <v>3461</v>
      </c>
      <c r="I337" s="1543" t="s">
        <v>3462</v>
      </c>
      <c r="J337" s="24" t="s">
        <v>2578</v>
      </c>
      <c r="K337" s="1521">
        <f t="shared" si="26"/>
        <v>1350000</v>
      </c>
      <c r="L337" s="1521">
        <f t="shared" si="25"/>
        <v>0</v>
      </c>
      <c r="M337" s="1570"/>
    </row>
    <row r="338" spans="1:13" ht="30" customHeight="1" x14ac:dyDescent="0.2">
      <c r="A338" s="1572">
        <v>205</v>
      </c>
      <c r="B338" s="1570" t="s">
        <v>66</v>
      </c>
      <c r="C338" s="1541" t="s">
        <v>3380</v>
      </c>
      <c r="D338" s="1521">
        <v>15000000</v>
      </c>
      <c r="E338" s="1569">
        <v>0.04</v>
      </c>
      <c r="F338" s="1521">
        <f t="shared" si="24"/>
        <v>600000</v>
      </c>
      <c r="G338" s="1521">
        <v>600000</v>
      </c>
      <c r="H338" s="1521" t="s">
        <v>3362</v>
      </c>
      <c r="I338" s="1543" t="s">
        <v>3378</v>
      </c>
      <c r="J338" s="24" t="s">
        <v>3379</v>
      </c>
      <c r="K338" s="1521">
        <f t="shared" si="26"/>
        <v>600000</v>
      </c>
      <c r="L338" s="1521">
        <f t="shared" si="25"/>
        <v>0</v>
      </c>
      <c r="M338" s="1570"/>
    </row>
    <row r="339" spans="1:13" ht="30" customHeight="1" x14ac:dyDescent="0.2">
      <c r="A339" s="1572">
        <v>206</v>
      </c>
      <c r="B339" s="1570" t="s">
        <v>2531</v>
      </c>
      <c r="C339" s="1541" t="s">
        <v>1019</v>
      </c>
      <c r="D339" s="1521">
        <v>150000000</v>
      </c>
      <c r="E339" s="1569">
        <v>0.05</v>
      </c>
      <c r="F339" s="1521">
        <f t="shared" si="24"/>
        <v>7500000</v>
      </c>
      <c r="G339" s="1521">
        <v>7500000</v>
      </c>
      <c r="H339" s="1543" t="s">
        <v>3279</v>
      </c>
      <c r="I339" s="1543" t="s">
        <v>3311</v>
      </c>
      <c r="J339" s="70" t="s">
        <v>1015</v>
      </c>
      <c r="K339" s="1521">
        <f t="shared" si="26"/>
        <v>7500000</v>
      </c>
      <c r="L339" s="1521">
        <f t="shared" si="25"/>
        <v>0</v>
      </c>
      <c r="M339" s="1570"/>
    </row>
    <row r="340" spans="1:13" ht="30" customHeight="1" x14ac:dyDescent="0.2">
      <c r="A340" s="3450">
        <v>207</v>
      </c>
      <c r="B340" s="3457" t="s">
        <v>2810</v>
      </c>
      <c r="C340" s="3570" t="s">
        <v>700</v>
      </c>
      <c r="D340" s="1521">
        <v>45000000</v>
      </c>
      <c r="E340" s="1569">
        <v>0.04</v>
      </c>
      <c r="F340" s="1521">
        <f t="shared" si="24"/>
        <v>1800000</v>
      </c>
      <c r="G340" s="3442">
        <v>3800000</v>
      </c>
      <c r="H340" s="3442" t="s">
        <v>2839</v>
      </c>
      <c r="I340" s="3577" t="s">
        <v>2855</v>
      </c>
      <c r="J340" s="3452" t="s">
        <v>1150</v>
      </c>
      <c r="K340" s="3442">
        <f>G340</f>
        <v>3800000</v>
      </c>
      <c r="L340" s="3442">
        <f>(F340+F341)-K340</f>
        <v>0</v>
      </c>
      <c r="M340" s="3468" t="s">
        <v>1379</v>
      </c>
    </row>
    <row r="341" spans="1:13" ht="30" customHeight="1" x14ac:dyDescent="0.2">
      <c r="A341" s="3456"/>
      <c r="B341" s="3459"/>
      <c r="C341" s="3576"/>
      <c r="D341" s="1521">
        <v>50000000</v>
      </c>
      <c r="E341" s="1569">
        <v>0.04</v>
      </c>
      <c r="F341" s="1521">
        <f t="shared" si="24"/>
        <v>2000000</v>
      </c>
      <c r="G341" s="3443"/>
      <c r="H341" s="3443"/>
      <c r="I341" s="3578"/>
      <c r="J341" s="3453"/>
      <c r="K341" s="3443"/>
      <c r="L341" s="3443"/>
      <c r="M341" s="3469"/>
    </row>
    <row r="342" spans="1:13" ht="30" customHeight="1" x14ac:dyDescent="0.2">
      <c r="A342" s="3456"/>
      <c r="B342" s="3459"/>
      <c r="C342" s="3576"/>
      <c r="D342" s="1521">
        <v>45000000</v>
      </c>
      <c r="E342" s="1569">
        <v>0.04</v>
      </c>
      <c r="F342" s="1521">
        <f t="shared" si="24"/>
        <v>1800000</v>
      </c>
      <c r="G342" s="3442">
        <v>3800000</v>
      </c>
      <c r="H342" s="3442" t="s">
        <v>3324</v>
      </c>
      <c r="I342" s="3577" t="s">
        <v>3329</v>
      </c>
      <c r="J342" s="3452" t="s">
        <v>1150</v>
      </c>
      <c r="K342" s="3442">
        <f>G342</f>
        <v>3800000</v>
      </c>
      <c r="L342" s="3442">
        <f>(F342+F343)-K342</f>
        <v>0</v>
      </c>
      <c r="M342" s="3468" t="s">
        <v>2599</v>
      </c>
    </row>
    <row r="343" spans="1:13" ht="30" customHeight="1" x14ac:dyDescent="0.2">
      <c r="A343" s="3451"/>
      <c r="B343" s="3458"/>
      <c r="C343" s="3571"/>
      <c r="D343" s="1521">
        <v>50000000</v>
      </c>
      <c r="E343" s="1569">
        <v>0.04</v>
      </c>
      <c r="F343" s="1521">
        <f t="shared" si="24"/>
        <v>2000000</v>
      </c>
      <c r="G343" s="3443"/>
      <c r="H343" s="3443"/>
      <c r="I343" s="3578"/>
      <c r="J343" s="3453"/>
      <c r="K343" s="3443"/>
      <c r="L343" s="3443"/>
      <c r="M343" s="3469"/>
    </row>
    <row r="344" spans="1:13" ht="30" customHeight="1" x14ac:dyDescent="0.2">
      <c r="A344" s="1572">
        <v>208</v>
      </c>
      <c r="B344" s="1570" t="s">
        <v>70</v>
      </c>
      <c r="C344" s="1541" t="s">
        <v>1131</v>
      </c>
      <c r="D344" s="1521">
        <v>15000000</v>
      </c>
      <c r="E344" s="1569">
        <v>0.04</v>
      </c>
      <c r="F344" s="1521">
        <f t="shared" si="24"/>
        <v>600000</v>
      </c>
      <c r="G344" s="1521"/>
      <c r="H344" s="1521"/>
      <c r="I344" s="1543"/>
      <c r="J344" s="24" t="s">
        <v>1130</v>
      </c>
      <c r="K344" s="1521">
        <f t="shared" ref="K344:K352" si="27">G344</f>
        <v>0</v>
      </c>
      <c r="L344" s="1521">
        <f t="shared" ref="L344:L397" si="28">F344-K344</f>
        <v>600000</v>
      </c>
      <c r="M344" s="1570"/>
    </row>
    <row r="345" spans="1:13" ht="30" customHeight="1" x14ac:dyDescent="0.2">
      <c r="A345" s="1572">
        <v>209</v>
      </c>
      <c r="B345" s="1570" t="s">
        <v>71</v>
      </c>
      <c r="C345" s="1541"/>
      <c r="D345" s="1521">
        <v>10000000</v>
      </c>
      <c r="E345" s="1569">
        <v>0.05</v>
      </c>
      <c r="F345" s="1521">
        <f t="shared" si="24"/>
        <v>500000</v>
      </c>
      <c r="G345" s="1521">
        <v>500000</v>
      </c>
      <c r="H345" s="1521" t="s">
        <v>3440</v>
      </c>
      <c r="I345" s="1543" t="s">
        <v>3474</v>
      </c>
      <c r="J345" s="1582" t="s">
        <v>1277</v>
      </c>
      <c r="K345" s="1521">
        <f t="shared" si="27"/>
        <v>500000</v>
      </c>
      <c r="L345" s="1521">
        <f t="shared" si="28"/>
        <v>0</v>
      </c>
      <c r="M345" s="1570"/>
    </row>
    <row r="346" spans="1:13" ht="30" customHeight="1" x14ac:dyDescent="0.2">
      <c r="A346" s="1572">
        <v>210</v>
      </c>
      <c r="B346" s="1570" t="s">
        <v>73</v>
      </c>
      <c r="C346" s="1541"/>
      <c r="D346" s="1521">
        <v>50000000</v>
      </c>
      <c r="E346" s="1569">
        <v>7.0000000000000007E-2</v>
      </c>
      <c r="F346" s="1521">
        <f t="shared" si="24"/>
        <v>3500000.0000000005</v>
      </c>
      <c r="G346" s="1521">
        <v>3500000</v>
      </c>
      <c r="H346" s="1521" t="s">
        <v>3032</v>
      </c>
      <c r="I346" s="1543" t="s">
        <v>3128</v>
      </c>
      <c r="J346" s="24" t="s">
        <v>721</v>
      </c>
      <c r="K346" s="1521">
        <f t="shared" si="27"/>
        <v>3500000</v>
      </c>
      <c r="L346" s="1521">
        <f t="shared" si="28"/>
        <v>0</v>
      </c>
      <c r="M346" s="1570"/>
    </row>
    <row r="347" spans="1:13" ht="30" customHeight="1" x14ac:dyDescent="0.2">
      <c r="A347" s="1572">
        <v>211</v>
      </c>
      <c r="B347" s="1570" t="s">
        <v>74</v>
      </c>
      <c r="C347" s="1541" t="s">
        <v>1350</v>
      </c>
      <c r="D347" s="1521">
        <v>100000000</v>
      </c>
      <c r="E347" s="1569">
        <v>0.05</v>
      </c>
      <c r="F347" s="1521">
        <f t="shared" si="24"/>
        <v>5000000</v>
      </c>
      <c r="G347" s="1521">
        <v>5000000</v>
      </c>
      <c r="H347" s="1521" t="s">
        <v>2937</v>
      </c>
      <c r="I347" s="1543" t="s">
        <v>2941</v>
      </c>
      <c r="J347" s="24" t="s">
        <v>1483</v>
      </c>
      <c r="K347" s="1521">
        <f t="shared" si="27"/>
        <v>5000000</v>
      </c>
      <c r="L347" s="1521">
        <f t="shared" si="28"/>
        <v>0</v>
      </c>
      <c r="M347" s="1570"/>
    </row>
    <row r="348" spans="1:13" ht="30" customHeight="1" x14ac:dyDescent="0.2">
      <c r="A348" s="1572">
        <v>212</v>
      </c>
      <c r="B348" s="1570" t="s">
        <v>75</v>
      </c>
      <c r="C348" s="1541"/>
      <c r="D348" s="1521">
        <v>30000000</v>
      </c>
      <c r="E348" s="1569">
        <v>0.05</v>
      </c>
      <c r="F348" s="1521">
        <f t="shared" si="24"/>
        <v>1500000</v>
      </c>
      <c r="G348" s="1521"/>
      <c r="H348" s="1521"/>
      <c r="I348" s="1543"/>
      <c r="J348" s="24" t="s">
        <v>2639</v>
      </c>
      <c r="K348" s="1521">
        <f t="shared" si="27"/>
        <v>0</v>
      </c>
      <c r="L348" s="1521">
        <f t="shared" si="28"/>
        <v>1500000</v>
      </c>
      <c r="M348" s="1570"/>
    </row>
    <row r="349" spans="1:13" ht="30" customHeight="1" x14ac:dyDescent="0.2">
      <c r="A349" s="1572">
        <v>213</v>
      </c>
      <c r="B349" s="1570" t="s">
        <v>76</v>
      </c>
      <c r="C349" s="1541"/>
      <c r="D349" s="1521">
        <v>15000000</v>
      </c>
      <c r="E349" s="1569">
        <v>4.7E-2</v>
      </c>
      <c r="F349" s="1521">
        <v>700000</v>
      </c>
      <c r="G349" s="1521">
        <v>700000</v>
      </c>
      <c r="H349" s="1521" t="s">
        <v>2666</v>
      </c>
      <c r="I349" s="1543" t="s">
        <v>2668</v>
      </c>
      <c r="J349" s="24" t="s">
        <v>331</v>
      </c>
      <c r="K349" s="1521">
        <f t="shared" si="27"/>
        <v>700000</v>
      </c>
      <c r="L349" s="1521">
        <f t="shared" si="28"/>
        <v>0</v>
      </c>
      <c r="M349" s="1570"/>
    </row>
    <row r="350" spans="1:13" ht="30" customHeight="1" x14ac:dyDescent="0.2">
      <c r="A350" s="1572">
        <v>214</v>
      </c>
      <c r="B350" s="1570" t="s">
        <v>966</v>
      </c>
      <c r="C350" s="1541"/>
      <c r="D350" s="1521">
        <v>200000000</v>
      </c>
      <c r="E350" s="1569">
        <v>5.5E-2</v>
      </c>
      <c r="F350" s="1521">
        <f t="shared" si="24"/>
        <v>11000000</v>
      </c>
      <c r="G350" s="1521"/>
      <c r="H350" s="1521"/>
      <c r="I350" s="1549"/>
      <c r="J350" s="24" t="s">
        <v>1442</v>
      </c>
      <c r="K350" s="1521">
        <f t="shared" si="27"/>
        <v>0</v>
      </c>
      <c r="L350" s="1521">
        <f t="shared" si="28"/>
        <v>11000000</v>
      </c>
      <c r="M350" s="1570"/>
    </row>
    <row r="351" spans="1:13" ht="30" customHeight="1" x14ac:dyDescent="0.2">
      <c r="A351" s="1572">
        <v>215</v>
      </c>
      <c r="B351" s="1570" t="s">
        <v>77</v>
      </c>
      <c r="C351" s="1541"/>
      <c r="D351" s="1521">
        <v>70000000</v>
      </c>
      <c r="E351" s="1569">
        <v>0.05</v>
      </c>
      <c r="F351" s="1521">
        <f t="shared" si="24"/>
        <v>3500000</v>
      </c>
      <c r="G351" s="1521">
        <v>3500000</v>
      </c>
      <c r="H351" s="1521" t="s">
        <v>3362</v>
      </c>
      <c r="I351" s="1543" t="s">
        <v>3363</v>
      </c>
      <c r="J351" s="24" t="s">
        <v>1941</v>
      </c>
      <c r="K351" s="1521">
        <f t="shared" si="27"/>
        <v>3500000</v>
      </c>
      <c r="L351" s="1521">
        <f t="shared" si="28"/>
        <v>0</v>
      </c>
      <c r="M351" s="1570"/>
    </row>
    <row r="352" spans="1:13" ht="30" customHeight="1" x14ac:dyDescent="0.2">
      <c r="A352" s="1572">
        <v>216</v>
      </c>
      <c r="B352" s="1570" t="s">
        <v>78</v>
      </c>
      <c r="C352" s="1541" t="s">
        <v>916</v>
      </c>
      <c r="D352" s="1521">
        <v>250000000</v>
      </c>
      <c r="E352" s="1569">
        <v>4.4999999999999998E-2</v>
      </c>
      <c r="F352" s="1521">
        <f t="shared" si="24"/>
        <v>11250000</v>
      </c>
      <c r="G352" s="1521">
        <v>11250000</v>
      </c>
      <c r="H352" s="1521" t="s">
        <v>2790</v>
      </c>
      <c r="I352" s="1543" t="s">
        <v>2797</v>
      </c>
      <c r="J352" s="21" t="s">
        <v>1502</v>
      </c>
      <c r="K352" s="1521">
        <f t="shared" si="27"/>
        <v>11250000</v>
      </c>
      <c r="L352" s="1521">
        <f t="shared" si="28"/>
        <v>0</v>
      </c>
      <c r="M352" s="1570"/>
    </row>
    <row r="353" spans="1:13" ht="30" customHeight="1" x14ac:dyDescent="0.2">
      <c r="A353" s="1514">
        <v>217</v>
      </c>
      <c r="B353" s="1570" t="s">
        <v>80</v>
      </c>
      <c r="C353" s="1571"/>
      <c r="D353" s="1542">
        <v>160000000</v>
      </c>
      <c r="E353" s="1569">
        <v>0.05</v>
      </c>
      <c r="F353" s="1542">
        <f t="shared" si="24"/>
        <v>8000000</v>
      </c>
      <c r="G353" s="1542"/>
      <c r="H353" s="1542"/>
      <c r="I353" s="1581"/>
      <c r="J353" s="1582" t="s">
        <v>2628</v>
      </c>
      <c r="K353" s="1542">
        <f>G353</f>
        <v>0</v>
      </c>
      <c r="L353" s="1542">
        <f t="shared" si="28"/>
        <v>8000000</v>
      </c>
      <c r="M353" s="1526"/>
    </row>
    <row r="354" spans="1:13" ht="30" customHeight="1" x14ac:dyDescent="0.2">
      <c r="A354" s="1572">
        <v>218</v>
      </c>
      <c r="B354" s="1513" t="s">
        <v>81</v>
      </c>
      <c r="C354" s="1541"/>
      <c r="D354" s="1521">
        <v>45000000</v>
      </c>
      <c r="E354" s="1518">
        <v>0.04</v>
      </c>
      <c r="F354" s="1521">
        <f t="shared" si="24"/>
        <v>1800000</v>
      </c>
      <c r="G354" s="1521">
        <v>1800000</v>
      </c>
      <c r="H354" s="1521" t="s">
        <v>2790</v>
      </c>
      <c r="I354" s="1543" t="s">
        <v>2794</v>
      </c>
      <c r="J354" s="70" t="s">
        <v>1794</v>
      </c>
      <c r="K354" s="1521">
        <f>G354</f>
        <v>1800000</v>
      </c>
      <c r="L354" s="1521">
        <f t="shared" si="28"/>
        <v>0</v>
      </c>
      <c r="M354" s="1570"/>
    </row>
    <row r="355" spans="1:13" ht="30" customHeight="1" x14ac:dyDescent="0.2">
      <c r="A355" s="1572">
        <v>219</v>
      </c>
      <c r="B355" s="1570" t="s">
        <v>1903</v>
      </c>
      <c r="C355" s="1541"/>
      <c r="D355" s="1531"/>
      <c r="E355" s="44"/>
      <c r="F355" s="1531">
        <f t="shared" si="24"/>
        <v>0</v>
      </c>
      <c r="G355" s="1521"/>
      <c r="H355" s="1521"/>
      <c r="I355" s="1543"/>
      <c r="J355" s="24"/>
      <c r="K355" s="1521"/>
      <c r="L355" s="1531">
        <f t="shared" si="28"/>
        <v>0</v>
      </c>
      <c r="M355" s="1570"/>
    </row>
    <row r="356" spans="1:13" ht="30" customHeight="1" x14ac:dyDescent="0.2">
      <c r="A356" s="1572">
        <v>220</v>
      </c>
      <c r="B356" s="1567" t="s">
        <v>83</v>
      </c>
      <c r="C356" s="385"/>
      <c r="D356" s="1519">
        <v>203000000</v>
      </c>
      <c r="E356" s="1517">
        <v>0.05</v>
      </c>
      <c r="F356" s="1519">
        <f t="shared" si="24"/>
        <v>10150000</v>
      </c>
      <c r="G356" s="1521">
        <v>10150000</v>
      </c>
      <c r="H356" s="1521" t="s">
        <v>2823</v>
      </c>
      <c r="I356" s="1543" t="s">
        <v>2896</v>
      </c>
      <c r="J356" s="24" t="s">
        <v>2897</v>
      </c>
      <c r="K356" s="1519">
        <f>G356</f>
        <v>10150000</v>
      </c>
      <c r="L356" s="1519">
        <f t="shared" si="28"/>
        <v>0</v>
      </c>
      <c r="M356" s="1570"/>
    </row>
    <row r="357" spans="1:13" ht="30" customHeight="1" x14ac:dyDescent="0.2">
      <c r="A357" s="1572">
        <v>221</v>
      </c>
      <c r="B357" s="1567" t="s">
        <v>332</v>
      </c>
      <c r="C357" s="385"/>
      <c r="D357" s="1519">
        <v>275000000</v>
      </c>
      <c r="E357" s="1517">
        <v>4.2000000000000003E-2</v>
      </c>
      <c r="F357" s="1519">
        <f>D357*E357</f>
        <v>11550000</v>
      </c>
      <c r="G357" s="1520">
        <v>11550000</v>
      </c>
      <c r="H357" s="1520" t="s">
        <v>2790</v>
      </c>
      <c r="I357" s="1546" t="s">
        <v>2806</v>
      </c>
      <c r="J357" s="427" t="s">
        <v>1748</v>
      </c>
      <c r="K357" s="1519">
        <f>G357</f>
        <v>11550000</v>
      </c>
      <c r="L357" s="1519">
        <f t="shared" si="28"/>
        <v>0</v>
      </c>
      <c r="M357" s="1537"/>
    </row>
    <row r="358" spans="1:13" ht="30" customHeight="1" x14ac:dyDescent="0.2">
      <c r="A358" s="426">
        <v>222</v>
      </c>
      <c r="B358" s="3457" t="s">
        <v>1931</v>
      </c>
      <c r="C358" s="3570" t="s">
        <v>1342</v>
      </c>
      <c r="D358" s="3442">
        <v>700000000</v>
      </c>
      <c r="E358" s="3444">
        <v>0.06</v>
      </c>
      <c r="F358" s="3442">
        <f>D358*E358</f>
        <v>42000000</v>
      </c>
      <c r="G358" s="1542">
        <v>5000000</v>
      </c>
      <c r="H358" s="1542" t="s">
        <v>3440</v>
      </c>
      <c r="I358" s="1565" t="s">
        <v>3492</v>
      </c>
      <c r="J358" s="1566" t="s">
        <v>3493</v>
      </c>
      <c r="K358" s="1542">
        <f>G358</f>
        <v>5000000</v>
      </c>
      <c r="L358" s="1542">
        <f>F358-K358</f>
        <v>37000000</v>
      </c>
      <c r="M358" s="168" t="s">
        <v>3727</v>
      </c>
    </row>
    <row r="359" spans="1:13" ht="30" customHeight="1" x14ac:dyDescent="0.2">
      <c r="A359" s="1589"/>
      <c r="B359" s="3458"/>
      <c r="C359" s="3571"/>
      <c r="D359" s="3443"/>
      <c r="E359" s="3445"/>
      <c r="F359" s="3443"/>
      <c r="G359" s="1521"/>
      <c r="H359" s="1521"/>
      <c r="I359" s="1562"/>
      <c r="J359" s="24"/>
      <c r="K359" s="1521"/>
      <c r="L359" s="1521"/>
      <c r="M359" s="168"/>
    </row>
    <row r="360" spans="1:13" ht="30" customHeight="1" x14ac:dyDescent="0.2">
      <c r="A360" s="1516">
        <v>223</v>
      </c>
      <c r="B360" s="1513" t="s">
        <v>85</v>
      </c>
      <c r="C360" s="1541" t="s">
        <v>1746</v>
      </c>
      <c r="D360" s="1521">
        <v>100000000</v>
      </c>
      <c r="E360" s="1518">
        <v>0.05</v>
      </c>
      <c r="F360" s="1521">
        <f t="shared" si="24"/>
        <v>5000000</v>
      </c>
      <c r="G360" s="1521">
        <v>5000000</v>
      </c>
      <c r="H360" s="1521" t="s">
        <v>2823</v>
      </c>
      <c r="I360" s="1543" t="s">
        <v>2893</v>
      </c>
      <c r="J360" s="24" t="s">
        <v>1979</v>
      </c>
      <c r="K360" s="1521">
        <f>G360</f>
        <v>5000000</v>
      </c>
      <c r="L360" s="1521">
        <f t="shared" si="28"/>
        <v>0</v>
      </c>
      <c r="M360" s="1570"/>
    </row>
    <row r="361" spans="1:13" ht="30" customHeight="1" x14ac:dyDescent="0.2">
      <c r="A361" s="1572">
        <v>224</v>
      </c>
      <c r="B361" s="1570" t="s">
        <v>2757</v>
      </c>
      <c r="C361" s="1541"/>
      <c r="D361" s="1521">
        <v>10000000</v>
      </c>
      <c r="E361" s="1569">
        <v>0.05</v>
      </c>
      <c r="F361" s="1521">
        <f t="shared" si="24"/>
        <v>500000</v>
      </c>
      <c r="G361" s="1521">
        <v>500000</v>
      </c>
      <c r="H361" s="1521" t="s">
        <v>2337</v>
      </c>
      <c r="I361" s="1543" t="s">
        <v>2758</v>
      </c>
      <c r="J361" s="24" t="s">
        <v>362</v>
      </c>
      <c r="K361" s="1521">
        <f>G361</f>
        <v>500000</v>
      </c>
      <c r="L361" s="1521">
        <f t="shared" si="28"/>
        <v>0</v>
      </c>
      <c r="M361" s="1570"/>
    </row>
    <row r="362" spans="1:13" ht="30" customHeight="1" x14ac:dyDescent="0.2">
      <c r="A362" s="1572">
        <v>225</v>
      </c>
      <c r="B362" s="1570" t="s">
        <v>87</v>
      </c>
      <c r="C362" s="1541"/>
      <c r="D362" s="1531"/>
      <c r="E362" s="44"/>
      <c r="F362" s="1531">
        <f t="shared" si="24"/>
        <v>0</v>
      </c>
      <c r="G362" s="1521"/>
      <c r="H362" s="1521"/>
      <c r="I362" s="1543"/>
      <c r="J362" s="21"/>
      <c r="K362" s="1521"/>
      <c r="L362" s="1531">
        <f t="shared" si="28"/>
        <v>0</v>
      </c>
      <c r="M362" s="103" t="s">
        <v>733</v>
      </c>
    </row>
    <row r="363" spans="1:13" ht="30" customHeight="1" x14ac:dyDescent="0.2">
      <c r="A363" s="1516">
        <v>226</v>
      </c>
      <c r="B363" s="1568" t="s">
        <v>88</v>
      </c>
      <c r="C363" s="1541"/>
      <c r="D363" s="1542">
        <v>410000000</v>
      </c>
      <c r="E363" s="1569">
        <v>0.06</v>
      </c>
      <c r="F363" s="1542">
        <f>D363*E363</f>
        <v>24600000</v>
      </c>
      <c r="G363" s="3610" t="s">
        <v>2589</v>
      </c>
      <c r="H363" s="3611"/>
      <c r="I363" s="3611"/>
      <c r="J363" s="3611"/>
      <c r="K363" s="3612"/>
      <c r="L363" s="1521"/>
      <c r="M363" s="1523"/>
    </row>
    <row r="364" spans="1:13" ht="30" customHeight="1" x14ac:dyDescent="0.2">
      <c r="A364" s="1572">
        <v>227</v>
      </c>
      <c r="B364" s="1570" t="s">
        <v>89</v>
      </c>
      <c r="C364" s="1541" t="s">
        <v>916</v>
      </c>
      <c r="D364" s="1521">
        <v>20000000</v>
      </c>
      <c r="E364" s="1569">
        <v>0.05</v>
      </c>
      <c r="F364" s="1521">
        <f>D364*E364</f>
        <v>1000000</v>
      </c>
      <c r="G364" s="1521">
        <v>1000000</v>
      </c>
      <c r="H364" s="1521" t="s">
        <v>2711</v>
      </c>
      <c r="I364" s="1543" t="s">
        <v>2736</v>
      </c>
      <c r="J364" s="21" t="s">
        <v>1508</v>
      </c>
      <c r="K364" s="1521">
        <f t="shared" ref="K364:K394" si="29">G364</f>
        <v>1000000</v>
      </c>
      <c r="L364" s="1521">
        <f t="shared" si="28"/>
        <v>0</v>
      </c>
      <c r="M364" s="1570"/>
    </row>
    <row r="365" spans="1:13" ht="30" customHeight="1" x14ac:dyDescent="0.2">
      <c r="A365" s="1572">
        <v>228</v>
      </c>
      <c r="B365" s="1570" t="s">
        <v>90</v>
      </c>
      <c r="C365" s="1541" t="s">
        <v>1219</v>
      </c>
      <c r="D365" s="1521">
        <v>10000000</v>
      </c>
      <c r="E365" s="1569">
        <v>0.04</v>
      </c>
      <c r="F365" s="1521">
        <f t="shared" si="24"/>
        <v>400000</v>
      </c>
      <c r="G365" s="1521">
        <v>400000</v>
      </c>
      <c r="H365" s="1521" t="s">
        <v>3262</v>
      </c>
      <c r="I365" s="1543" t="s">
        <v>3265</v>
      </c>
      <c r="J365" s="30" t="s">
        <v>426</v>
      </c>
      <c r="K365" s="1521">
        <f t="shared" si="29"/>
        <v>400000</v>
      </c>
      <c r="L365" s="1521">
        <f t="shared" si="28"/>
        <v>0</v>
      </c>
      <c r="M365" s="1570"/>
    </row>
    <row r="366" spans="1:13" ht="30" customHeight="1" x14ac:dyDescent="0.2">
      <c r="A366" s="1572">
        <v>229</v>
      </c>
      <c r="B366" s="1570" t="s">
        <v>91</v>
      </c>
      <c r="C366" s="1541" t="s">
        <v>916</v>
      </c>
      <c r="D366" s="1521">
        <v>52000000</v>
      </c>
      <c r="E366" s="1569">
        <v>0.05</v>
      </c>
      <c r="F366" s="1521">
        <f t="shared" si="24"/>
        <v>2600000</v>
      </c>
      <c r="G366" s="1521">
        <v>2600000</v>
      </c>
      <c r="H366" s="1521" t="s">
        <v>2823</v>
      </c>
      <c r="I366" s="1543" t="s">
        <v>2885</v>
      </c>
      <c r="J366" s="24" t="s">
        <v>390</v>
      </c>
      <c r="K366" s="1521">
        <f t="shared" si="29"/>
        <v>2600000</v>
      </c>
      <c r="L366" s="1521">
        <f t="shared" si="28"/>
        <v>0</v>
      </c>
      <c r="M366" s="1570"/>
    </row>
    <row r="367" spans="1:13" ht="30" customHeight="1" x14ac:dyDescent="0.2">
      <c r="A367" s="1572">
        <v>230</v>
      </c>
      <c r="B367" s="3457" t="s">
        <v>92</v>
      </c>
      <c r="C367" s="1540" t="s">
        <v>1817</v>
      </c>
      <c r="D367" s="1521">
        <v>20000000</v>
      </c>
      <c r="E367" s="1569">
        <v>0.05</v>
      </c>
      <c r="F367" s="1521">
        <f t="shared" si="24"/>
        <v>1000000</v>
      </c>
      <c r="G367" s="1521">
        <v>1000000</v>
      </c>
      <c r="H367" s="1521" t="s">
        <v>2847</v>
      </c>
      <c r="I367" s="1543" t="s">
        <v>2917</v>
      </c>
      <c r="J367" s="24" t="s">
        <v>459</v>
      </c>
      <c r="K367" s="1521">
        <f t="shared" si="29"/>
        <v>1000000</v>
      </c>
      <c r="L367" s="1521">
        <f t="shared" si="28"/>
        <v>0</v>
      </c>
      <c r="M367" s="1570"/>
    </row>
    <row r="368" spans="1:13" ht="30" customHeight="1" x14ac:dyDescent="0.2">
      <c r="A368" s="1572"/>
      <c r="B368" s="3458"/>
      <c r="C368" s="756"/>
      <c r="D368" s="1521">
        <v>30000000</v>
      </c>
      <c r="E368" s="1569">
        <v>0.05</v>
      </c>
      <c r="F368" s="1521">
        <f t="shared" si="24"/>
        <v>1500000</v>
      </c>
      <c r="G368" s="3671" t="s">
        <v>3040</v>
      </c>
      <c r="H368" s="3672"/>
      <c r="I368" s="3672"/>
      <c r="J368" s="3672"/>
      <c r="K368" s="3673"/>
      <c r="L368" s="1521"/>
      <c r="M368" s="1570"/>
    </row>
    <row r="369" spans="1:15" ht="30" customHeight="1" x14ac:dyDescent="0.2">
      <c r="A369" s="1572">
        <v>231</v>
      </c>
      <c r="B369" s="1570" t="s">
        <v>93</v>
      </c>
      <c r="C369" s="1541" t="s">
        <v>1110</v>
      </c>
      <c r="D369" s="1521">
        <v>30000000</v>
      </c>
      <c r="E369" s="1569">
        <v>4.4999999999999998E-2</v>
      </c>
      <c r="F369" s="1521">
        <f t="shared" si="24"/>
        <v>1350000</v>
      </c>
      <c r="G369" s="1521">
        <v>1350000</v>
      </c>
      <c r="H369" s="1521" t="s">
        <v>2790</v>
      </c>
      <c r="I369" s="1543" t="s">
        <v>2803</v>
      </c>
      <c r="J369" s="30" t="s">
        <v>1846</v>
      </c>
      <c r="K369" s="1521">
        <f t="shared" si="29"/>
        <v>1350000</v>
      </c>
      <c r="L369" s="1521">
        <f t="shared" si="28"/>
        <v>0</v>
      </c>
      <c r="M369" s="1570"/>
    </row>
    <row r="370" spans="1:15" ht="30" customHeight="1" x14ac:dyDescent="0.2">
      <c r="A370" s="1572">
        <v>232</v>
      </c>
      <c r="B370" s="1570" t="s">
        <v>1695</v>
      </c>
      <c r="C370" s="1541" t="s">
        <v>1215</v>
      </c>
      <c r="D370" s="1521">
        <v>55000000</v>
      </c>
      <c r="E370" s="1569">
        <v>0.04</v>
      </c>
      <c r="F370" s="1521">
        <f t="shared" si="24"/>
        <v>2200000</v>
      </c>
      <c r="G370" s="1521">
        <v>2200000</v>
      </c>
      <c r="H370" s="1521" t="s">
        <v>2711</v>
      </c>
      <c r="I370" s="1543" t="s">
        <v>2712</v>
      </c>
      <c r="J370" s="24" t="s">
        <v>1697</v>
      </c>
      <c r="K370" s="1521">
        <f t="shared" si="29"/>
        <v>2200000</v>
      </c>
      <c r="L370" s="1521">
        <f t="shared" si="28"/>
        <v>0</v>
      </c>
      <c r="M370" s="1570"/>
    </row>
    <row r="371" spans="1:15" ht="30" customHeight="1" x14ac:dyDescent="0.2">
      <c r="A371" s="1572">
        <v>233</v>
      </c>
      <c r="B371" s="1570" t="s">
        <v>280</v>
      </c>
      <c r="C371" s="1541" t="s">
        <v>380</v>
      </c>
      <c r="D371" s="1521">
        <v>50000000</v>
      </c>
      <c r="E371" s="1569">
        <v>0.05</v>
      </c>
      <c r="F371" s="1521">
        <f t="shared" si="24"/>
        <v>2500000</v>
      </c>
      <c r="G371" s="1521">
        <v>2500000</v>
      </c>
      <c r="H371" s="1521" t="s">
        <v>2937</v>
      </c>
      <c r="I371" s="1543" t="s">
        <v>2950</v>
      </c>
      <c r="J371" s="24" t="s">
        <v>1987</v>
      </c>
      <c r="K371" s="1521">
        <f t="shared" si="29"/>
        <v>2500000</v>
      </c>
      <c r="L371" s="1521">
        <f t="shared" si="28"/>
        <v>0</v>
      </c>
      <c r="M371" s="170" t="s">
        <v>279</v>
      </c>
    </row>
    <row r="372" spans="1:15" ht="30" customHeight="1" x14ac:dyDescent="0.2">
      <c r="A372" s="1572">
        <v>234</v>
      </c>
      <c r="B372" s="1567" t="s">
        <v>95</v>
      </c>
      <c r="C372" s="421"/>
      <c r="D372" s="1534"/>
      <c r="E372" s="44"/>
      <c r="F372" s="1542">
        <v>21000000</v>
      </c>
      <c r="G372" s="1542">
        <v>21000000</v>
      </c>
      <c r="H372" s="1542" t="s">
        <v>2036</v>
      </c>
      <c r="I372" s="1565" t="s">
        <v>2995</v>
      </c>
      <c r="J372" s="1566" t="s">
        <v>518</v>
      </c>
      <c r="K372" s="1542">
        <f t="shared" si="29"/>
        <v>21000000</v>
      </c>
      <c r="L372" s="1521">
        <f t="shared" si="28"/>
        <v>0</v>
      </c>
      <c r="M372" s="1559"/>
    </row>
    <row r="373" spans="1:15" ht="30" customHeight="1" x14ac:dyDescent="0.2">
      <c r="A373" s="1572">
        <v>235</v>
      </c>
      <c r="B373" s="1570" t="s">
        <v>96</v>
      </c>
      <c r="C373" s="1541" t="s">
        <v>1215</v>
      </c>
      <c r="D373" s="1521">
        <v>50000000</v>
      </c>
      <c r="E373" s="1518">
        <v>0.04</v>
      </c>
      <c r="F373" s="1521">
        <f t="shared" si="24"/>
        <v>2000000</v>
      </c>
      <c r="G373" s="1521">
        <v>2000000</v>
      </c>
      <c r="H373" s="1521" t="s">
        <v>2036</v>
      </c>
      <c r="I373" s="1543" t="s">
        <v>2977</v>
      </c>
      <c r="J373" s="24" t="s">
        <v>2978</v>
      </c>
      <c r="K373" s="1521">
        <f t="shared" si="29"/>
        <v>2000000</v>
      </c>
      <c r="L373" s="1521">
        <f t="shared" si="28"/>
        <v>0</v>
      </c>
      <c r="M373" s="1570"/>
    </row>
    <row r="374" spans="1:15" ht="30" customHeight="1" x14ac:dyDescent="0.2">
      <c r="A374" s="1572">
        <v>236</v>
      </c>
      <c r="B374" s="1570" t="s">
        <v>97</v>
      </c>
      <c r="C374" s="1541"/>
      <c r="D374" s="1521">
        <v>37000000</v>
      </c>
      <c r="E374" s="1569">
        <v>4.1000000000000002E-2</v>
      </c>
      <c r="F374" s="1521">
        <v>1500000</v>
      </c>
      <c r="G374" s="1521"/>
      <c r="H374" s="1521"/>
      <c r="I374" s="1543"/>
      <c r="J374" s="1545" t="s">
        <v>340</v>
      </c>
      <c r="K374" s="1521">
        <f t="shared" si="29"/>
        <v>0</v>
      </c>
      <c r="L374" s="1521">
        <f t="shared" si="28"/>
        <v>1500000</v>
      </c>
      <c r="M374" s="1570"/>
    </row>
    <row r="375" spans="1:15" ht="30" customHeight="1" x14ac:dyDescent="0.2">
      <c r="A375" s="1572">
        <v>237</v>
      </c>
      <c r="B375" s="1570" t="s">
        <v>98</v>
      </c>
      <c r="C375" s="1541" t="s">
        <v>1817</v>
      </c>
      <c r="D375" s="1521">
        <v>62500000</v>
      </c>
      <c r="E375" s="1569">
        <v>4.8000000000000001E-2</v>
      </c>
      <c r="F375" s="1521">
        <f t="shared" si="24"/>
        <v>3000000</v>
      </c>
      <c r="G375" s="1521">
        <v>3000000</v>
      </c>
      <c r="H375" s="1521" t="s">
        <v>2847</v>
      </c>
      <c r="I375" s="1543" t="s">
        <v>2919</v>
      </c>
      <c r="J375" s="24" t="s">
        <v>2280</v>
      </c>
      <c r="K375" s="1521">
        <f t="shared" si="29"/>
        <v>3000000</v>
      </c>
      <c r="L375" s="1521">
        <f t="shared" si="28"/>
        <v>0</v>
      </c>
      <c r="M375" s="1570"/>
    </row>
    <row r="376" spans="1:15" ht="30" customHeight="1" x14ac:dyDescent="0.2">
      <c r="A376" s="1572">
        <v>238</v>
      </c>
      <c r="B376" s="1570" t="s">
        <v>99</v>
      </c>
      <c r="C376" s="1541" t="s">
        <v>1219</v>
      </c>
      <c r="D376" s="1521">
        <v>100000000</v>
      </c>
      <c r="E376" s="1569">
        <v>0.05</v>
      </c>
      <c r="F376" s="1521">
        <f t="shared" si="24"/>
        <v>5000000</v>
      </c>
      <c r="G376" s="1521">
        <v>5000000</v>
      </c>
      <c r="H376" s="1521" t="s">
        <v>2937</v>
      </c>
      <c r="I376" s="21">
        <v>1.4010512054203199E+19</v>
      </c>
      <c r="J376" s="21" t="s">
        <v>306</v>
      </c>
      <c r="K376" s="1521">
        <f t="shared" si="29"/>
        <v>5000000</v>
      </c>
      <c r="L376" s="1521">
        <f t="shared" si="28"/>
        <v>0</v>
      </c>
      <c r="M376" s="1570"/>
    </row>
    <row r="377" spans="1:15" ht="30" customHeight="1" x14ac:dyDescent="0.2">
      <c r="A377" s="1572">
        <v>239</v>
      </c>
      <c r="B377" s="1570" t="s">
        <v>100</v>
      </c>
      <c r="C377" s="1541" t="s">
        <v>380</v>
      </c>
      <c r="D377" s="1521">
        <v>50000000</v>
      </c>
      <c r="E377" s="1569">
        <v>0.05</v>
      </c>
      <c r="F377" s="1521">
        <f t="shared" si="24"/>
        <v>2500000</v>
      </c>
      <c r="G377" s="1521">
        <v>2500000</v>
      </c>
      <c r="H377" s="1521" t="s">
        <v>3012</v>
      </c>
      <c r="I377" s="1543" t="s">
        <v>3096</v>
      </c>
      <c r="J377" s="24" t="s">
        <v>1996</v>
      </c>
      <c r="K377" s="1521">
        <f t="shared" si="29"/>
        <v>2500000</v>
      </c>
      <c r="L377" s="1521">
        <f t="shared" si="28"/>
        <v>0</v>
      </c>
      <c r="M377" s="1570"/>
    </row>
    <row r="378" spans="1:15" ht="30" customHeight="1" x14ac:dyDescent="0.2">
      <c r="A378" s="1514">
        <v>240</v>
      </c>
      <c r="B378" s="1567" t="s">
        <v>2404</v>
      </c>
      <c r="C378" s="385" t="s">
        <v>1019</v>
      </c>
      <c r="D378" s="1519">
        <v>100000000</v>
      </c>
      <c r="E378" s="1517">
        <v>0.04</v>
      </c>
      <c r="F378" s="1519">
        <f t="shared" si="24"/>
        <v>4000000</v>
      </c>
      <c r="G378" s="1521">
        <v>4000000</v>
      </c>
      <c r="H378" s="1521" t="s">
        <v>3362</v>
      </c>
      <c r="I378" s="1543" t="s">
        <v>3376</v>
      </c>
      <c r="J378" s="24" t="s">
        <v>3377</v>
      </c>
      <c r="K378" s="1521">
        <f t="shared" si="29"/>
        <v>4000000</v>
      </c>
      <c r="L378" s="1521">
        <f t="shared" si="28"/>
        <v>0</v>
      </c>
      <c r="M378" s="103"/>
    </row>
    <row r="379" spans="1:15" ht="30" customHeight="1" x14ac:dyDescent="0.2">
      <c r="A379" s="3693">
        <v>241</v>
      </c>
      <c r="B379" s="3687" t="s">
        <v>573</v>
      </c>
      <c r="C379" s="3686" t="s">
        <v>1378</v>
      </c>
      <c r="D379" s="1542">
        <v>20000000</v>
      </c>
      <c r="E379" s="1569">
        <v>7.0000000000000007E-2</v>
      </c>
      <c r="F379" s="1542">
        <f>D379*E379</f>
        <v>1400000.0000000002</v>
      </c>
      <c r="G379" s="3442">
        <v>2300000</v>
      </c>
      <c r="H379" s="3442" t="s">
        <v>3324</v>
      </c>
      <c r="I379" s="3577" t="s">
        <v>3341</v>
      </c>
      <c r="J379" s="102" t="s">
        <v>571</v>
      </c>
      <c r="K379" s="3442">
        <f t="shared" si="29"/>
        <v>2300000</v>
      </c>
      <c r="L379" s="3442">
        <f>(F379+F380)-K379</f>
        <v>0</v>
      </c>
      <c r="M379" s="3653"/>
    </row>
    <row r="380" spans="1:15" ht="30" customHeight="1" x14ac:dyDescent="0.2">
      <c r="A380" s="3693"/>
      <c r="B380" s="3687"/>
      <c r="C380" s="3686"/>
      <c r="D380" s="1542">
        <v>10000000</v>
      </c>
      <c r="E380" s="1569">
        <v>0.09</v>
      </c>
      <c r="F380" s="1542">
        <f>D380*E380</f>
        <v>900000</v>
      </c>
      <c r="G380" s="3443"/>
      <c r="H380" s="3443"/>
      <c r="I380" s="3578"/>
      <c r="J380" s="102" t="s">
        <v>571</v>
      </c>
      <c r="K380" s="3443"/>
      <c r="L380" s="3443"/>
      <c r="M380" s="3453"/>
    </row>
    <row r="381" spans="1:15" ht="30" customHeight="1" x14ac:dyDescent="0.2">
      <c r="A381" s="1572">
        <v>242</v>
      </c>
      <c r="B381" s="1570" t="s">
        <v>102</v>
      </c>
      <c r="C381" s="1541"/>
      <c r="D381" s="1521">
        <v>140000000</v>
      </c>
      <c r="E381" s="1518">
        <v>4.4999999999999998E-2</v>
      </c>
      <c r="F381" s="1521">
        <f t="shared" si="24"/>
        <v>6300000</v>
      </c>
      <c r="G381" s="1521">
        <v>6300000</v>
      </c>
      <c r="H381" s="1521" t="s">
        <v>2790</v>
      </c>
      <c r="I381" s="1543" t="s">
        <v>2804</v>
      </c>
      <c r="J381" s="24" t="s">
        <v>1759</v>
      </c>
      <c r="K381" s="1521">
        <f t="shared" si="29"/>
        <v>6300000</v>
      </c>
      <c r="L381" s="1521">
        <f t="shared" si="28"/>
        <v>0</v>
      </c>
      <c r="M381" s="2178"/>
    </row>
    <row r="382" spans="1:15" ht="30" customHeight="1" x14ac:dyDescent="0.2">
      <c r="A382" s="1572">
        <v>243</v>
      </c>
      <c r="B382" s="22" t="s">
        <v>519</v>
      </c>
      <c r="C382" s="1571" t="s">
        <v>265</v>
      </c>
      <c r="D382" s="1542">
        <v>20000000</v>
      </c>
      <c r="E382" s="1569">
        <v>0.04</v>
      </c>
      <c r="F382" s="1542">
        <f>D382*E382</f>
        <v>800000</v>
      </c>
      <c r="G382" s="1542">
        <v>1000000</v>
      </c>
      <c r="H382" s="1542" t="s">
        <v>2036</v>
      </c>
      <c r="I382" s="1542">
        <v>659348823335</v>
      </c>
      <c r="J382" s="1542" t="s">
        <v>2012</v>
      </c>
      <c r="K382" s="1542">
        <f t="shared" si="29"/>
        <v>1000000</v>
      </c>
      <c r="L382" s="1542">
        <f>F382-K382</f>
        <v>-200000</v>
      </c>
      <c r="M382" s="103"/>
      <c r="N382" s="264"/>
      <c r="O382" s="264"/>
    </row>
    <row r="383" spans="1:15" ht="30" customHeight="1" x14ac:dyDescent="0.2">
      <c r="A383" s="1572">
        <v>244</v>
      </c>
      <c r="B383" s="1513" t="s">
        <v>103</v>
      </c>
      <c r="C383" s="1541"/>
      <c r="D383" s="1521">
        <v>50000000</v>
      </c>
      <c r="E383" s="1569">
        <v>0.05</v>
      </c>
      <c r="F383" s="1521">
        <f t="shared" ref="F383:F401" si="30">D383*E383</f>
        <v>2500000</v>
      </c>
      <c r="G383" s="1521">
        <v>2500000</v>
      </c>
      <c r="H383" s="1521" t="s">
        <v>3051</v>
      </c>
      <c r="I383" s="1543" t="s">
        <v>3059</v>
      </c>
      <c r="J383" s="24" t="s">
        <v>310</v>
      </c>
      <c r="K383" s="1521">
        <f t="shared" si="29"/>
        <v>2500000</v>
      </c>
      <c r="L383" s="1521">
        <f t="shared" si="28"/>
        <v>0</v>
      </c>
      <c r="M383" s="1570"/>
    </row>
    <row r="384" spans="1:15" ht="30" customHeight="1" x14ac:dyDescent="0.2">
      <c r="A384" s="1572">
        <v>245</v>
      </c>
      <c r="B384" s="1570" t="s">
        <v>4198</v>
      </c>
      <c r="C384" s="1541" t="s">
        <v>265</v>
      </c>
      <c r="D384" s="1521">
        <v>60000000</v>
      </c>
      <c r="E384" s="1569">
        <v>0.05</v>
      </c>
      <c r="F384" s="1521">
        <f t="shared" si="30"/>
        <v>3000000</v>
      </c>
      <c r="G384" s="1521">
        <v>3000000</v>
      </c>
      <c r="H384" s="1521" t="s">
        <v>2847</v>
      </c>
      <c r="I384" s="1543" t="s">
        <v>2918</v>
      </c>
      <c r="J384" s="1544" t="s">
        <v>2046</v>
      </c>
      <c r="K384" s="1521">
        <f t="shared" si="29"/>
        <v>3000000</v>
      </c>
      <c r="L384" s="1521">
        <f t="shared" si="28"/>
        <v>0</v>
      </c>
      <c r="M384" s="1570"/>
    </row>
    <row r="385" spans="1:16" ht="30" customHeight="1" x14ac:dyDescent="0.2">
      <c r="A385" s="1572">
        <v>246</v>
      </c>
      <c r="B385" s="1570" t="s">
        <v>105</v>
      </c>
      <c r="C385" s="1541" t="s">
        <v>265</v>
      </c>
      <c r="D385" s="1521">
        <v>85000000</v>
      </c>
      <c r="E385" s="1569">
        <v>5.0999999999999997E-2</v>
      </c>
      <c r="F385" s="1521">
        <v>4300000</v>
      </c>
      <c r="G385" s="1521">
        <v>4300000</v>
      </c>
      <c r="H385" s="1521" t="s">
        <v>2036</v>
      </c>
      <c r="I385" s="1543" t="s">
        <v>2997</v>
      </c>
      <c r="J385" s="31" t="s">
        <v>2998</v>
      </c>
      <c r="K385" s="1521">
        <f t="shared" si="29"/>
        <v>4300000</v>
      </c>
      <c r="L385" s="1521">
        <f t="shared" si="28"/>
        <v>0</v>
      </c>
      <c r="M385" s="1570"/>
    </row>
    <row r="386" spans="1:16" ht="30" customHeight="1" x14ac:dyDescent="0.2">
      <c r="A386" s="1572">
        <v>247</v>
      </c>
      <c r="B386" s="1570" t="s">
        <v>106</v>
      </c>
      <c r="C386" s="1541"/>
      <c r="D386" s="1521">
        <v>220000000</v>
      </c>
      <c r="E386" s="1569">
        <v>7.0000000000000007E-2</v>
      </c>
      <c r="F386" s="1521">
        <f t="shared" si="30"/>
        <v>15400000.000000002</v>
      </c>
      <c r="G386" s="1521">
        <v>15400000</v>
      </c>
      <c r="H386" s="1521" t="s">
        <v>3010</v>
      </c>
      <c r="I386" s="1549" t="s">
        <v>3086</v>
      </c>
      <c r="J386" s="24" t="s">
        <v>1882</v>
      </c>
      <c r="K386" s="1521">
        <f t="shared" si="29"/>
        <v>15400000</v>
      </c>
      <c r="L386" s="1521">
        <f t="shared" si="28"/>
        <v>0</v>
      </c>
      <c r="M386" s="103" t="s">
        <v>347</v>
      </c>
      <c r="N386" s="911"/>
      <c r="O386" s="912"/>
    </row>
    <row r="387" spans="1:16" ht="30" customHeight="1" x14ac:dyDescent="0.2">
      <c r="A387" s="1572">
        <v>248</v>
      </c>
      <c r="B387" s="1570" t="s">
        <v>107</v>
      </c>
      <c r="C387" s="1541" t="s">
        <v>1215</v>
      </c>
      <c r="D387" s="1521">
        <v>95000000</v>
      </c>
      <c r="E387" s="1569">
        <v>4.4999999999999998E-2</v>
      </c>
      <c r="F387" s="1521">
        <v>4000000</v>
      </c>
      <c r="G387" s="1521">
        <v>4000000</v>
      </c>
      <c r="H387" s="1521" t="s">
        <v>2847</v>
      </c>
      <c r="I387" s="1543" t="s">
        <v>2927</v>
      </c>
      <c r="J387" s="24" t="s">
        <v>2928</v>
      </c>
      <c r="K387" s="1521">
        <f t="shared" si="29"/>
        <v>4000000</v>
      </c>
      <c r="L387" s="1521">
        <f t="shared" si="28"/>
        <v>0</v>
      </c>
      <c r="M387" s="1570"/>
    </row>
    <row r="388" spans="1:16" ht="30" customHeight="1" x14ac:dyDescent="0.2">
      <c r="A388" s="1572">
        <v>249</v>
      </c>
      <c r="B388" s="1570" t="s">
        <v>108</v>
      </c>
      <c r="C388" s="1541" t="s">
        <v>265</v>
      </c>
      <c r="D388" s="1521">
        <v>10000000</v>
      </c>
      <c r="E388" s="1569">
        <v>0.05</v>
      </c>
      <c r="F388" s="1521">
        <f t="shared" si="30"/>
        <v>500000</v>
      </c>
      <c r="G388" s="1521">
        <v>500000</v>
      </c>
      <c r="H388" s="1521" t="s">
        <v>3032</v>
      </c>
      <c r="I388" s="1543" t="s">
        <v>3132</v>
      </c>
      <c r="J388" s="30" t="s">
        <v>413</v>
      </c>
      <c r="K388" s="1521">
        <f t="shared" si="29"/>
        <v>500000</v>
      </c>
      <c r="L388" s="1521">
        <f t="shared" si="28"/>
        <v>0</v>
      </c>
      <c r="M388" s="1570"/>
    </row>
    <row r="389" spans="1:16" ht="30" customHeight="1" x14ac:dyDescent="0.2">
      <c r="A389" s="1572">
        <v>250</v>
      </c>
      <c r="B389" s="1570" t="s">
        <v>109</v>
      </c>
      <c r="C389" s="1541"/>
      <c r="D389" s="1521">
        <v>200000000</v>
      </c>
      <c r="E389" s="1569">
        <v>0.04</v>
      </c>
      <c r="F389" s="1521">
        <f t="shared" si="30"/>
        <v>8000000</v>
      </c>
      <c r="G389" s="1521">
        <v>8000000</v>
      </c>
      <c r="H389" s="1521" t="s">
        <v>2808</v>
      </c>
      <c r="I389" s="1562" t="s">
        <v>2837</v>
      </c>
      <c r="J389" s="1562" t="s">
        <v>2838</v>
      </c>
      <c r="K389" s="1521">
        <f t="shared" si="29"/>
        <v>8000000</v>
      </c>
      <c r="L389" s="1521">
        <f t="shared" si="28"/>
        <v>0</v>
      </c>
      <c r="M389" s="1570"/>
    </row>
    <row r="390" spans="1:16" ht="30" customHeight="1" x14ac:dyDescent="0.2">
      <c r="A390" s="3091">
        <v>251</v>
      </c>
      <c r="B390" s="3100" t="s">
        <v>1944</v>
      </c>
      <c r="C390" s="3094" t="s">
        <v>379</v>
      </c>
      <c r="D390" s="3092">
        <v>90000000</v>
      </c>
      <c r="E390" s="3101">
        <v>0.06</v>
      </c>
      <c r="F390" s="3092">
        <f t="shared" si="30"/>
        <v>5400000</v>
      </c>
      <c r="G390" s="3092">
        <v>5400000</v>
      </c>
      <c r="H390" s="3092" t="s">
        <v>2036</v>
      </c>
      <c r="I390" s="3096" t="s">
        <v>2971</v>
      </c>
      <c r="J390" s="24" t="s">
        <v>2972</v>
      </c>
      <c r="K390" s="3092">
        <f t="shared" si="29"/>
        <v>5400000</v>
      </c>
      <c r="L390" s="3092">
        <f t="shared" si="28"/>
        <v>0</v>
      </c>
      <c r="M390" s="1570"/>
    </row>
    <row r="391" spans="1:16" ht="30" customHeight="1" x14ac:dyDescent="0.2">
      <c r="A391" s="1572">
        <v>252</v>
      </c>
      <c r="B391" s="3103" t="s">
        <v>111</v>
      </c>
      <c r="C391" s="3102"/>
      <c r="D391" s="1521">
        <v>270000000</v>
      </c>
      <c r="E391" s="1569">
        <v>0.05</v>
      </c>
      <c r="F391" s="1521">
        <f>D391*E391</f>
        <v>13500000</v>
      </c>
      <c r="G391" s="1521">
        <v>13500000</v>
      </c>
      <c r="H391" s="1521" t="s">
        <v>2847</v>
      </c>
      <c r="I391" s="1549" t="s">
        <v>2930</v>
      </c>
      <c r="J391" s="24" t="s">
        <v>1923</v>
      </c>
      <c r="K391" s="1521">
        <f t="shared" si="29"/>
        <v>13500000</v>
      </c>
      <c r="L391" s="1521">
        <f t="shared" si="28"/>
        <v>0</v>
      </c>
      <c r="M391" s="1511"/>
    </row>
    <row r="392" spans="1:16" ht="30" customHeight="1" x14ac:dyDescent="0.2">
      <c r="A392" s="3450">
        <v>253</v>
      </c>
      <c r="B392" s="3457" t="s">
        <v>112</v>
      </c>
      <c r="C392" s="3570" t="s">
        <v>265</v>
      </c>
      <c r="D392" s="1521">
        <v>20000000</v>
      </c>
      <c r="E392" s="1569">
        <v>0.05</v>
      </c>
      <c r="F392" s="1521">
        <f t="shared" si="30"/>
        <v>1000000</v>
      </c>
      <c r="G392" s="3442">
        <v>2000000</v>
      </c>
      <c r="H392" s="3442" t="s">
        <v>2847</v>
      </c>
      <c r="I392" s="3577" t="s">
        <v>2923</v>
      </c>
      <c r="J392" s="3589" t="s">
        <v>836</v>
      </c>
      <c r="K392" s="3442">
        <f t="shared" si="29"/>
        <v>2000000</v>
      </c>
      <c r="L392" s="3442">
        <f>(F392+F393)-K392</f>
        <v>0</v>
      </c>
      <c r="M392" s="1570" t="s">
        <v>1975</v>
      </c>
      <c r="N392" s="1228"/>
      <c r="O392" s="1228"/>
      <c r="P392" s="1228"/>
    </row>
    <row r="393" spans="1:16" ht="30" customHeight="1" x14ac:dyDescent="0.2">
      <c r="A393" s="3451"/>
      <c r="B393" s="3458"/>
      <c r="C393" s="3571"/>
      <c r="D393" s="1521">
        <v>20000000</v>
      </c>
      <c r="E393" s="1569">
        <v>0.05</v>
      </c>
      <c r="F393" s="1521">
        <f t="shared" si="30"/>
        <v>1000000</v>
      </c>
      <c r="G393" s="3443"/>
      <c r="H393" s="3443"/>
      <c r="I393" s="3578"/>
      <c r="J393" s="3591"/>
      <c r="K393" s="3443"/>
      <c r="L393" s="3443"/>
      <c r="M393" s="1227" t="s">
        <v>1989</v>
      </c>
      <c r="N393" s="264"/>
      <c r="O393" s="264"/>
      <c r="P393" s="264"/>
    </row>
    <row r="394" spans="1:16" ht="30" customHeight="1" x14ac:dyDescent="0.2">
      <c r="A394" s="426">
        <v>254</v>
      </c>
      <c r="B394" s="1567" t="s">
        <v>2013</v>
      </c>
      <c r="C394" s="1571"/>
      <c r="D394" s="1521">
        <v>195000000</v>
      </c>
      <c r="E394" s="1569">
        <v>0.05</v>
      </c>
      <c r="F394" s="1521">
        <f t="shared" si="30"/>
        <v>9750000</v>
      </c>
      <c r="G394" s="1542">
        <v>9750000</v>
      </c>
      <c r="H394" s="1542" t="s">
        <v>3051</v>
      </c>
      <c r="I394" s="1542">
        <v>105141609378571</v>
      </c>
      <c r="J394" s="1542" t="s">
        <v>3081</v>
      </c>
      <c r="K394" s="1521">
        <f t="shared" si="29"/>
        <v>9750000</v>
      </c>
      <c r="L394" s="1521">
        <f>F394-K394</f>
        <v>0</v>
      </c>
      <c r="M394" s="3610" t="s">
        <v>2329</v>
      </c>
      <c r="N394" s="3611"/>
      <c r="O394" s="3611"/>
      <c r="P394" s="3611"/>
    </row>
    <row r="395" spans="1:16" ht="30" customHeight="1" x14ac:dyDescent="0.2">
      <c r="A395" s="1572">
        <v>255</v>
      </c>
      <c r="B395" s="1570" t="s">
        <v>115</v>
      </c>
      <c r="C395" s="1541" t="s">
        <v>265</v>
      </c>
      <c r="D395" s="1521">
        <v>40000000</v>
      </c>
      <c r="E395" s="1569">
        <v>0.05</v>
      </c>
      <c r="F395" s="1521">
        <f t="shared" si="30"/>
        <v>2000000</v>
      </c>
      <c r="G395" s="1521">
        <v>2000000</v>
      </c>
      <c r="H395" s="1521" t="s">
        <v>3012</v>
      </c>
      <c r="I395" s="1543" t="s">
        <v>3095</v>
      </c>
      <c r="J395" s="21" t="s">
        <v>349</v>
      </c>
      <c r="K395" s="1521">
        <f>G395</f>
        <v>2000000</v>
      </c>
      <c r="L395" s="1521">
        <f t="shared" si="28"/>
        <v>0</v>
      </c>
      <c r="M395" s="1570"/>
    </row>
    <row r="396" spans="1:16" ht="30" customHeight="1" x14ac:dyDescent="0.2">
      <c r="A396" s="1572">
        <v>256</v>
      </c>
      <c r="B396" s="1570" t="s">
        <v>116</v>
      </c>
      <c r="C396" s="1541" t="s">
        <v>379</v>
      </c>
      <c r="D396" s="1521">
        <v>100000000</v>
      </c>
      <c r="E396" s="1569">
        <v>0.05</v>
      </c>
      <c r="F396" s="1521">
        <f t="shared" si="30"/>
        <v>5000000</v>
      </c>
      <c r="G396" s="1521">
        <v>5000000</v>
      </c>
      <c r="H396" s="1521" t="s">
        <v>2937</v>
      </c>
      <c r="I396" s="1543" t="s">
        <v>2945</v>
      </c>
      <c r="J396" s="21" t="s">
        <v>1943</v>
      </c>
      <c r="K396" s="1521">
        <f>G396</f>
        <v>5000000</v>
      </c>
      <c r="L396" s="1521">
        <f t="shared" si="28"/>
        <v>0</v>
      </c>
      <c r="M396" s="1570"/>
    </row>
    <row r="397" spans="1:16" ht="30" customHeight="1" x14ac:dyDescent="0.2">
      <c r="A397" s="1572">
        <v>257</v>
      </c>
      <c r="B397" s="1570" t="s">
        <v>117</v>
      </c>
      <c r="C397" s="1541" t="s">
        <v>1347</v>
      </c>
      <c r="D397" s="1521">
        <v>30000000</v>
      </c>
      <c r="E397" s="1569">
        <v>0.05</v>
      </c>
      <c r="F397" s="1521">
        <f t="shared" si="30"/>
        <v>1500000</v>
      </c>
      <c r="G397" s="1521">
        <v>1500000</v>
      </c>
      <c r="H397" s="1521" t="s">
        <v>3100</v>
      </c>
      <c r="I397" s="1543" t="s">
        <v>3110</v>
      </c>
      <c r="J397" s="24" t="s">
        <v>3111</v>
      </c>
      <c r="K397" s="1521">
        <f>G397</f>
        <v>1500000</v>
      </c>
      <c r="L397" s="1521">
        <f t="shared" si="28"/>
        <v>0</v>
      </c>
      <c r="M397" s="1570"/>
    </row>
    <row r="398" spans="1:16" ht="30" customHeight="1" x14ac:dyDescent="0.2">
      <c r="A398" s="1572">
        <v>258</v>
      </c>
      <c r="B398" s="1570" t="s">
        <v>876</v>
      </c>
      <c r="C398" s="1541" t="s">
        <v>265</v>
      </c>
      <c r="D398" s="1521">
        <v>12000000</v>
      </c>
      <c r="E398" s="1569">
        <v>0.05</v>
      </c>
      <c r="F398" s="1521">
        <f t="shared" si="30"/>
        <v>600000</v>
      </c>
      <c r="G398" s="3442">
        <v>1600000</v>
      </c>
      <c r="H398" s="3442" t="s">
        <v>3100</v>
      </c>
      <c r="I398" s="3577" t="s">
        <v>3116</v>
      </c>
      <c r="J398" s="3586" t="s">
        <v>485</v>
      </c>
      <c r="K398" s="3442">
        <f>G398</f>
        <v>1600000</v>
      </c>
      <c r="L398" s="3442">
        <f>(F398+F399)-K398</f>
        <v>0</v>
      </c>
      <c r="M398" s="3525"/>
    </row>
    <row r="399" spans="1:16" ht="30" customHeight="1" x14ac:dyDescent="0.2">
      <c r="A399" s="1572">
        <v>259</v>
      </c>
      <c r="B399" s="1570" t="s">
        <v>159</v>
      </c>
      <c r="C399" s="1541" t="s">
        <v>265</v>
      </c>
      <c r="D399" s="1521">
        <v>20000000</v>
      </c>
      <c r="E399" s="1569">
        <v>0.05</v>
      </c>
      <c r="F399" s="1521">
        <f>D399*E399</f>
        <v>1000000</v>
      </c>
      <c r="G399" s="3443"/>
      <c r="H399" s="3443"/>
      <c r="I399" s="3578"/>
      <c r="J399" s="3587"/>
      <c r="K399" s="3443"/>
      <c r="L399" s="3443"/>
      <c r="M399" s="3526"/>
    </row>
    <row r="400" spans="1:16" ht="30" customHeight="1" x14ac:dyDescent="0.2">
      <c r="A400" s="1572">
        <v>261</v>
      </c>
      <c r="B400" s="1570" t="s">
        <v>120</v>
      </c>
      <c r="C400" s="1541"/>
      <c r="D400" s="1521">
        <v>10500000</v>
      </c>
      <c r="E400" s="1569">
        <v>0.05</v>
      </c>
      <c r="F400" s="1521">
        <f t="shared" si="30"/>
        <v>525000</v>
      </c>
      <c r="G400" s="1521">
        <v>525000</v>
      </c>
      <c r="H400" s="1521" t="s">
        <v>3051</v>
      </c>
      <c r="I400" s="1543" t="s">
        <v>3058</v>
      </c>
      <c r="J400" s="21" t="s">
        <v>423</v>
      </c>
      <c r="K400" s="1521">
        <f>G400</f>
        <v>525000</v>
      </c>
      <c r="L400" s="1521">
        <f t="shared" ref="L400:L403" si="31">F400-K400</f>
        <v>0</v>
      </c>
      <c r="M400" s="1570"/>
    </row>
    <row r="401" spans="1:13" ht="30" customHeight="1" x14ac:dyDescent="0.2">
      <c r="A401" s="3450">
        <v>263</v>
      </c>
      <c r="B401" s="3457" t="s">
        <v>586</v>
      </c>
      <c r="C401" s="3570"/>
      <c r="D401" s="3505"/>
      <c r="E401" s="3507"/>
      <c r="F401" s="3505">
        <f t="shared" si="30"/>
        <v>0</v>
      </c>
      <c r="G401" s="1521">
        <v>2000000</v>
      </c>
      <c r="H401" s="1521" t="s">
        <v>3010</v>
      </c>
      <c r="I401" s="1543" t="s">
        <v>3091</v>
      </c>
      <c r="J401" s="24" t="s">
        <v>461</v>
      </c>
      <c r="K401" s="3442">
        <f>G401+G402</f>
        <v>4000000</v>
      </c>
      <c r="L401" s="3505">
        <f t="shared" si="31"/>
        <v>-4000000</v>
      </c>
      <c r="M401" s="3446"/>
    </row>
    <row r="402" spans="1:13" ht="30" customHeight="1" x14ac:dyDescent="0.2">
      <c r="A402" s="3451"/>
      <c r="B402" s="3458"/>
      <c r="C402" s="3571"/>
      <c r="D402" s="3506"/>
      <c r="E402" s="3508"/>
      <c r="F402" s="3506"/>
      <c r="G402" s="1521">
        <v>2000000</v>
      </c>
      <c r="H402" s="1521" t="s">
        <v>3010</v>
      </c>
      <c r="I402" s="1543" t="s">
        <v>3093</v>
      </c>
      <c r="J402" s="24" t="s">
        <v>461</v>
      </c>
      <c r="K402" s="3443"/>
      <c r="L402" s="3506"/>
      <c r="M402" s="3447"/>
    </row>
    <row r="403" spans="1:13" ht="30" customHeight="1" x14ac:dyDescent="0.2">
      <c r="A403" s="1572">
        <v>264</v>
      </c>
      <c r="B403" s="1570" t="s">
        <v>122</v>
      </c>
      <c r="C403" s="1541" t="s">
        <v>265</v>
      </c>
      <c r="D403" s="1894">
        <v>100000000</v>
      </c>
      <c r="E403" s="1903">
        <v>0.02</v>
      </c>
      <c r="F403" s="1521">
        <v>2000000</v>
      </c>
      <c r="G403" s="1521">
        <v>2000000</v>
      </c>
      <c r="H403" s="1521" t="s">
        <v>3012</v>
      </c>
      <c r="I403" s="1543" t="s">
        <v>3099</v>
      </c>
      <c r="J403" s="28" t="s">
        <v>2070</v>
      </c>
      <c r="K403" s="1521">
        <f>G403</f>
        <v>2000000</v>
      </c>
      <c r="L403" s="1521">
        <f t="shared" si="31"/>
        <v>0</v>
      </c>
      <c r="M403" s="1542"/>
    </row>
    <row r="404" spans="1:13" ht="30" customHeight="1" x14ac:dyDescent="0.2">
      <c r="A404" s="3450">
        <v>265</v>
      </c>
      <c r="B404" s="3774" t="s">
        <v>124</v>
      </c>
      <c r="C404" s="3570" t="s">
        <v>265</v>
      </c>
      <c r="D404" s="1542">
        <v>961000000</v>
      </c>
      <c r="E404" s="1518">
        <v>7.0000000000000007E-2</v>
      </c>
      <c r="F404" s="1521">
        <f>D404*E404</f>
        <v>67270000</v>
      </c>
      <c r="G404" s="3615" t="s">
        <v>2487</v>
      </c>
      <c r="H404" s="3616"/>
      <c r="I404" s="3616"/>
      <c r="J404" s="3616"/>
      <c r="K404" s="3617"/>
      <c r="L404" s="1531"/>
      <c r="M404" s="1551" t="s">
        <v>2486</v>
      </c>
    </row>
    <row r="405" spans="1:13" ht="30" customHeight="1" x14ac:dyDescent="0.2">
      <c r="A405" s="3456"/>
      <c r="B405" s="3775"/>
      <c r="C405" s="3576"/>
      <c r="D405" s="1521"/>
      <c r="E405" s="1518"/>
      <c r="F405" s="1521"/>
      <c r="G405" s="1534">
        <v>21000000</v>
      </c>
      <c r="H405" s="1534" t="s">
        <v>3010</v>
      </c>
      <c r="I405" s="118" t="s">
        <v>3082</v>
      </c>
      <c r="J405" s="1534" t="s">
        <v>512</v>
      </c>
      <c r="K405" s="1534">
        <f>G405</f>
        <v>21000000</v>
      </c>
      <c r="L405" s="1531"/>
      <c r="M405" s="3724" t="s">
        <v>3103</v>
      </c>
    </row>
    <row r="406" spans="1:13" ht="30" customHeight="1" x14ac:dyDescent="0.2">
      <c r="A406" s="3456"/>
      <c r="B406" s="3775"/>
      <c r="C406" s="3576"/>
      <c r="D406" s="1521"/>
      <c r="E406" s="1518"/>
      <c r="F406" s="1521"/>
      <c r="G406" s="1531">
        <v>50000000</v>
      </c>
      <c r="H406" s="1531" t="s">
        <v>3100</v>
      </c>
      <c r="I406" s="118" t="s">
        <v>3101</v>
      </c>
      <c r="J406" s="1534" t="s">
        <v>3102</v>
      </c>
      <c r="K406" s="1531">
        <f>G406</f>
        <v>50000000</v>
      </c>
      <c r="L406" s="1531"/>
      <c r="M406" s="3725"/>
    </row>
    <row r="407" spans="1:13" ht="30" customHeight="1" x14ac:dyDescent="0.2">
      <c r="A407" s="3456"/>
      <c r="B407" s="3775"/>
      <c r="C407" s="3576"/>
      <c r="D407" s="1521">
        <v>1000000000</v>
      </c>
      <c r="E407" s="1518">
        <v>7.0000000000000007E-2</v>
      </c>
      <c r="F407" s="1521">
        <f>D407*E407</f>
        <v>70000000</v>
      </c>
      <c r="G407" s="3478" t="s">
        <v>3418</v>
      </c>
      <c r="H407" s="3479"/>
      <c r="I407" s="3479"/>
      <c r="J407" s="3479"/>
      <c r="K407" s="3479"/>
      <c r="L407" s="3480"/>
      <c r="M407" s="1551"/>
    </row>
    <row r="408" spans="1:13" ht="30" customHeight="1" x14ac:dyDescent="0.2">
      <c r="A408" s="3451"/>
      <c r="B408" s="3776"/>
      <c r="C408" s="3571"/>
      <c r="D408" s="3325" t="s">
        <v>3423</v>
      </c>
      <c r="E408" s="3340"/>
      <c r="F408" s="3341"/>
      <c r="G408" s="1521">
        <v>25000000</v>
      </c>
      <c r="H408" s="1521" t="s">
        <v>3421</v>
      </c>
      <c r="I408" s="1562" t="s">
        <v>3424</v>
      </c>
      <c r="J408" s="1542" t="s">
        <v>3425</v>
      </c>
      <c r="K408" s="1521">
        <f>G408</f>
        <v>25000000</v>
      </c>
      <c r="L408" s="1521"/>
      <c r="M408" s="1551"/>
    </row>
    <row r="409" spans="1:13" ht="30" customHeight="1" x14ac:dyDescent="0.2">
      <c r="A409" s="1053">
        <v>266</v>
      </c>
      <c r="B409" s="1052" t="s">
        <v>2038</v>
      </c>
      <c r="C409" s="1034"/>
      <c r="D409" s="1020">
        <v>80000000</v>
      </c>
      <c r="E409" s="1048">
        <v>4.4999999999999998E-2</v>
      </c>
      <c r="F409" s="1020">
        <f t="shared" ref="F409:F475" si="32">D409*E409</f>
        <v>3600000</v>
      </c>
      <c r="G409" s="1020">
        <v>3600000</v>
      </c>
      <c r="H409" s="1020" t="s">
        <v>3137</v>
      </c>
      <c r="I409" s="1036" t="s">
        <v>3168</v>
      </c>
      <c r="J409" s="21" t="s">
        <v>585</v>
      </c>
      <c r="K409" s="1020">
        <f>G409</f>
        <v>3600000</v>
      </c>
      <c r="L409" s="1020">
        <f t="shared" ref="L409:L459" si="33">F409-K409</f>
        <v>0</v>
      </c>
      <c r="M409" s="1052"/>
    </row>
    <row r="410" spans="1:13" ht="30" customHeight="1" x14ac:dyDescent="0.2">
      <c r="A410" s="3450">
        <v>267</v>
      </c>
      <c r="B410" s="3457" t="s">
        <v>508</v>
      </c>
      <c r="C410" s="3570" t="s">
        <v>379</v>
      </c>
      <c r="D410" s="1020">
        <v>250000000</v>
      </c>
      <c r="E410" s="1048">
        <v>0.04</v>
      </c>
      <c r="F410" s="1020">
        <f t="shared" si="32"/>
        <v>10000000</v>
      </c>
      <c r="G410" s="3478" t="s">
        <v>3025</v>
      </c>
      <c r="H410" s="3479"/>
      <c r="I410" s="3479"/>
      <c r="J410" s="3479"/>
      <c r="K410" s="3480"/>
      <c r="L410" s="1020">
        <f t="shared" si="33"/>
        <v>10000000</v>
      </c>
      <c r="M410" s="1254" t="s">
        <v>3026</v>
      </c>
    </row>
    <row r="411" spans="1:13" ht="30" customHeight="1" x14ac:dyDescent="0.2">
      <c r="A411" s="3451"/>
      <c r="B411" s="3458"/>
      <c r="C411" s="3571"/>
      <c r="D411" s="1248">
        <v>300000000</v>
      </c>
      <c r="E411" s="1256">
        <v>0.04</v>
      </c>
      <c r="F411" s="1248">
        <f t="shared" si="32"/>
        <v>12000000</v>
      </c>
      <c r="G411" s="3615" t="s">
        <v>3027</v>
      </c>
      <c r="H411" s="3616"/>
      <c r="I411" s="3616"/>
      <c r="J411" s="3616"/>
      <c r="K411" s="3617"/>
      <c r="L411" s="1248">
        <f t="shared" si="33"/>
        <v>12000000</v>
      </c>
      <c r="M411" s="1322" t="s">
        <v>3164</v>
      </c>
    </row>
    <row r="412" spans="1:13" ht="30" customHeight="1" x14ac:dyDescent="0.2">
      <c r="A412" s="1053">
        <v>268</v>
      </c>
      <c r="B412" s="1052" t="s">
        <v>400</v>
      </c>
      <c r="C412" s="1034" t="s">
        <v>401</v>
      </c>
      <c r="D412" s="1020">
        <v>130000000</v>
      </c>
      <c r="E412" s="1048">
        <v>4.4999999999999998E-2</v>
      </c>
      <c r="F412" s="1020">
        <f t="shared" si="32"/>
        <v>5850000</v>
      </c>
      <c r="G412" s="1020">
        <v>5850000</v>
      </c>
      <c r="H412" s="1020" t="s">
        <v>3137</v>
      </c>
      <c r="I412" s="1036" t="s">
        <v>3165</v>
      </c>
      <c r="J412" s="21" t="s">
        <v>2182</v>
      </c>
      <c r="K412" s="1020">
        <f>G412</f>
        <v>5850000</v>
      </c>
      <c r="L412" s="1020">
        <f t="shared" si="33"/>
        <v>0</v>
      </c>
      <c r="M412" s="1052"/>
    </row>
    <row r="413" spans="1:13" ht="30" customHeight="1" x14ac:dyDescent="0.2">
      <c r="A413" s="1053">
        <v>269</v>
      </c>
      <c r="B413" s="1052" t="s">
        <v>126</v>
      </c>
      <c r="C413" s="1034" t="s">
        <v>265</v>
      </c>
      <c r="D413" s="1020">
        <v>300000000</v>
      </c>
      <c r="E413" s="1048">
        <v>0.05</v>
      </c>
      <c r="F413" s="1020">
        <f t="shared" si="32"/>
        <v>15000000</v>
      </c>
      <c r="G413" s="1020">
        <v>15000000</v>
      </c>
      <c r="H413" s="1020" t="s">
        <v>2847</v>
      </c>
      <c r="I413" s="1036" t="s">
        <v>2929</v>
      </c>
      <c r="J413" s="24" t="s">
        <v>1891</v>
      </c>
      <c r="K413" s="1020">
        <f>G413</f>
        <v>15000000</v>
      </c>
      <c r="L413" s="1020">
        <f t="shared" si="33"/>
        <v>0</v>
      </c>
      <c r="M413" s="1052"/>
    </row>
    <row r="414" spans="1:13" ht="30" customHeight="1" x14ac:dyDescent="0.2">
      <c r="A414" s="1053">
        <v>270</v>
      </c>
      <c r="B414" s="1052" t="s">
        <v>127</v>
      </c>
      <c r="C414" s="1034"/>
      <c r="D414" s="1020">
        <v>20000000</v>
      </c>
      <c r="E414" s="1048">
        <v>5.5E-2</v>
      </c>
      <c r="F414" s="1020">
        <f t="shared" si="32"/>
        <v>1100000</v>
      </c>
      <c r="G414" s="1020">
        <v>1100000</v>
      </c>
      <c r="H414" s="1020" t="s">
        <v>2847</v>
      </c>
      <c r="I414" s="1036" t="s">
        <v>2926</v>
      </c>
      <c r="J414" s="24" t="s">
        <v>503</v>
      </c>
      <c r="K414" s="1020">
        <f>G414</f>
        <v>1100000</v>
      </c>
      <c r="L414" s="1020">
        <f t="shared" si="33"/>
        <v>0</v>
      </c>
      <c r="M414" s="1052"/>
    </row>
    <row r="415" spans="1:13" ht="30" customHeight="1" x14ac:dyDescent="0.2">
      <c r="A415" s="1053">
        <v>271</v>
      </c>
      <c r="B415" s="22" t="s">
        <v>128</v>
      </c>
      <c r="C415" s="1047" t="s">
        <v>367</v>
      </c>
      <c r="D415" s="1035">
        <v>40000000</v>
      </c>
      <c r="E415" s="1048">
        <v>5.5E-2</v>
      </c>
      <c r="F415" s="1035">
        <f t="shared" si="32"/>
        <v>2200000</v>
      </c>
      <c r="G415" s="1035">
        <v>2200000</v>
      </c>
      <c r="H415" s="1035" t="s">
        <v>2036</v>
      </c>
      <c r="I415" s="424" t="s">
        <v>2992</v>
      </c>
      <c r="J415" s="21" t="s">
        <v>514</v>
      </c>
      <c r="K415" s="1035">
        <f>G415</f>
        <v>2200000</v>
      </c>
      <c r="L415" s="1035">
        <f t="shared" si="33"/>
        <v>0</v>
      </c>
      <c r="M415" s="1052"/>
    </row>
    <row r="416" spans="1:13" ht="30" customHeight="1" x14ac:dyDescent="0.2">
      <c r="A416" s="3450"/>
      <c r="B416" s="3457" t="s">
        <v>2658</v>
      </c>
      <c r="C416" s="3570" t="s">
        <v>1342</v>
      </c>
      <c r="D416" s="916">
        <v>520000000</v>
      </c>
      <c r="E416" s="917">
        <v>5.5E-2</v>
      </c>
      <c r="F416" s="916">
        <f>D416*E416</f>
        <v>28600000</v>
      </c>
      <c r="G416" s="3726">
        <v>38900000</v>
      </c>
      <c r="H416" s="3720" t="s">
        <v>3051</v>
      </c>
      <c r="I416" s="3717" t="s">
        <v>3053</v>
      </c>
      <c r="J416" s="3720" t="s">
        <v>841</v>
      </c>
      <c r="K416" s="3720">
        <f>G416+G418</f>
        <v>50000000</v>
      </c>
      <c r="L416" s="3720"/>
      <c r="M416" s="1289" t="s">
        <v>2557</v>
      </c>
    </row>
    <row r="417" spans="1:13" ht="30" customHeight="1" x14ac:dyDescent="0.2">
      <c r="A417" s="3456"/>
      <c r="B417" s="3459"/>
      <c r="C417" s="3576"/>
      <c r="D417" s="916">
        <v>65000000</v>
      </c>
      <c r="E417" s="917">
        <v>0.06</v>
      </c>
      <c r="F417" s="916">
        <f>D417*E417</f>
        <v>3900000</v>
      </c>
      <c r="G417" s="3726"/>
      <c r="H417" s="3721"/>
      <c r="I417" s="3718"/>
      <c r="J417" s="3721"/>
      <c r="K417" s="3721"/>
      <c r="L417" s="3721"/>
      <c r="M417" s="1290" t="s">
        <v>3054</v>
      </c>
    </row>
    <row r="418" spans="1:13" ht="30" customHeight="1" x14ac:dyDescent="0.2">
      <c r="A418" s="3456"/>
      <c r="B418" s="3459"/>
      <c r="C418" s="3576"/>
      <c r="D418" s="916">
        <v>85000000</v>
      </c>
      <c r="E418" s="917">
        <v>0.06</v>
      </c>
      <c r="F418" s="916">
        <f>D418*E418</f>
        <v>5100000</v>
      </c>
      <c r="G418" s="3720">
        <v>11100000</v>
      </c>
      <c r="H418" s="3721"/>
      <c r="I418" s="3718"/>
      <c r="J418" s="3721"/>
      <c r="K418" s="3721"/>
      <c r="L418" s="3721"/>
      <c r="M418" s="3723" t="s">
        <v>3135</v>
      </c>
    </row>
    <row r="419" spans="1:13" ht="30" customHeight="1" x14ac:dyDescent="0.2">
      <c r="A419" s="3456"/>
      <c r="B419" s="3459"/>
      <c r="C419" s="3576"/>
      <c r="D419" s="3697" t="s">
        <v>1899</v>
      </c>
      <c r="E419" s="3698"/>
      <c r="F419" s="916">
        <v>1300000</v>
      </c>
      <c r="G419" s="3722"/>
      <c r="H419" s="3722"/>
      <c r="I419" s="3719"/>
      <c r="J419" s="3722"/>
      <c r="K419" s="3722"/>
      <c r="L419" s="3722"/>
      <c r="M419" s="3723"/>
    </row>
    <row r="420" spans="1:13" ht="30" customHeight="1" x14ac:dyDescent="0.2">
      <c r="A420" s="3451"/>
      <c r="B420" s="3458"/>
      <c r="C420" s="3571"/>
      <c r="D420" s="1068">
        <v>100000000</v>
      </c>
      <c r="E420" s="1074">
        <v>0.06</v>
      </c>
      <c r="F420" s="1068">
        <f>D420*E420</f>
        <v>6000000</v>
      </c>
      <c r="G420" s="3615" t="s">
        <v>2554</v>
      </c>
      <c r="H420" s="3616"/>
      <c r="I420" s="3616"/>
      <c r="J420" s="3617"/>
      <c r="K420" s="1068"/>
      <c r="L420" s="1068"/>
      <c r="M420" s="1079" t="s">
        <v>2558</v>
      </c>
    </row>
    <row r="421" spans="1:13" ht="30" customHeight="1" x14ac:dyDescent="0.2">
      <c r="A421" s="1493"/>
      <c r="B421" s="1492"/>
      <c r="C421" s="1496"/>
      <c r="D421" s="1502">
        <v>40000000</v>
      </c>
      <c r="E421" s="1503">
        <v>0.06</v>
      </c>
      <c r="F421" s="1502">
        <f>D421*E421</f>
        <v>2400000</v>
      </c>
      <c r="G421" s="3714" t="s">
        <v>3490</v>
      </c>
      <c r="H421" s="3715"/>
      <c r="I421" s="3715"/>
      <c r="J421" s="3715"/>
      <c r="K421" s="3716"/>
      <c r="L421" s="1502"/>
      <c r="M421" s="1079"/>
    </row>
    <row r="422" spans="1:13" ht="30" customHeight="1" x14ac:dyDescent="0.2">
      <c r="A422" s="1053">
        <v>273</v>
      </c>
      <c r="B422" s="1052" t="s">
        <v>130</v>
      </c>
      <c r="C422" s="1034" t="s">
        <v>1346</v>
      </c>
      <c r="D422" s="1020">
        <v>20000000</v>
      </c>
      <c r="E422" s="1048">
        <v>0.05</v>
      </c>
      <c r="F422" s="1020">
        <f t="shared" si="32"/>
        <v>1000000</v>
      </c>
      <c r="G422" s="1020">
        <v>1000000</v>
      </c>
      <c r="H422" s="1020" t="s">
        <v>3010</v>
      </c>
      <c r="I422" s="1036" t="s">
        <v>3094</v>
      </c>
      <c r="J422" s="24" t="s">
        <v>490</v>
      </c>
      <c r="K422" s="1020">
        <f t="shared" ref="K422:K428" si="34">G422</f>
        <v>1000000</v>
      </c>
      <c r="L422" s="1020">
        <f t="shared" si="33"/>
        <v>0</v>
      </c>
      <c r="M422" s="1052"/>
    </row>
    <row r="423" spans="1:13" ht="30" customHeight="1" x14ac:dyDescent="0.2">
      <c r="A423" s="3450">
        <v>274</v>
      </c>
      <c r="B423" s="3457" t="s">
        <v>131</v>
      </c>
      <c r="C423" s="3570"/>
      <c r="D423" s="1020">
        <v>8000000</v>
      </c>
      <c r="E423" s="1048">
        <v>0.05</v>
      </c>
      <c r="F423" s="1020">
        <f t="shared" si="32"/>
        <v>400000</v>
      </c>
      <c r="G423" s="1020">
        <v>400000</v>
      </c>
      <c r="H423" s="1020" t="s">
        <v>3032</v>
      </c>
      <c r="I423" s="1036" t="s">
        <v>3149</v>
      </c>
      <c r="J423" s="24" t="s">
        <v>397</v>
      </c>
      <c r="K423" s="1020">
        <f t="shared" si="34"/>
        <v>400000</v>
      </c>
      <c r="L423" s="1020">
        <f t="shared" si="33"/>
        <v>0</v>
      </c>
      <c r="M423" s="171"/>
    </row>
    <row r="424" spans="1:13" ht="30" customHeight="1" x14ac:dyDescent="0.2">
      <c r="A424" s="3451"/>
      <c r="B424" s="3458"/>
      <c r="C424" s="3571"/>
      <c r="D424" s="1353">
        <v>50000000</v>
      </c>
      <c r="E424" s="1358">
        <v>0.05</v>
      </c>
      <c r="F424" s="1353">
        <f>D424*E424</f>
        <v>2500000</v>
      </c>
      <c r="G424" s="3615" t="s">
        <v>3257</v>
      </c>
      <c r="H424" s="3616"/>
      <c r="I424" s="3616"/>
      <c r="J424" s="3616"/>
      <c r="K424" s="3617"/>
      <c r="L424" s="1353"/>
      <c r="M424" s="103" t="s">
        <v>3258</v>
      </c>
    </row>
    <row r="425" spans="1:13" ht="30" customHeight="1" x14ac:dyDescent="0.2">
      <c r="A425" s="1053">
        <v>275</v>
      </c>
      <c r="B425" s="1052" t="s">
        <v>132</v>
      </c>
      <c r="C425" s="1034" t="s">
        <v>1346</v>
      </c>
      <c r="D425" s="1020">
        <v>130000000</v>
      </c>
      <c r="E425" s="1048">
        <v>0.05</v>
      </c>
      <c r="F425" s="1020">
        <f t="shared" si="32"/>
        <v>6500000</v>
      </c>
      <c r="G425" s="1020">
        <v>6500000</v>
      </c>
      <c r="H425" s="1020" t="s">
        <v>3279</v>
      </c>
      <c r="I425" s="1036" t="s">
        <v>3309</v>
      </c>
      <c r="J425" s="24" t="s">
        <v>3310</v>
      </c>
      <c r="K425" s="1020">
        <f t="shared" si="34"/>
        <v>6500000</v>
      </c>
      <c r="L425" s="1020">
        <f t="shared" si="33"/>
        <v>0</v>
      </c>
      <c r="M425" s="1052"/>
    </row>
    <row r="426" spans="1:13" ht="30" customHeight="1" x14ac:dyDescent="0.2">
      <c r="A426" s="1053">
        <v>276</v>
      </c>
      <c r="B426" s="1052" t="s">
        <v>133</v>
      </c>
      <c r="C426" s="1034"/>
      <c r="D426" s="1020">
        <v>95000000</v>
      </c>
      <c r="E426" s="1048">
        <v>5.2999999999999999E-2</v>
      </c>
      <c r="F426" s="1020">
        <v>5000000</v>
      </c>
      <c r="G426" s="1020">
        <v>5000000</v>
      </c>
      <c r="H426" s="1020" t="s">
        <v>3218</v>
      </c>
      <c r="I426" s="1036" t="s">
        <v>3230</v>
      </c>
      <c r="J426" s="24" t="s">
        <v>3231</v>
      </c>
      <c r="K426" s="1020">
        <f t="shared" si="34"/>
        <v>5000000</v>
      </c>
      <c r="L426" s="1020">
        <f t="shared" si="33"/>
        <v>0</v>
      </c>
      <c r="M426" s="1052"/>
    </row>
    <row r="427" spans="1:13" ht="30" customHeight="1" x14ac:dyDescent="0.2">
      <c r="A427" s="1053">
        <v>277</v>
      </c>
      <c r="B427" s="1052" t="s">
        <v>134</v>
      </c>
      <c r="C427" s="1034"/>
      <c r="D427" s="1020">
        <v>200000000</v>
      </c>
      <c r="E427" s="1048">
        <v>0.05</v>
      </c>
      <c r="F427" s="1020">
        <f t="shared" si="32"/>
        <v>10000000</v>
      </c>
      <c r="G427" s="1020">
        <v>10000000</v>
      </c>
      <c r="H427" s="1020" t="s">
        <v>3051</v>
      </c>
      <c r="I427" s="1036" t="s">
        <v>3055</v>
      </c>
      <c r="J427" s="24" t="s">
        <v>2278</v>
      </c>
      <c r="K427" s="1020">
        <f t="shared" si="34"/>
        <v>10000000</v>
      </c>
      <c r="L427" s="1020">
        <f t="shared" si="33"/>
        <v>0</v>
      </c>
      <c r="M427" s="1052"/>
    </row>
    <row r="428" spans="1:13" ht="30" customHeight="1" x14ac:dyDescent="0.2">
      <c r="A428" s="3450">
        <v>278</v>
      </c>
      <c r="B428" s="3457" t="s">
        <v>634</v>
      </c>
      <c r="C428" s="3570" t="s">
        <v>3142</v>
      </c>
      <c r="D428" s="1020">
        <v>30000000</v>
      </c>
      <c r="E428" s="1048">
        <v>4.4999999999999998E-2</v>
      </c>
      <c r="F428" s="1020">
        <f>D428*E428</f>
        <v>1350000</v>
      </c>
      <c r="G428" s="3442">
        <v>1750000</v>
      </c>
      <c r="H428" s="3442" t="s">
        <v>3032</v>
      </c>
      <c r="I428" s="3577" t="s">
        <v>3143</v>
      </c>
      <c r="J428" s="3452" t="s">
        <v>2192</v>
      </c>
      <c r="K428" s="3442">
        <f t="shared" si="34"/>
        <v>1750000</v>
      </c>
      <c r="L428" s="3442">
        <f>(F428+F429)-K428</f>
        <v>0</v>
      </c>
      <c r="M428" s="3525"/>
    </row>
    <row r="429" spans="1:13" ht="30" customHeight="1" x14ac:dyDescent="0.2">
      <c r="A429" s="3451"/>
      <c r="B429" s="3458"/>
      <c r="C429" s="3571"/>
      <c r="D429" s="1020">
        <v>10000000</v>
      </c>
      <c r="E429" s="1048">
        <v>0.04</v>
      </c>
      <c r="F429" s="1020">
        <f>D429*E429</f>
        <v>400000</v>
      </c>
      <c r="G429" s="3443"/>
      <c r="H429" s="3443"/>
      <c r="I429" s="3578"/>
      <c r="J429" s="3453"/>
      <c r="K429" s="3443"/>
      <c r="L429" s="3443"/>
      <c r="M429" s="3526"/>
    </row>
    <row r="430" spans="1:13" ht="30" customHeight="1" x14ac:dyDescent="0.2">
      <c r="A430" s="1053">
        <v>279</v>
      </c>
      <c r="B430" s="1052" t="s">
        <v>135</v>
      </c>
      <c r="C430" s="1034"/>
      <c r="D430" s="1020">
        <v>11000000</v>
      </c>
      <c r="E430" s="1048">
        <v>4.4999999999999998E-2</v>
      </c>
      <c r="F430" s="1020">
        <v>500000</v>
      </c>
      <c r="G430" s="1020">
        <v>500000</v>
      </c>
      <c r="H430" s="1020" t="s">
        <v>2337</v>
      </c>
      <c r="I430" s="1036" t="s">
        <v>2753</v>
      </c>
      <c r="J430" s="24" t="s">
        <v>751</v>
      </c>
      <c r="K430" s="1020">
        <f>G430</f>
        <v>500000</v>
      </c>
      <c r="L430" s="1020">
        <f t="shared" si="33"/>
        <v>0</v>
      </c>
      <c r="M430" s="1052"/>
    </row>
    <row r="431" spans="1:13" ht="30" customHeight="1" x14ac:dyDescent="0.2">
      <c r="A431" s="1053">
        <v>280</v>
      </c>
      <c r="B431" s="1069" t="s">
        <v>468</v>
      </c>
      <c r="C431" s="421"/>
      <c r="D431" s="1338">
        <v>20000000</v>
      </c>
      <c r="E431" s="1343">
        <v>0.05</v>
      </c>
      <c r="F431" s="1338">
        <f t="shared" si="32"/>
        <v>1000000</v>
      </c>
      <c r="G431" s="3386" t="s">
        <v>3232</v>
      </c>
      <c r="H431" s="3656"/>
      <c r="I431" s="3656"/>
      <c r="J431" s="3657"/>
      <c r="K431" s="1338"/>
      <c r="L431" s="1338"/>
      <c r="M431" s="1062"/>
    </row>
    <row r="432" spans="1:13" ht="30" customHeight="1" x14ac:dyDescent="0.2">
      <c r="A432" s="1015">
        <v>281</v>
      </c>
      <c r="B432" s="1054" t="s">
        <v>136</v>
      </c>
      <c r="C432" s="1034" t="s">
        <v>1345</v>
      </c>
      <c r="D432" s="1020">
        <v>40000000</v>
      </c>
      <c r="E432" s="1059">
        <v>0.05</v>
      </c>
      <c r="F432" s="1020">
        <f t="shared" si="32"/>
        <v>2000000</v>
      </c>
      <c r="G432" s="1020">
        <v>2000000</v>
      </c>
      <c r="H432" s="1020" t="s">
        <v>3100</v>
      </c>
      <c r="I432" s="1036" t="s">
        <v>3118</v>
      </c>
      <c r="J432" s="7" t="s">
        <v>651</v>
      </c>
      <c r="K432" s="1058">
        <f>G432</f>
        <v>2000000</v>
      </c>
      <c r="L432" s="1020">
        <f>F432-K432</f>
        <v>0</v>
      </c>
      <c r="M432" s="13" t="s">
        <v>1296</v>
      </c>
    </row>
    <row r="433" spans="1:13" ht="30" customHeight="1" x14ac:dyDescent="0.2">
      <c r="A433" s="1053">
        <v>282</v>
      </c>
      <c r="B433" s="1052" t="s">
        <v>1054</v>
      </c>
      <c r="C433" s="1034"/>
      <c r="D433" s="1020">
        <v>20000000</v>
      </c>
      <c r="E433" s="1048">
        <v>0.04</v>
      </c>
      <c r="F433" s="1020">
        <f t="shared" si="32"/>
        <v>800000</v>
      </c>
      <c r="G433" s="1020">
        <v>800000</v>
      </c>
      <c r="H433" s="1020" t="s">
        <v>3100</v>
      </c>
      <c r="I433" s="1036" t="s">
        <v>3112</v>
      </c>
      <c r="J433" s="1045" t="s">
        <v>2584</v>
      </c>
      <c r="K433" s="1020">
        <f>G433</f>
        <v>800000</v>
      </c>
      <c r="L433" s="1020">
        <f t="shared" si="33"/>
        <v>0</v>
      </c>
      <c r="M433" s="1052"/>
    </row>
    <row r="434" spans="1:13" ht="30" customHeight="1" x14ac:dyDescent="0.2">
      <c r="A434" s="3450">
        <v>283</v>
      </c>
      <c r="B434" s="3457" t="s">
        <v>137</v>
      </c>
      <c r="C434" s="3570" t="s">
        <v>1349</v>
      </c>
      <c r="D434" s="1058">
        <v>37093000</v>
      </c>
      <c r="E434" s="1059">
        <v>0.05</v>
      </c>
      <c r="F434" s="1058">
        <f>D434*E434</f>
        <v>1854650</v>
      </c>
      <c r="G434" s="247">
        <v>1854650</v>
      </c>
      <c r="H434" s="247" t="s">
        <v>3032</v>
      </c>
      <c r="I434" s="247">
        <v>123444977920</v>
      </c>
      <c r="J434" s="24" t="s">
        <v>2272</v>
      </c>
      <c r="K434" s="1018">
        <f>G434</f>
        <v>1854650</v>
      </c>
      <c r="L434" s="1018">
        <f t="shared" si="33"/>
        <v>0</v>
      </c>
      <c r="M434" s="1360" t="s">
        <v>2329</v>
      </c>
    </row>
    <row r="435" spans="1:13" ht="30" customHeight="1" x14ac:dyDescent="0.2">
      <c r="A435" s="3456"/>
      <c r="B435" s="3459"/>
      <c r="C435" s="3576"/>
      <c r="D435" s="1262"/>
      <c r="E435" s="1263"/>
      <c r="F435" s="1262"/>
      <c r="G435" s="3615" t="s">
        <v>3045</v>
      </c>
      <c r="H435" s="3616"/>
      <c r="I435" s="3616"/>
      <c r="J435" s="3617"/>
      <c r="K435" s="1261"/>
      <c r="L435" s="1261"/>
      <c r="M435" s="813"/>
    </row>
    <row r="436" spans="1:13" ht="30" customHeight="1" x14ac:dyDescent="0.2">
      <c r="A436" s="3456"/>
      <c r="B436" s="3459"/>
      <c r="C436" s="3576"/>
      <c r="D436" s="1759">
        <f>D434+3730000</f>
        <v>40823000</v>
      </c>
      <c r="E436" s="1760">
        <v>0.05</v>
      </c>
      <c r="F436" s="1262">
        <f>D436*E436</f>
        <v>2041150</v>
      </c>
      <c r="G436" s="247"/>
      <c r="H436" s="247"/>
      <c r="I436" s="247"/>
      <c r="J436" s="24"/>
      <c r="K436" s="1261"/>
      <c r="L436" s="1261"/>
      <c r="M436" s="813" t="s">
        <v>2738</v>
      </c>
    </row>
    <row r="437" spans="1:13" ht="30" customHeight="1" x14ac:dyDescent="0.2">
      <c r="A437" s="3456"/>
      <c r="B437" s="3459"/>
      <c r="C437" s="3576"/>
      <c r="D437" s="1759"/>
      <c r="E437" s="1760"/>
      <c r="F437" s="1759"/>
      <c r="G437" s="3615" t="s">
        <v>3804</v>
      </c>
      <c r="H437" s="3616"/>
      <c r="I437" s="3616"/>
      <c r="J437" s="3617"/>
      <c r="K437" s="1758"/>
      <c r="L437" s="1758"/>
      <c r="M437" s="813"/>
    </row>
    <row r="438" spans="1:13" ht="30" customHeight="1" x14ac:dyDescent="0.2">
      <c r="A438" s="3451"/>
      <c r="B438" s="3458"/>
      <c r="C438" s="3571"/>
      <c r="D438" s="1759">
        <f>40823000+3800000</f>
        <v>44623000</v>
      </c>
      <c r="E438" s="1760">
        <v>0.05</v>
      </c>
      <c r="F438" s="1759">
        <f>D438*E438</f>
        <v>2231150</v>
      </c>
      <c r="G438" s="247"/>
      <c r="H438" s="247"/>
      <c r="I438" s="247"/>
      <c r="J438" s="24"/>
      <c r="K438" s="1758"/>
      <c r="L438" s="1758"/>
      <c r="M438" s="813"/>
    </row>
    <row r="439" spans="1:13" ht="30" customHeight="1" x14ac:dyDescent="0.2">
      <c r="A439" s="3450">
        <v>284</v>
      </c>
      <c r="B439" s="3457" t="s">
        <v>1197</v>
      </c>
      <c r="C439" s="3570" t="s">
        <v>379</v>
      </c>
      <c r="D439" s="1020">
        <v>110000000</v>
      </c>
      <c r="E439" s="1017">
        <v>4.4999999999999998E-2</v>
      </c>
      <c r="F439" s="1020">
        <f t="shared" si="32"/>
        <v>4950000</v>
      </c>
      <c r="G439" s="3442">
        <v>7925000</v>
      </c>
      <c r="H439" s="3442" t="s">
        <v>3032</v>
      </c>
      <c r="I439" s="3577" t="s">
        <v>3145</v>
      </c>
      <c r="J439" s="3452" t="s">
        <v>2345</v>
      </c>
      <c r="K439" s="3442">
        <f>G439</f>
        <v>7925000</v>
      </c>
      <c r="L439" s="3442">
        <f>(F439+F440)-K439</f>
        <v>25000</v>
      </c>
      <c r="M439" s="3495"/>
    </row>
    <row r="440" spans="1:13" ht="30" customHeight="1" x14ac:dyDescent="0.2">
      <c r="A440" s="3456"/>
      <c r="B440" s="3459"/>
      <c r="C440" s="3576"/>
      <c r="D440" s="1020">
        <v>60000000</v>
      </c>
      <c r="E440" s="1048">
        <v>0.05</v>
      </c>
      <c r="F440" s="1020">
        <f t="shared" si="32"/>
        <v>3000000</v>
      </c>
      <c r="G440" s="3443"/>
      <c r="H440" s="3443"/>
      <c r="I440" s="3578"/>
      <c r="J440" s="3453"/>
      <c r="K440" s="3443"/>
      <c r="L440" s="3443"/>
      <c r="M440" s="3496"/>
    </row>
    <row r="441" spans="1:13" ht="30" customHeight="1" x14ac:dyDescent="0.2">
      <c r="A441" s="3451"/>
      <c r="B441" s="3458"/>
      <c r="C441" s="3571"/>
      <c r="D441" s="1248">
        <v>30000000</v>
      </c>
      <c r="E441" s="1256"/>
      <c r="F441" s="1248"/>
      <c r="G441" s="3615" t="s">
        <v>3028</v>
      </c>
      <c r="H441" s="3616"/>
      <c r="I441" s="3616"/>
      <c r="J441" s="3617"/>
      <c r="K441" s="1248"/>
      <c r="L441" s="1248"/>
      <c r="M441" s="1249"/>
    </row>
    <row r="442" spans="1:13" ht="30" customHeight="1" x14ac:dyDescent="0.2">
      <c r="A442" s="1053">
        <v>285</v>
      </c>
      <c r="B442" s="1052" t="s">
        <v>138</v>
      </c>
      <c r="C442" s="1034" t="s">
        <v>2408</v>
      </c>
      <c r="D442" s="1020">
        <v>100000000</v>
      </c>
      <c r="E442" s="1048">
        <v>7.0000000000000007E-2</v>
      </c>
      <c r="F442" s="1020">
        <f t="shared" si="32"/>
        <v>7000000.0000000009</v>
      </c>
      <c r="G442" s="1020">
        <v>7000000</v>
      </c>
      <c r="H442" s="1020" t="s">
        <v>3032</v>
      </c>
      <c r="I442" s="1036" t="s">
        <v>3157</v>
      </c>
      <c r="J442" s="24" t="s">
        <v>3158</v>
      </c>
      <c r="K442" s="1020">
        <f>G442</f>
        <v>7000000</v>
      </c>
      <c r="L442" s="1020">
        <f t="shared" si="33"/>
        <v>0</v>
      </c>
      <c r="M442" s="1052"/>
    </row>
    <row r="443" spans="1:13" ht="30" customHeight="1" x14ac:dyDescent="0.2">
      <c r="A443" s="1057">
        <v>286</v>
      </c>
      <c r="B443" s="1069" t="s">
        <v>1715</v>
      </c>
      <c r="C443" s="1073"/>
      <c r="D443" s="1063">
        <v>35000000</v>
      </c>
      <c r="E443" s="1080">
        <v>0.04</v>
      </c>
      <c r="F443" s="1063">
        <f t="shared" si="32"/>
        <v>1400000</v>
      </c>
      <c r="G443" s="1063">
        <v>1400000</v>
      </c>
      <c r="H443" s="1063" t="s">
        <v>2687</v>
      </c>
      <c r="I443" s="424" t="s">
        <v>2691</v>
      </c>
      <c r="J443" s="21" t="s">
        <v>312</v>
      </c>
      <c r="K443" s="1063">
        <f>G443</f>
        <v>1400000</v>
      </c>
      <c r="L443" s="1063">
        <f t="shared" si="33"/>
        <v>0</v>
      </c>
      <c r="M443" s="1062"/>
    </row>
    <row r="444" spans="1:13" ht="30" customHeight="1" x14ac:dyDescent="0.2">
      <c r="A444" s="3450">
        <v>287</v>
      </c>
      <c r="B444" s="3457" t="s">
        <v>140</v>
      </c>
      <c r="C444" s="3570"/>
      <c r="D444" s="1020">
        <v>15000000</v>
      </c>
      <c r="E444" s="1059">
        <v>0.05</v>
      </c>
      <c r="F444" s="1020">
        <f t="shared" si="32"/>
        <v>750000</v>
      </c>
      <c r="G444" s="1020">
        <v>2475000</v>
      </c>
      <c r="H444" s="1020" t="s">
        <v>3100</v>
      </c>
      <c r="I444" s="1036" t="s">
        <v>3113</v>
      </c>
      <c r="J444" s="24" t="s">
        <v>3114</v>
      </c>
      <c r="K444" s="3442">
        <f>G444+G445</f>
        <v>3000000</v>
      </c>
      <c r="L444" s="3442">
        <f>(F444+F445)-K444</f>
        <v>0</v>
      </c>
      <c r="M444" s="3446"/>
    </row>
    <row r="445" spans="1:13" ht="30" customHeight="1" x14ac:dyDescent="0.2">
      <c r="A445" s="3451"/>
      <c r="B445" s="3458"/>
      <c r="C445" s="3571"/>
      <c r="D445" s="1282">
        <v>45000000</v>
      </c>
      <c r="E445" s="1283">
        <v>0.05</v>
      </c>
      <c r="F445" s="1282">
        <f t="shared" si="32"/>
        <v>2250000</v>
      </c>
      <c r="G445" s="1282">
        <v>525000</v>
      </c>
      <c r="H445" s="1282" t="s">
        <v>3262</v>
      </c>
      <c r="I445" s="1285" t="s">
        <v>3276</v>
      </c>
      <c r="J445" s="24"/>
      <c r="K445" s="3443"/>
      <c r="L445" s="3443"/>
      <c r="M445" s="3447"/>
    </row>
    <row r="446" spans="1:13" ht="30" customHeight="1" x14ac:dyDescent="0.2">
      <c r="A446" s="1053">
        <v>288</v>
      </c>
      <c r="B446" s="1052" t="s">
        <v>141</v>
      </c>
      <c r="C446" s="1034" t="s">
        <v>1344</v>
      </c>
      <c r="D446" s="1020">
        <v>50000000</v>
      </c>
      <c r="E446" s="1048">
        <v>4.4999999999999998E-2</v>
      </c>
      <c r="F446" s="1020">
        <f t="shared" si="32"/>
        <v>2250000</v>
      </c>
      <c r="G446" s="1020">
        <v>2250000</v>
      </c>
      <c r="H446" s="1020" t="s">
        <v>3100</v>
      </c>
      <c r="I446" s="1036" t="s">
        <v>3105</v>
      </c>
      <c r="J446" s="24" t="s">
        <v>2209</v>
      </c>
      <c r="K446" s="1020">
        <f t="shared" ref="K446:K448" si="35">G446</f>
        <v>2250000</v>
      </c>
      <c r="L446" s="1020">
        <f t="shared" si="33"/>
        <v>0</v>
      </c>
      <c r="M446" s="1052"/>
    </row>
    <row r="447" spans="1:13" ht="30" customHeight="1" x14ac:dyDescent="0.2">
      <c r="A447" s="1053">
        <v>289</v>
      </c>
      <c r="B447" s="1052" t="s">
        <v>653</v>
      </c>
      <c r="C447" s="1034" t="s">
        <v>1354</v>
      </c>
      <c r="D447" s="1273">
        <v>25000000</v>
      </c>
      <c r="E447" s="1280">
        <v>5.3999999999999999E-2</v>
      </c>
      <c r="F447" s="1273">
        <f t="shared" si="32"/>
        <v>1350000</v>
      </c>
      <c r="G447" s="1020">
        <v>1350000</v>
      </c>
      <c r="H447" s="1020" t="s">
        <v>3139</v>
      </c>
      <c r="I447" s="1036" t="s">
        <v>3177</v>
      </c>
      <c r="J447" s="21" t="s">
        <v>654</v>
      </c>
      <c r="K447" s="1020">
        <f t="shared" si="35"/>
        <v>1350000</v>
      </c>
      <c r="L447" s="1305">
        <f t="shared" si="33"/>
        <v>0</v>
      </c>
      <c r="M447" s="1052"/>
    </row>
    <row r="448" spans="1:13" ht="30" customHeight="1" x14ac:dyDescent="0.2">
      <c r="A448" s="1053">
        <v>290</v>
      </c>
      <c r="B448" s="1052" t="s">
        <v>652</v>
      </c>
      <c r="C448" s="1034" t="s">
        <v>1343</v>
      </c>
      <c r="D448" s="1020">
        <v>800000000</v>
      </c>
      <c r="E448" s="1048">
        <v>5.5E-2</v>
      </c>
      <c r="F448" s="1020">
        <f t="shared" si="32"/>
        <v>44000000</v>
      </c>
      <c r="G448" s="1020"/>
      <c r="H448" s="1020"/>
      <c r="I448" s="1036"/>
      <c r="J448" s="24" t="s">
        <v>2202</v>
      </c>
      <c r="K448" s="1020">
        <f t="shared" si="35"/>
        <v>0</v>
      </c>
      <c r="L448" s="1020">
        <f t="shared" si="33"/>
        <v>44000000</v>
      </c>
      <c r="M448" s="171" t="s">
        <v>639</v>
      </c>
    </row>
    <row r="449" spans="1:13" ht="30" customHeight="1" x14ac:dyDescent="0.2">
      <c r="A449" s="1053">
        <v>292</v>
      </c>
      <c r="B449" s="1052" t="s">
        <v>143</v>
      </c>
      <c r="C449" s="1047" t="s">
        <v>1354</v>
      </c>
      <c r="D449" s="1020">
        <v>100000000</v>
      </c>
      <c r="E449" s="1048">
        <v>0.05</v>
      </c>
      <c r="F449" s="1020">
        <f t="shared" si="32"/>
        <v>5000000</v>
      </c>
      <c r="G449" s="1020">
        <v>5000000</v>
      </c>
      <c r="H449" s="1020" t="s">
        <v>3032</v>
      </c>
      <c r="I449" s="1036" t="s">
        <v>3146</v>
      </c>
      <c r="J449" s="70" t="s">
        <v>3147</v>
      </c>
      <c r="K449" s="1020">
        <f>G449</f>
        <v>5000000</v>
      </c>
      <c r="L449" s="1020">
        <f t="shared" si="33"/>
        <v>0</v>
      </c>
      <c r="M449" s="1052"/>
    </row>
    <row r="450" spans="1:13" ht="30" customHeight="1" x14ac:dyDescent="0.2">
      <c r="A450" s="1053">
        <v>293</v>
      </c>
      <c r="B450" s="1052" t="s">
        <v>144</v>
      </c>
      <c r="C450" s="1034" t="s">
        <v>1354</v>
      </c>
      <c r="D450" s="1020">
        <v>75000000</v>
      </c>
      <c r="E450" s="1048">
        <v>0.04</v>
      </c>
      <c r="F450" s="1020">
        <f>D450*E450</f>
        <v>3000000</v>
      </c>
      <c r="G450" s="1020">
        <v>3000000</v>
      </c>
      <c r="H450" s="1020" t="s">
        <v>3139</v>
      </c>
      <c r="I450" s="1036" t="s">
        <v>3192</v>
      </c>
      <c r="J450" s="21" t="s">
        <v>2307</v>
      </c>
      <c r="K450" s="1020">
        <f>G450</f>
        <v>3000000</v>
      </c>
      <c r="L450" s="1020">
        <f t="shared" si="33"/>
        <v>0</v>
      </c>
      <c r="M450" s="1052"/>
    </row>
    <row r="451" spans="1:13" ht="30" customHeight="1" x14ac:dyDescent="0.2">
      <c r="A451" s="3450"/>
      <c r="B451" s="3457" t="s">
        <v>145</v>
      </c>
      <c r="C451" s="3777" t="s">
        <v>2912</v>
      </c>
      <c r="D451" s="3778"/>
      <c r="E451" s="3778"/>
      <c r="F451" s="3779"/>
      <c r="G451" s="1203">
        <v>79000000</v>
      </c>
      <c r="H451" s="1203" t="s">
        <v>2847</v>
      </c>
      <c r="I451" s="1213" t="s">
        <v>2913</v>
      </c>
      <c r="J451" s="21" t="s">
        <v>2914</v>
      </c>
      <c r="K451" s="3442">
        <f>G451+G452+G453+G454</f>
        <v>300000000</v>
      </c>
      <c r="L451" s="3442">
        <f>300000000-K451</f>
        <v>0</v>
      </c>
      <c r="M451" s="3525"/>
    </row>
    <row r="452" spans="1:13" ht="33.75" customHeight="1" x14ac:dyDescent="0.2">
      <c r="A452" s="3456"/>
      <c r="B452" s="3459"/>
      <c r="C452" s="3780"/>
      <c r="D452" s="3781"/>
      <c r="E452" s="3781"/>
      <c r="F452" s="3782"/>
      <c r="G452" s="1203">
        <v>19000000</v>
      </c>
      <c r="H452" s="1203" t="s">
        <v>2847</v>
      </c>
      <c r="I452" s="1213" t="s">
        <v>2915</v>
      </c>
      <c r="J452" s="21" t="s">
        <v>2914</v>
      </c>
      <c r="K452" s="3461"/>
      <c r="L452" s="3461"/>
      <c r="M452" s="3643"/>
    </row>
    <row r="453" spans="1:13" ht="33.75" customHeight="1" x14ac:dyDescent="0.2">
      <c r="A453" s="3456"/>
      <c r="B453" s="3459"/>
      <c r="C453" s="3780"/>
      <c r="D453" s="3781"/>
      <c r="E453" s="3781"/>
      <c r="F453" s="3782"/>
      <c r="G453" s="1305">
        <v>200000000</v>
      </c>
      <c r="H453" s="1305"/>
      <c r="I453" s="1314"/>
      <c r="J453" s="21"/>
      <c r="K453" s="3461"/>
      <c r="L453" s="3461"/>
      <c r="M453" s="3643"/>
    </row>
    <row r="454" spans="1:13" ht="33.75" customHeight="1" x14ac:dyDescent="0.2">
      <c r="A454" s="3456"/>
      <c r="B454" s="3459"/>
      <c r="C454" s="3783"/>
      <c r="D454" s="3784"/>
      <c r="E454" s="3784"/>
      <c r="F454" s="3785"/>
      <c r="G454" s="1305">
        <v>2000000</v>
      </c>
      <c r="H454" s="1305" t="s">
        <v>3362</v>
      </c>
      <c r="I454" s="1314" t="s">
        <v>3389</v>
      </c>
      <c r="J454" s="21" t="s">
        <v>2914</v>
      </c>
      <c r="K454" s="3443"/>
      <c r="L454" s="3443"/>
      <c r="M454" s="3526"/>
    </row>
    <row r="455" spans="1:13" ht="30" customHeight="1" x14ac:dyDescent="0.2">
      <c r="A455" s="3451"/>
      <c r="B455" s="3458"/>
      <c r="C455" s="1034" t="s">
        <v>1354</v>
      </c>
      <c r="D455" s="1020">
        <v>100000000</v>
      </c>
      <c r="E455" s="1048">
        <v>0.05</v>
      </c>
      <c r="F455" s="1020">
        <f t="shared" si="32"/>
        <v>5000000</v>
      </c>
      <c r="G455" s="3442">
        <v>5500000</v>
      </c>
      <c r="H455" s="3442" t="s">
        <v>3139</v>
      </c>
      <c r="I455" s="3577" t="s">
        <v>3194</v>
      </c>
      <c r="J455" s="3442" t="s">
        <v>2914</v>
      </c>
      <c r="K455" s="3442">
        <f>G455</f>
        <v>5500000</v>
      </c>
      <c r="L455" s="3442">
        <f>(F455+F456)-G455</f>
        <v>0</v>
      </c>
      <c r="M455" s="3495"/>
    </row>
    <row r="456" spans="1:13" ht="30" customHeight="1" x14ac:dyDescent="0.2">
      <c r="A456" s="1053">
        <v>295</v>
      </c>
      <c r="B456" s="1052" t="s">
        <v>727</v>
      </c>
      <c r="C456" s="1034" t="s">
        <v>1354</v>
      </c>
      <c r="D456" s="1020">
        <v>10000000</v>
      </c>
      <c r="E456" s="1048">
        <v>0.05</v>
      </c>
      <c r="F456" s="1020">
        <f>D456*E456</f>
        <v>500000</v>
      </c>
      <c r="G456" s="3443"/>
      <c r="H456" s="3443"/>
      <c r="I456" s="3578"/>
      <c r="J456" s="3443"/>
      <c r="K456" s="3443"/>
      <c r="L456" s="3443"/>
      <c r="M456" s="3496"/>
    </row>
    <row r="457" spans="1:13" ht="30" customHeight="1" x14ac:dyDescent="0.2">
      <c r="A457" s="1053">
        <v>296</v>
      </c>
      <c r="B457" s="1052" t="s">
        <v>146</v>
      </c>
      <c r="C457" s="1034" t="s">
        <v>1378</v>
      </c>
      <c r="D457" s="1020">
        <v>35000000</v>
      </c>
      <c r="E457" s="1048">
        <v>0.04</v>
      </c>
      <c r="F457" s="1020">
        <f t="shared" si="32"/>
        <v>1400000</v>
      </c>
      <c r="G457" s="1020">
        <v>1400000</v>
      </c>
      <c r="H457" s="1020" t="s">
        <v>3139</v>
      </c>
      <c r="I457" s="1036" t="s">
        <v>3191</v>
      </c>
      <c r="J457" s="24" t="s">
        <v>2511</v>
      </c>
      <c r="K457" s="1020">
        <f>G457</f>
        <v>1400000</v>
      </c>
      <c r="L457" s="1020">
        <f t="shared" si="33"/>
        <v>0</v>
      </c>
      <c r="M457" s="1052"/>
    </row>
    <row r="458" spans="1:13" ht="30" customHeight="1" x14ac:dyDescent="0.2">
      <c r="A458" s="1053">
        <v>297</v>
      </c>
      <c r="B458" s="1052" t="s">
        <v>147</v>
      </c>
      <c r="C458" s="1034"/>
      <c r="D458" s="3386" t="s">
        <v>3185</v>
      </c>
      <c r="E458" s="3656"/>
      <c r="F458" s="3657"/>
      <c r="G458" s="1020">
        <v>50000000</v>
      </c>
      <c r="H458" s="1020" t="s">
        <v>3139</v>
      </c>
      <c r="I458" s="1036" t="s">
        <v>3183</v>
      </c>
      <c r="J458" s="1035" t="s">
        <v>3184</v>
      </c>
      <c r="K458" s="1020">
        <f>G458</f>
        <v>50000000</v>
      </c>
      <c r="L458" s="1305">
        <f>50000000-G458</f>
        <v>0</v>
      </c>
      <c r="M458" s="1052"/>
    </row>
    <row r="459" spans="1:13" ht="30" customHeight="1" x14ac:dyDescent="0.2">
      <c r="A459" s="1053">
        <v>298</v>
      </c>
      <c r="B459" s="1052" t="s">
        <v>148</v>
      </c>
      <c r="C459" s="1034" t="s">
        <v>1165</v>
      </c>
      <c r="D459" s="1020">
        <v>40000000</v>
      </c>
      <c r="E459" s="1048">
        <v>5.1999999999999998E-2</v>
      </c>
      <c r="F459" s="1020">
        <v>2000000</v>
      </c>
      <c r="G459" s="1020">
        <v>2000000</v>
      </c>
      <c r="H459" s="1020" t="s">
        <v>3032</v>
      </c>
      <c r="I459" s="1036" t="s">
        <v>3150</v>
      </c>
      <c r="J459" s="24" t="s">
        <v>1010</v>
      </c>
      <c r="K459" s="1020">
        <f>G459</f>
        <v>2000000</v>
      </c>
      <c r="L459" s="1020">
        <f t="shared" si="33"/>
        <v>0</v>
      </c>
      <c r="M459" s="1052"/>
    </row>
    <row r="460" spans="1:13" ht="30" customHeight="1" x14ac:dyDescent="0.2">
      <c r="A460" s="1053">
        <v>300</v>
      </c>
      <c r="B460" s="1054" t="s">
        <v>150</v>
      </c>
      <c r="C460" s="1047" t="s">
        <v>917</v>
      </c>
      <c r="D460" s="1035">
        <v>178000000</v>
      </c>
      <c r="E460" s="1048">
        <v>5.8999999999999997E-2</v>
      </c>
      <c r="F460" s="1035">
        <v>10500000</v>
      </c>
      <c r="G460" s="3769" t="s">
        <v>3255</v>
      </c>
      <c r="H460" s="3770"/>
      <c r="I460" s="3770"/>
      <c r="J460" s="3770"/>
      <c r="K460" s="3771"/>
      <c r="L460" s="1357"/>
      <c r="M460" s="1052"/>
    </row>
    <row r="461" spans="1:13" ht="30" customHeight="1" x14ac:dyDescent="0.2">
      <c r="A461" s="1053">
        <v>301</v>
      </c>
      <c r="B461" s="1052" t="s">
        <v>2477</v>
      </c>
      <c r="C461" s="1034"/>
      <c r="D461" s="1020">
        <v>10000000</v>
      </c>
      <c r="E461" s="1017">
        <v>0.04</v>
      </c>
      <c r="F461" s="1020">
        <f>D461*E461</f>
        <v>400000</v>
      </c>
      <c r="G461" s="1020">
        <v>400000</v>
      </c>
      <c r="H461" s="1020" t="s">
        <v>3262</v>
      </c>
      <c r="I461" s="1036" t="s">
        <v>3288</v>
      </c>
      <c r="J461" s="1036" t="s">
        <v>2478</v>
      </c>
      <c r="K461" s="1020">
        <f>G461</f>
        <v>400000</v>
      </c>
      <c r="L461" s="1020">
        <f t="shared" ref="L461:L494" si="36">F461-K461</f>
        <v>0</v>
      </c>
      <c r="M461" s="103"/>
    </row>
    <row r="462" spans="1:13" ht="30" customHeight="1" x14ac:dyDescent="0.2">
      <c r="A462" s="1053">
        <v>302</v>
      </c>
      <c r="B462" s="1052" t="s">
        <v>152</v>
      </c>
      <c r="C462" s="1034" t="s">
        <v>1351</v>
      </c>
      <c r="D462" s="1020">
        <v>60000000</v>
      </c>
      <c r="E462" s="1048">
        <v>4.4999999999999998E-2</v>
      </c>
      <c r="F462" s="1020">
        <f t="shared" si="32"/>
        <v>2700000</v>
      </c>
      <c r="G462" s="1020">
        <v>2700000</v>
      </c>
      <c r="H462" s="1020" t="s">
        <v>3279</v>
      </c>
      <c r="I462" s="1036" t="s">
        <v>3313</v>
      </c>
      <c r="J462" s="24" t="s">
        <v>3314</v>
      </c>
      <c r="K462" s="1020">
        <f>G462</f>
        <v>2700000</v>
      </c>
      <c r="L462" s="1020">
        <f t="shared" si="36"/>
        <v>0</v>
      </c>
      <c r="M462" s="1052"/>
    </row>
    <row r="463" spans="1:13" ht="30" customHeight="1" x14ac:dyDescent="0.2">
      <c r="A463" s="3450">
        <v>303</v>
      </c>
      <c r="B463" s="3457" t="s">
        <v>153</v>
      </c>
      <c r="C463" s="3570" t="s">
        <v>1909</v>
      </c>
      <c r="D463" s="3442">
        <v>1816000000</v>
      </c>
      <c r="E463" s="3444">
        <f t="shared" ref="E463" si="37">F463/D463</f>
        <v>7.306167400881057E-2</v>
      </c>
      <c r="F463" s="3442">
        <v>132680000</v>
      </c>
      <c r="G463" s="1397">
        <v>50000000</v>
      </c>
      <c r="H463" s="1397" t="s">
        <v>3362</v>
      </c>
      <c r="I463" s="1405" t="s">
        <v>3374</v>
      </c>
      <c r="J463" s="24" t="s">
        <v>1115</v>
      </c>
      <c r="K463" s="3442">
        <f>G463+G464+G465</f>
        <v>132680000</v>
      </c>
      <c r="L463" s="3442">
        <f>F463-K463</f>
        <v>0</v>
      </c>
      <c r="M463" s="1438" t="s">
        <v>2567</v>
      </c>
    </row>
    <row r="464" spans="1:13" ht="30" customHeight="1" x14ac:dyDescent="0.2">
      <c r="A464" s="3456"/>
      <c r="B464" s="3459"/>
      <c r="C464" s="3576"/>
      <c r="D464" s="3461"/>
      <c r="E464" s="3474"/>
      <c r="F464" s="3461"/>
      <c r="G464" s="1397">
        <v>25000000</v>
      </c>
      <c r="H464" s="1397" t="s">
        <v>3349</v>
      </c>
      <c r="I464" s="1405" t="s">
        <v>3410</v>
      </c>
      <c r="J464" s="24" t="s">
        <v>1115</v>
      </c>
      <c r="K464" s="3461"/>
      <c r="L464" s="3461"/>
      <c r="M464" s="1438"/>
    </row>
    <row r="465" spans="1:13" ht="30" customHeight="1" x14ac:dyDescent="0.2">
      <c r="A465" s="3456"/>
      <c r="B465" s="3459"/>
      <c r="C465" s="3576"/>
      <c r="D465" s="3461"/>
      <c r="E465" s="3474"/>
      <c r="F465" s="3461"/>
      <c r="G465" s="1397">
        <v>57680000</v>
      </c>
      <c r="H465" s="1397" t="s">
        <v>3433</v>
      </c>
      <c r="I465" s="1405" t="s">
        <v>3500</v>
      </c>
      <c r="J465" s="24" t="s">
        <v>1115</v>
      </c>
      <c r="K465" s="3443"/>
      <c r="L465" s="3443"/>
      <c r="M465" s="1438"/>
    </row>
    <row r="466" spans="1:13" ht="30" customHeight="1" x14ac:dyDescent="0.2">
      <c r="A466" s="3456"/>
      <c r="B466" s="3459"/>
      <c r="C466" s="3576"/>
      <c r="D466" s="3443"/>
      <c r="E466" s="3445"/>
      <c r="F466" s="3443"/>
      <c r="G466" s="3701" t="s">
        <v>3470</v>
      </c>
      <c r="H466" s="3701"/>
      <c r="I466" s="3701"/>
      <c r="J466" s="3701"/>
      <c r="K466" s="3701"/>
      <c r="L466" s="1458"/>
      <c r="M466" s="1438"/>
    </row>
    <row r="467" spans="1:13" ht="30" customHeight="1" x14ac:dyDescent="0.2">
      <c r="A467" s="3451"/>
      <c r="B467" s="3458"/>
      <c r="C467" s="3571"/>
      <c r="D467" s="1458">
        <f>D463+30000000</f>
        <v>1846000000</v>
      </c>
      <c r="E467" s="1456">
        <f>F467/D467</f>
        <v>7.3174431202600212E-2</v>
      </c>
      <c r="F467" s="1459">
        <v>135080000</v>
      </c>
      <c r="G467" s="3701" t="s">
        <v>3451</v>
      </c>
      <c r="H467" s="3701"/>
      <c r="I467" s="3701"/>
      <c r="J467" s="3701"/>
      <c r="K467" s="3701"/>
      <c r="L467" s="1458"/>
      <c r="M467" s="1438"/>
    </row>
    <row r="468" spans="1:13" ht="30" customHeight="1" x14ac:dyDescent="0.2">
      <c r="A468" s="3450">
        <v>305</v>
      </c>
      <c r="B468" s="3457" t="s">
        <v>155</v>
      </c>
      <c r="C468" s="3570"/>
      <c r="D468" s="3442">
        <v>750000000</v>
      </c>
      <c r="E468" s="3683">
        <v>6.5000000000000002E-2</v>
      </c>
      <c r="F468" s="3575">
        <v>48000000</v>
      </c>
      <c r="G468" s="1020">
        <v>4000000</v>
      </c>
      <c r="H468" s="1020" t="s">
        <v>2337</v>
      </c>
      <c r="I468" s="1041" t="s">
        <v>2761</v>
      </c>
      <c r="J468" s="24" t="s">
        <v>2299</v>
      </c>
      <c r="K468" s="3442">
        <f>G468+G469</f>
        <v>24000000</v>
      </c>
      <c r="L468" s="3442">
        <f t="shared" si="36"/>
        <v>24000000</v>
      </c>
      <c r="M468" s="385" t="s">
        <v>2821</v>
      </c>
    </row>
    <row r="469" spans="1:13" ht="30" customHeight="1" x14ac:dyDescent="0.2">
      <c r="A469" s="3456"/>
      <c r="B469" s="3459"/>
      <c r="C469" s="3576"/>
      <c r="D469" s="3443"/>
      <c r="E469" s="3683"/>
      <c r="F469" s="3575"/>
      <c r="G469" s="1020">
        <v>20000000</v>
      </c>
      <c r="H469" s="1020" t="s">
        <v>2839</v>
      </c>
      <c r="I469" s="1041" t="s">
        <v>2854</v>
      </c>
      <c r="J469" s="24" t="s">
        <v>2524</v>
      </c>
      <c r="K469" s="3443"/>
      <c r="L469" s="3443"/>
      <c r="M469" s="756" t="s">
        <v>3417</v>
      </c>
    </row>
    <row r="470" spans="1:13" ht="30" customHeight="1" x14ac:dyDescent="0.2">
      <c r="A470" s="3456"/>
      <c r="B470" s="3459"/>
      <c r="C470" s="3576"/>
      <c r="D470" s="3442">
        <v>750000000</v>
      </c>
      <c r="E470" s="3444">
        <v>6.5000000000000002E-2</v>
      </c>
      <c r="F470" s="3442">
        <v>48000000</v>
      </c>
      <c r="G470" s="1459">
        <v>10000000</v>
      </c>
      <c r="H470" s="1459" t="s">
        <v>3440</v>
      </c>
      <c r="I470" s="1476" t="s">
        <v>3487</v>
      </c>
      <c r="J470" s="24" t="s">
        <v>2524</v>
      </c>
      <c r="K470" s="3442">
        <f>G470+G471+G472+G473</f>
        <v>22000000</v>
      </c>
      <c r="L470" s="3442">
        <f>F470-10000000-K470</f>
        <v>16000000</v>
      </c>
      <c r="M470" s="3627" t="s">
        <v>3486</v>
      </c>
    </row>
    <row r="471" spans="1:13" ht="30" customHeight="1" x14ac:dyDescent="0.2">
      <c r="A471" s="3456"/>
      <c r="B471" s="3459"/>
      <c r="C471" s="3576"/>
      <c r="D471" s="3461"/>
      <c r="E471" s="3474"/>
      <c r="F471" s="3461"/>
      <c r="G471" s="1459">
        <v>10000000</v>
      </c>
      <c r="H471" s="1459" t="s">
        <v>3440</v>
      </c>
      <c r="I471" s="1476" t="s">
        <v>3488</v>
      </c>
      <c r="J471" s="24" t="s">
        <v>2524</v>
      </c>
      <c r="K471" s="3461"/>
      <c r="L471" s="3461"/>
      <c r="M471" s="3668"/>
    </row>
    <row r="472" spans="1:13" ht="30" customHeight="1" x14ac:dyDescent="0.2">
      <c r="A472" s="3456"/>
      <c r="B472" s="3459"/>
      <c r="C472" s="3576"/>
      <c r="D472" s="3461"/>
      <c r="E472" s="3474"/>
      <c r="F472" s="3461"/>
      <c r="G472" s="1459">
        <v>2000000</v>
      </c>
      <c r="H472" s="1459" t="s">
        <v>3440</v>
      </c>
      <c r="I472" s="1476" t="s">
        <v>3489</v>
      </c>
      <c r="J472" s="24" t="s">
        <v>2299</v>
      </c>
      <c r="K472" s="3461"/>
      <c r="L472" s="3461"/>
      <c r="M472" s="3668"/>
    </row>
    <row r="473" spans="1:13" ht="30" customHeight="1" x14ac:dyDescent="0.2">
      <c r="A473" s="3451"/>
      <c r="B473" s="3458"/>
      <c r="C473" s="3571"/>
      <c r="D473" s="3443"/>
      <c r="E473" s="3445"/>
      <c r="F473" s="3443"/>
      <c r="G473" s="1459"/>
      <c r="H473" s="1459"/>
      <c r="I473" s="1476"/>
      <c r="J473" s="24"/>
      <c r="K473" s="3443"/>
      <c r="L473" s="3443"/>
      <c r="M473" s="3628"/>
    </row>
    <row r="474" spans="1:13" ht="30" customHeight="1" x14ac:dyDescent="0.2">
      <c r="A474" s="1053">
        <v>307</v>
      </c>
      <c r="B474" s="1052" t="s">
        <v>157</v>
      </c>
      <c r="C474" s="1034" t="s">
        <v>1378</v>
      </c>
      <c r="D474" s="1020">
        <v>260000000</v>
      </c>
      <c r="E474" s="1048">
        <v>0.05</v>
      </c>
      <c r="F474" s="1020">
        <f t="shared" si="32"/>
        <v>13000000</v>
      </c>
      <c r="G474" s="1020">
        <v>13000000</v>
      </c>
      <c r="H474" s="1020" t="s">
        <v>3218</v>
      </c>
      <c r="I474" s="1036" t="s">
        <v>3235</v>
      </c>
      <c r="J474" s="24" t="s">
        <v>2539</v>
      </c>
      <c r="K474" s="1020">
        <f>G474</f>
        <v>13000000</v>
      </c>
      <c r="L474" s="1020">
        <f t="shared" si="36"/>
        <v>0</v>
      </c>
      <c r="M474" s="1052"/>
    </row>
    <row r="475" spans="1:13" ht="30" customHeight="1" x14ac:dyDescent="0.2">
      <c r="A475" s="1014">
        <v>308</v>
      </c>
      <c r="B475" s="1054" t="s">
        <v>158</v>
      </c>
      <c r="C475" s="1047" t="s">
        <v>1349</v>
      </c>
      <c r="D475" s="1035">
        <v>300000000</v>
      </c>
      <c r="E475" s="1048">
        <v>0.05</v>
      </c>
      <c r="F475" s="1035">
        <f t="shared" si="32"/>
        <v>15000000</v>
      </c>
      <c r="G475" s="3442">
        <v>24000000</v>
      </c>
      <c r="H475" s="3442" t="s">
        <v>3032</v>
      </c>
      <c r="I475" s="3577" t="s">
        <v>3127</v>
      </c>
      <c r="J475" s="3586" t="s">
        <v>1993</v>
      </c>
      <c r="K475" s="3442">
        <f>G475</f>
        <v>24000000</v>
      </c>
      <c r="L475" s="3442">
        <f>(F475+F476)-K475</f>
        <v>0</v>
      </c>
      <c r="M475" s="3525"/>
    </row>
    <row r="476" spans="1:13" ht="30" customHeight="1" x14ac:dyDescent="0.2">
      <c r="A476" s="1053">
        <v>309</v>
      </c>
      <c r="B476" s="1054" t="s">
        <v>1994</v>
      </c>
      <c r="C476" s="1047" t="s">
        <v>380</v>
      </c>
      <c r="D476" s="1020">
        <v>180000000</v>
      </c>
      <c r="E476" s="1017">
        <v>0.05</v>
      </c>
      <c r="F476" s="1020">
        <f>D476*E476</f>
        <v>9000000</v>
      </c>
      <c r="G476" s="3443"/>
      <c r="H476" s="3443"/>
      <c r="I476" s="3578"/>
      <c r="J476" s="3587"/>
      <c r="K476" s="3443"/>
      <c r="L476" s="3443"/>
      <c r="M476" s="3526"/>
    </row>
    <row r="477" spans="1:13" ht="30" customHeight="1" x14ac:dyDescent="0.2">
      <c r="A477" s="1014">
        <v>310</v>
      </c>
      <c r="B477" s="1052" t="s">
        <v>160</v>
      </c>
      <c r="C477" s="1034" t="s">
        <v>401</v>
      </c>
      <c r="D477" s="1020">
        <v>100000000</v>
      </c>
      <c r="E477" s="1017">
        <v>0.05</v>
      </c>
      <c r="F477" s="1020">
        <f t="shared" ref="F477:F493" si="38">D477*E477</f>
        <v>5000000</v>
      </c>
      <c r="G477" s="1020">
        <v>5000000</v>
      </c>
      <c r="H477" s="1020" t="s">
        <v>2790</v>
      </c>
      <c r="I477" s="1045" t="s">
        <v>2793</v>
      </c>
      <c r="J477" s="24" t="s">
        <v>1626</v>
      </c>
      <c r="K477" s="1020">
        <f>G477</f>
        <v>5000000</v>
      </c>
      <c r="L477" s="1020">
        <f t="shared" si="36"/>
        <v>0</v>
      </c>
      <c r="M477" s="1052"/>
    </row>
    <row r="478" spans="1:13" ht="30" customHeight="1" x14ac:dyDescent="0.2">
      <c r="A478" s="1053">
        <v>311</v>
      </c>
      <c r="B478" s="1052" t="s">
        <v>161</v>
      </c>
      <c r="C478" s="1034" t="s">
        <v>916</v>
      </c>
      <c r="D478" s="1020">
        <v>55000000</v>
      </c>
      <c r="E478" s="1048">
        <v>0.05</v>
      </c>
      <c r="F478" s="1020">
        <f t="shared" si="38"/>
        <v>2750000</v>
      </c>
      <c r="G478" s="1020">
        <v>2750000</v>
      </c>
      <c r="H478" s="1020" t="s">
        <v>2823</v>
      </c>
      <c r="I478" s="1037" t="s">
        <v>2884</v>
      </c>
      <c r="J478" s="1037" t="s">
        <v>391</v>
      </c>
      <c r="K478" s="1020">
        <f>G478</f>
        <v>2750000</v>
      </c>
      <c r="L478" s="1020">
        <f t="shared" si="36"/>
        <v>0</v>
      </c>
      <c r="M478" s="169"/>
    </row>
    <row r="479" spans="1:13" ht="30" customHeight="1" x14ac:dyDescent="0.2">
      <c r="A479" s="1014">
        <v>312</v>
      </c>
      <c r="B479" s="1052" t="s">
        <v>162</v>
      </c>
      <c r="C479" s="1034"/>
      <c r="D479" s="1026"/>
      <c r="E479" s="44"/>
      <c r="F479" s="1026">
        <f t="shared" si="38"/>
        <v>0</v>
      </c>
      <c r="G479" s="1020">
        <v>1000000</v>
      </c>
      <c r="H479" s="1020" t="s">
        <v>3349</v>
      </c>
      <c r="I479" s="1036" t="s">
        <v>3403</v>
      </c>
      <c r="J479" s="24" t="s">
        <v>3404</v>
      </c>
      <c r="K479" s="1020">
        <f>G479</f>
        <v>1000000</v>
      </c>
      <c r="L479" s="1026">
        <f t="shared" si="36"/>
        <v>-1000000</v>
      </c>
      <c r="M479" s="1052"/>
    </row>
    <row r="480" spans="1:13" ht="30" customHeight="1" x14ac:dyDescent="0.2">
      <c r="A480" s="1053">
        <v>313</v>
      </c>
      <c r="B480" s="22" t="s">
        <v>164</v>
      </c>
      <c r="C480" s="421"/>
      <c r="D480" s="1035">
        <v>152000000</v>
      </c>
      <c r="E480" s="1048">
        <v>0.05</v>
      </c>
      <c r="F480" s="1020">
        <f>D480*E480</f>
        <v>7600000</v>
      </c>
      <c r="G480" s="1020">
        <v>7600000</v>
      </c>
      <c r="H480" s="1020" t="s">
        <v>2790</v>
      </c>
      <c r="I480" s="1036" t="s">
        <v>2805</v>
      </c>
      <c r="J480" s="24" t="s">
        <v>1844</v>
      </c>
      <c r="K480" s="1020">
        <f>G480</f>
        <v>7600000</v>
      </c>
      <c r="L480" s="1020">
        <f t="shared" si="36"/>
        <v>0</v>
      </c>
      <c r="M480" s="1052"/>
    </row>
    <row r="481" spans="1:13" ht="30" customHeight="1" x14ac:dyDescent="0.2">
      <c r="A481" s="1014">
        <v>314</v>
      </c>
      <c r="B481" s="1013" t="s">
        <v>165</v>
      </c>
      <c r="C481" s="1034"/>
      <c r="D481" s="1020">
        <v>20000000</v>
      </c>
      <c r="E481" s="1048">
        <v>0.04</v>
      </c>
      <c r="F481" s="1020">
        <f t="shared" si="38"/>
        <v>800000</v>
      </c>
      <c r="G481" s="1020"/>
      <c r="H481" s="1020"/>
      <c r="I481" s="1036"/>
      <c r="J481" s="24"/>
      <c r="K481" s="1020"/>
      <c r="L481" s="1020">
        <f t="shared" si="36"/>
        <v>800000</v>
      </c>
      <c r="M481" s="103" t="s">
        <v>749</v>
      </c>
    </row>
    <row r="482" spans="1:13" ht="30" customHeight="1" x14ac:dyDescent="0.2">
      <c r="A482" s="1057">
        <v>315</v>
      </c>
      <c r="B482" s="22" t="s">
        <v>166</v>
      </c>
      <c r="C482" s="1073" t="s">
        <v>1219</v>
      </c>
      <c r="D482" s="1063">
        <v>400000000</v>
      </c>
      <c r="E482" s="1067">
        <v>6.3E-2</v>
      </c>
      <c r="F482" s="1063">
        <v>25000000</v>
      </c>
      <c r="G482" s="1063">
        <v>25000000</v>
      </c>
      <c r="H482" s="1063" t="s">
        <v>2823</v>
      </c>
      <c r="I482" s="424" t="s">
        <v>2828</v>
      </c>
      <c r="J482" s="1072" t="s">
        <v>455</v>
      </c>
      <c r="K482" s="247">
        <f t="shared" ref="K482:K491" si="39">G482</f>
        <v>25000000</v>
      </c>
      <c r="L482" s="1063">
        <f t="shared" si="36"/>
        <v>0</v>
      </c>
      <c r="M482" s="1062"/>
    </row>
    <row r="483" spans="1:13" ht="30" customHeight="1" x14ac:dyDescent="0.2">
      <c r="A483" s="1053">
        <v>316</v>
      </c>
      <c r="B483" s="1056" t="s">
        <v>167</v>
      </c>
      <c r="C483" s="1034"/>
      <c r="D483" s="1058">
        <v>35000000</v>
      </c>
      <c r="E483" s="1059">
        <v>0.04</v>
      </c>
      <c r="F483" s="1058">
        <f>D483*E483</f>
        <v>1400000</v>
      </c>
      <c r="G483" s="1058">
        <v>1400000</v>
      </c>
      <c r="H483" s="1058" t="s">
        <v>2847</v>
      </c>
      <c r="I483" s="1065" t="s">
        <v>2916</v>
      </c>
      <c r="J483" s="1064" t="s">
        <v>1823</v>
      </c>
      <c r="K483" s="1058">
        <f t="shared" si="39"/>
        <v>1400000</v>
      </c>
      <c r="L483" s="1058">
        <f t="shared" si="36"/>
        <v>0</v>
      </c>
      <c r="M483" s="1052"/>
    </row>
    <row r="484" spans="1:13" ht="30" customHeight="1" x14ac:dyDescent="0.2">
      <c r="A484" s="3450">
        <v>317</v>
      </c>
      <c r="B484" s="3457" t="s">
        <v>168</v>
      </c>
      <c r="C484" s="1034" t="s">
        <v>367</v>
      </c>
      <c r="D484" s="1184">
        <v>100000000</v>
      </c>
      <c r="E484" s="1190">
        <v>0.05</v>
      </c>
      <c r="F484" s="1184">
        <f>D484*E484</f>
        <v>5000000</v>
      </c>
      <c r="G484" s="1184">
        <v>5000000</v>
      </c>
      <c r="H484" s="1184" t="s">
        <v>2036</v>
      </c>
      <c r="I484" s="1189" t="s">
        <v>2988</v>
      </c>
      <c r="J484" s="24" t="s">
        <v>2187</v>
      </c>
      <c r="K484" s="1184">
        <f t="shared" si="39"/>
        <v>5000000</v>
      </c>
      <c r="L484" s="1184">
        <f t="shared" si="36"/>
        <v>0</v>
      </c>
      <c r="M484" s="103" t="s">
        <v>2842</v>
      </c>
    </row>
    <row r="485" spans="1:13" ht="30" customHeight="1" x14ac:dyDescent="0.2">
      <c r="A485" s="3456"/>
      <c r="B485" s="3459"/>
      <c r="C485" s="1187" t="s">
        <v>1342</v>
      </c>
      <c r="D485" s="1184">
        <v>210000000</v>
      </c>
      <c r="E485" s="1190">
        <v>0.05</v>
      </c>
      <c r="F485" s="1184">
        <f>D485*E485</f>
        <v>10500000</v>
      </c>
      <c r="G485" s="1184">
        <v>17000000</v>
      </c>
      <c r="H485" s="1184" t="s">
        <v>3032</v>
      </c>
      <c r="I485" s="1189" t="s">
        <v>3130</v>
      </c>
      <c r="J485" s="24" t="s">
        <v>3131</v>
      </c>
      <c r="K485" s="1184">
        <f t="shared" si="39"/>
        <v>17000000</v>
      </c>
      <c r="L485" s="1282">
        <f>17000000-K485</f>
        <v>0</v>
      </c>
      <c r="M485" s="103" t="s">
        <v>2843</v>
      </c>
    </row>
    <row r="486" spans="1:13" ht="30" customHeight="1" x14ac:dyDescent="0.2">
      <c r="A486" s="3451"/>
      <c r="B486" s="3458"/>
      <c r="C486" s="1423"/>
      <c r="D486" s="1418"/>
      <c r="E486" s="1428"/>
      <c r="F486" s="1418"/>
      <c r="G486" s="1422">
        <v>15000000</v>
      </c>
      <c r="H486" s="1422" t="s">
        <v>3421</v>
      </c>
      <c r="I486" s="118" t="s">
        <v>3426</v>
      </c>
      <c r="J486" s="61" t="s">
        <v>3131</v>
      </c>
      <c r="K486" s="1422">
        <f t="shared" si="39"/>
        <v>15000000</v>
      </c>
      <c r="L486" s="1422"/>
      <c r="M486" s="103" t="s">
        <v>3427</v>
      </c>
    </row>
    <row r="487" spans="1:13" ht="30" customHeight="1" x14ac:dyDescent="0.2">
      <c r="A487" s="1053">
        <v>318</v>
      </c>
      <c r="B487" s="1052" t="s">
        <v>170</v>
      </c>
      <c r="C487" s="1034"/>
      <c r="D487" s="1231">
        <v>80000000</v>
      </c>
      <c r="E487" s="1240">
        <v>0.05</v>
      </c>
      <c r="F487" s="1231">
        <f t="shared" si="38"/>
        <v>4000000</v>
      </c>
      <c r="G487" s="1231">
        <v>4000000</v>
      </c>
      <c r="H487" s="1231" t="s">
        <v>2036</v>
      </c>
      <c r="I487" s="1238" t="s">
        <v>2973</v>
      </c>
      <c r="J487" s="21" t="s">
        <v>1927</v>
      </c>
      <c r="K487" s="1231">
        <f t="shared" si="39"/>
        <v>4000000</v>
      </c>
      <c r="L487" s="1231">
        <f t="shared" si="36"/>
        <v>0</v>
      </c>
      <c r="M487" s="1052"/>
    </row>
    <row r="488" spans="1:13" ht="30" customHeight="1" x14ac:dyDescent="0.2">
      <c r="A488" s="1053">
        <v>319</v>
      </c>
      <c r="B488" s="1052" t="s">
        <v>171</v>
      </c>
      <c r="C488" s="1034" t="s">
        <v>1342</v>
      </c>
      <c r="D488" s="1020">
        <v>200000000</v>
      </c>
      <c r="E488" s="1048">
        <v>5.5E-2</v>
      </c>
      <c r="F488" s="1020">
        <f t="shared" si="38"/>
        <v>11000000</v>
      </c>
      <c r="G488" s="1020">
        <v>10000000</v>
      </c>
      <c r="H488" s="1020" t="s">
        <v>3262</v>
      </c>
      <c r="I488" s="1041" t="s">
        <v>3270</v>
      </c>
      <c r="J488" s="24" t="s">
        <v>3271</v>
      </c>
      <c r="K488" s="1020">
        <f t="shared" si="39"/>
        <v>10000000</v>
      </c>
      <c r="L488" s="1020">
        <f t="shared" si="36"/>
        <v>1000000</v>
      </c>
      <c r="M488" s="103"/>
    </row>
    <row r="489" spans="1:13" ht="30" customHeight="1" x14ac:dyDescent="0.2">
      <c r="A489" s="1053">
        <v>320</v>
      </c>
      <c r="B489" s="1052" t="s">
        <v>172</v>
      </c>
      <c r="C489" s="1034" t="s">
        <v>2408</v>
      </c>
      <c r="D489" s="1020">
        <v>135000000</v>
      </c>
      <c r="E489" s="1048">
        <v>0.06</v>
      </c>
      <c r="F489" s="1020">
        <v>8000000</v>
      </c>
      <c r="G489" s="1020">
        <v>8000000</v>
      </c>
      <c r="H489" s="1020" t="s">
        <v>3100</v>
      </c>
      <c r="I489" s="1036" t="s">
        <v>3104</v>
      </c>
      <c r="J489" s="24" t="s">
        <v>2204</v>
      </c>
      <c r="K489" s="1020">
        <f t="shared" si="39"/>
        <v>8000000</v>
      </c>
      <c r="L489" s="1282">
        <f t="shared" si="36"/>
        <v>0</v>
      </c>
      <c r="M489" s="103"/>
    </row>
    <row r="490" spans="1:13" ht="30" customHeight="1" x14ac:dyDescent="0.2">
      <c r="A490" s="1053">
        <v>321</v>
      </c>
      <c r="B490" s="1052" t="s">
        <v>174</v>
      </c>
      <c r="C490" s="1034"/>
      <c r="D490" s="1020">
        <v>5000000</v>
      </c>
      <c r="E490" s="1048">
        <v>0.04</v>
      </c>
      <c r="F490" s="1020">
        <f t="shared" si="38"/>
        <v>200000</v>
      </c>
      <c r="G490" s="1020">
        <v>200000</v>
      </c>
      <c r="H490" s="1020" t="s">
        <v>3262</v>
      </c>
      <c r="I490" s="1036" t="s">
        <v>3290</v>
      </c>
      <c r="J490" s="24" t="s">
        <v>2460</v>
      </c>
      <c r="K490" s="1020">
        <f t="shared" si="39"/>
        <v>200000</v>
      </c>
      <c r="L490" s="1020">
        <f t="shared" si="36"/>
        <v>0</v>
      </c>
      <c r="M490" s="1052"/>
    </row>
    <row r="491" spans="1:13" ht="30" customHeight="1" x14ac:dyDescent="0.2">
      <c r="A491" s="3450">
        <v>322</v>
      </c>
      <c r="B491" s="3457" t="s">
        <v>1450</v>
      </c>
      <c r="C491" s="3570" t="s">
        <v>1112</v>
      </c>
      <c r="D491" s="1020">
        <v>10000000</v>
      </c>
      <c r="E491" s="1048">
        <v>0.05</v>
      </c>
      <c r="F491" s="1020">
        <f t="shared" si="38"/>
        <v>500000</v>
      </c>
      <c r="G491" s="1020">
        <v>500000</v>
      </c>
      <c r="H491" s="1020" t="s">
        <v>2790</v>
      </c>
      <c r="I491" s="1045" t="s">
        <v>2796</v>
      </c>
      <c r="J491" s="1045" t="s">
        <v>1448</v>
      </c>
      <c r="K491" s="1020">
        <f t="shared" si="39"/>
        <v>500000</v>
      </c>
      <c r="L491" s="1020">
        <f t="shared" si="36"/>
        <v>0</v>
      </c>
      <c r="M491" s="103" t="s">
        <v>2659</v>
      </c>
    </row>
    <row r="492" spans="1:13" ht="30" customHeight="1" x14ac:dyDescent="0.2">
      <c r="A492" s="3451"/>
      <c r="B492" s="3458"/>
      <c r="C492" s="3571"/>
      <c r="D492" s="1020">
        <v>10000000</v>
      </c>
      <c r="E492" s="1048">
        <v>0.05</v>
      </c>
      <c r="F492" s="1020">
        <f t="shared" si="38"/>
        <v>500000</v>
      </c>
      <c r="G492" s="1020"/>
      <c r="H492" s="1020"/>
      <c r="I492" s="1045"/>
      <c r="J492" s="1045"/>
      <c r="K492" s="1020"/>
      <c r="L492" s="1020"/>
      <c r="M492" s="1052"/>
    </row>
    <row r="493" spans="1:13" ht="30" customHeight="1" x14ac:dyDescent="0.2">
      <c r="A493" s="1053">
        <v>323</v>
      </c>
      <c r="B493" s="1052" t="s">
        <v>175</v>
      </c>
      <c r="C493" s="1034"/>
      <c r="D493" s="1020">
        <v>60000000</v>
      </c>
      <c r="E493" s="1048">
        <v>4.4999999999999998E-2</v>
      </c>
      <c r="F493" s="1020">
        <f t="shared" si="38"/>
        <v>2700000</v>
      </c>
      <c r="G493" s="1020"/>
      <c r="H493" s="1020"/>
      <c r="I493" s="1036"/>
      <c r="J493" s="1036" t="s">
        <v>497</v>
      </c>
      <c r="K493" s="1020">
        <f>G493</f>
        <v>0</v>
      </c>
      <c r="L493" s="1020">
        <f t="shared" si="36"/>
        <v>2700000</v>
      </c>
      <c r="M493" s="1052"/>
    </row>
    <row r="494" spans="1:13" ht="30" customHeight="1" x14ac:dyDescent="0.2">
      <c r="A494" s="1053">
        <v>324</v>
      </c>
      <c r="B494" s="1052" t="s">
        <v>176</v>
      </c>
      <c r="C494" s="1034" t="s">
        <v>916</v>
      </c>
      <c r="D494" s="1020">
        <v>20000000</v>
      </c>
      <c r="E494" s="1048">
        <v>0.05</v>
      </c>
      <c r="F494" s="1020">
        <f>D494*E494</f>
        <v>1000000</v>
      </c>
      <c r="G494" s="1020">
        <v>1000000</v>
      </c>
      <c r="H494" s="1020" t="s">
        <v>2937</v>
      </c>
      <c r="I494" s="1038">
        <v>344868</v>
      </c>
      <c r="J494" s="24" t="s">
        <v>1839</v>
      </c>
      <c r="K494" s="1020">
        <f>G494</f>
        <v>1000000</v>
      </c>
      <c r="L494" s="1020">
        <f t="shared" si="36"/>
        <v>0</v>
      </c>
      <c r="M494" s="1052"/>
    </row>
    <row r="495" spans="1:13" ht="30" customHeight="1" x14ac:dyDescent="0.2">
      <c r="A495" s="3450">
        <v>325</v>
      </c>
      <c r="B495" s="3457" t="s">
        <v>273</v>
      </c>
      <c r="C495" s="3570"/>
      <c r="D495" s="1020">
        <v>300000000</v>
      </c>
      <c r="E495" s="1048">
        <v>0.1</v>
      </c>
      <c r="F495" s="1020">
        <v>30750000</v>
      </c>
      <c r="G495" s="3442">
        <v>40550000</v>
      </c>
      <c r="H495" s="3442" t="s">
        <v>3051</v>
      </c>
      <c r="I495" s="3593" t="s">
        <v>3061</v>
      </c>
      <c r="J495" s="3452" t="s">
        <v>3062</v>
      </c>
      <c r="K495" s="3442">
        <f>G495</f>
        <v>40550000</v>
      </c>
      <c r="L495" s="3442">
        <f>(F495+F496)-K495</f>
        <v>0</v>
      </c>
      <c r="M495" s="3570"/>
    </row>
    <row r="496" spans="1:13" ht="30" customHeight="1" x14ac:dyDescent="0.2">
      <c r="A496" s="3451"/>
      <c r="B496" s="3458"/>
      <c r="C496" s="3571"/>
      <c r="D496" s="1020">
        <v>140000000</v>
      </c>
      <c r="E496" s="1048">
        <v>7.0000000000000007E-2</v>
      </c>
      <c r="F496" s="1020">
        <v>9800000</v>
      </c>
      <c r="G496" s="3443"/>
      <c r="H496" s="3443"/>
      <c r="I496" s="3594"/>
      <c r="J496" s="3453"/>
      <c r="K496" s="3443"/>
      <c r="L496" s="3443"/>
      <c r="M496" s="3571"/>
    </row>
    <row r="497" spans="1:13" ht="30" customHeight="1" x14ac:dyDescent="0.2">
      <c r="A497" s="3450">
        <v>326</v>
      </c>
      <c r="B497" s="3457" t="s">
        <v>179</v>
      </c>
      <c r="C497" s="3570"/>
      <c r="D497" s="3442">
        <v>500000000</v>
      </c>
      <c r="E497" s="3444">
        <v>0.05</v>
      </c>
      <c r="F497" s="3442">
        <f>D497*E497</f>
        <v>25000000</v>
      </c>
      <c r="G497" s="3610" t="s">
        <v>2960</v>
      </c>
      <c r="H497" s="3611"/>
      <c r="I497" s="3611"/>
      <c r="J497" s="3611"/>
      <c r="K497" s="3612"/>
      <c r="L497" s="1237">
        <f>F497-K497</f>
        <v>25000000</v>
      </c>
      <c r="M497" s="813"/>
    </row>
    <row r="498" spans="1:13" ht="30" customHeight="1" x14ac:dyDescent="0.2">
      <c r="A498" s="3456"/>
      <c r="B498" s="3459"/>
      <c r="C498" s="3576"/>
      <c r="D498" s="3461"/>
      <c r="E498" s="3474"/>
      <c r="F498" s="3461"/>
      <c r="G498" s="3610" t="s">
        <v>2961</v>
      </c>
      <c r="H498" s="3611"/>
      <c r="I498" s="3611"/>
      <c r="J498" s="3611"/>
      <c r="K498" s="3612"/>
      <c r="L498" s="1231"/>
      <c r="M498" s="1389"/>
    </row>
    <row r="499" spans="1:13" ht="30" customHeight="1" x14ac:dyDescent="0.2">
      <c r="A499" s="3456"/>
      <c r="B499" s="3459"/>
      <c r="C499" s="3576"/>
      <c r="D499" s="3461"/>
      <c r="E499" s="3474"/>
      <c r="F499" s="3461"/>
      <c r="G499" s="3610" t="s">
        <v>2962</v>
      </c>
      <c r="H499" s="3611"/>
      <c r="I499" s="3611"/>
      <c r="J499" s="3611"/>
      <c r="K499" s="3612"/>
      <c r="L499" s="1231"/>
      <c r="M499" s="1389"/>
    </row>
    <row r="500" spans="1:13" ht="30" customHeight="1" x14ac:dyDescent="0.2">
      <c r="A500" s="3456"/>
      <c r="B500" s="3459"/>
      <c r="C500" s="3576"/>
      <c r="D500" s="3461"/>
      <c r="E500" s="3474"/>
      <c r="F500" s="3461"/>
      <c r="G500" s="1231">
        <v>8000000</v>
      </c>
      <c r="H500" s="1231" t="s">
        <v>3010</v>
      </c>
      <c r="I500" s="1243" t="s">
        <v>3084</v>
      </c>
      <c r="J500" s="24" t="s">
        <v>3085</v>
      </c>
      <c r="K500" s="1231">
        <f>G500</f>
        <v>8000000</v>
      </c>
      <c r="L500" s="1231"/>
      <c r="M500" s="1389"/>
    </row>
    <row r="501" spans="1:13" ht="30" customHeight="1" x14ac:dyDescent="0.2">
      <c r="A501" s="3451"/>
      <c r="B501" s="3458"/>
      <c r="C501" s="3571"/>
      <c r="D501" s="3443"/>
      <c r="E501" s="3445"/>
      <c r="F501" s="3443"/>
      <c r="G501" s="1364">
        <v>200000000</v>
      </c>
      <c r="H501" s="1364" t="s">
        <v>3236</v>
      </c>
      <c r="I501" s="1380" t="s">
        <v>3259</v>
      </c>
      <c r="J501" s="24" t="s">
        <v>3260</v>
      </c>
      <c r="K501" s="1364">
        <f>G501</f>
        <v>200000000</v>
      </c>
      <c r="L501" s="1364"/>
      <c r="M501" s="756" t="s">
        <v>3261</v>
      </c>
    </row>
    <row r="502" spans="1:13" ht="30" customHeight="1" x14ac:dyDescent="0.2">
      <c r="A502" s="1053">
        <v>327</v>
      </c>
      <c r="B502" s="991" t="s">
        <v>1280</v>
      </c>
      <c r="C502" s="992"/>
      <c r="D502" s="993">
        <v>60000000</v>
      </c>
      <c r="E502" s="994">
        <v>0.05</v>
      </c>
      <c r="F502" s="993">
        <f t="shared" ref="F502:F505" si="40">D502*E502</f>
        <v>3000000</v>
      </c>
      <c r="G502" s="993">
        <v>3000000</v>
      </c>
      <c r="H502" s="993" t="s">
        <v>2642</v>
      </c>
      <c r="I502" s="995" t="s">
        <v>2643</v>
      </c>
      <c r="J502" s="996" t="s">
        <v>2644</v>
      </c>
      <c r="K502" s="993">
        <f>G502</f>
        <v>3000000</v>
      </c>
      <c r="L502" s="993">
        <f t="shared" ref="L502:L505" si="41">F502-K502</f>
        <v>0</v>
      </c>
      <c r="M502" s="103"/>
    </row>
    <row r="503" spans="1:13" ht="30" customHeight="1" x14ac:dyDescent="0.2">
      <c r="A503" s="1053">
        <v>328</v>
      </c>
      <c r="B503" s="3457" t="s">
        <v>2809</v>
      </c>
      <c r="C503" s="3570" t="s">
        <v>971</v>
      </c>
      <c r="D503" s="1020">
        <v>726100000</v>
      </c>
      <c r="E503" s="1048">
        <v>0.06</v>
      </c>
      <c r="F503" s="1020">
        <f>D503*E503</f>
        <v>43566000</v>
      </c>
      <c r="G503" s="3769" t="s">
        <v>2812</v>
      </c>
      <c r="H503" s="3770"/>
      <c r="I503" s="3770"/>
      <c r="J503" s="3770"/>
      <c r="K503" s="3771"/>
      <c r="L503" s="1020"/>
      <c r="M503" s="103"/>
    </row>
    <row r="504" spans="1:13" ht="30" customHeight="1" x14ac:dyDescent="0.2">
      <c r="A504" s="1159"/>
      <c r="B504" s="3459"/>
      <c r="C504" s="3576"/>
      <c r="D504" s="3144">
        <f>D503+18900000</f>
        <v>745000000</v>
      </c>
      <c r="E504" s="949">
        <v>0.06</v>
      </c>
      <c r="F504" s="3144">
        <f>D504*E504</f>
        <v>44700000</v>
      </c>
      <c r="G504" s="3478" t="s">
        <v>4828</v>
      </c>
      <c r="H504" s="3479"/>
      <c r="I504" s="3479"/>
      <c r="J504" s="3480"/>
      <c r="K504" s="1162"/>
      <c r="L504" s="1162"/>
      <c r="M504" s="1163"/>
    </row>
    <row r="505" spans="1:13" ht="30" customHeight="1" x14ac:dyDescent="0.2">
      <c r="A505" s="1014">
        <v>329</v>
      </c>
      <c r="B505" s="1054" t="s">
        <v>184</v>
      </c>
      <c r="C505" s="421"/>
      <c r="D505" s="1029"/>
      <c r="E505" s="44"/>
      <c r="F505" s="1029">
        <f t="shared" si="40"/>
        <v>0</v>
      </c>
      <c r="G505" s="1035"/>
      <c r="H505" s="1035"/>
      <c r="I505" s="424"/>
      <c r="J505" s="1051"/>
      <c r="K505" s="1035"/>
      <c r="L505" s="1029">
        <f t="shared" si="41"/>
        <v>0</v>
      </c>
      <c r="M505" s="1032"/>
    </row>
    <row r="506" spans="1:13" ht="30" customHeight="1" x14ac:dyDescent="0.2">
      <c r="A506" s="1053">
        <v>330</v>
      </c>
      <c r="B506" s="1052" t="s">
        <v>1211</v>
      </c>
      <c r="C506" s="1034" t="s">
        <v>1175</v>
      </c>
      <c r="D506" s="1020">
        <v>30000000</v>
      </c>
      <c r="E506" s="1017">
        <f>F506/D506</f>
        <v>0.05</v>
      </c>
      <c r="F506" s="1020">
        <v>1500000</v>
      </c>
      <c r="G506" s="1020">
        <v>1500000</v>
      </c>
      <c r="H506" s="1020" t="s">
        <v>3349</v>
      </c>
      <c r="I506" s="1036" t="s">
        <v>3406</v>
      </c>
      <c r="J506" s="24" t="s">
        <v>2580</v>
      </c>
      <c r="K506" s="1020">
        <f>G506</f>
        <v>1500000</v>
      </c>
      <c r="L506" s="1020">
        <f>F506-K506</f>
        <v>0</v>
      </c>
      <c r="M506" s="1052"/>
    </row>
    <row r="507" spans="1:13" ht="30" customHeight="1" x14ac:dyDescent="0.2">
      <c r="A507" s="3450">
        <v>331</v>
      </c>
      <c r="B507" s="3457" t="s">
        <v>345</v>
      </c>
      <c r="C507" s="3570" t="s">
        <v>379</v>
      </c>
      <c r="D507" s="3442">
        <v>280000000</v>
      </c>
      <c r="E507" s="3444">
        <v>0.06</v>
      </c>
      <c r="F507" s="3442">
        <f t="shared" ref="F507:F514" si="42">D507*E507</f>
        <v>16800000</v>
      </c>
      <c r="G507" s="3325" t="s">
        <v>2844</v>
      </c>
      <c r="H507" s="3340"/>
      <c r="I507" s="3340"/>
      <c r="J507" s="3341"/>
      <c r="K507" s="3575">
        <f>10000000+G508</f>
        <v>16800000</v>
      </c>
      <c r="L507" s="3575">
        <f>F507-K507</f>
        <v>0</v>
      </c>
      <c r="M507" s="3525"/>
    </row>
    <row r="508" spans="1:13" ht="30" customHeight="1" x14ac:dyDescent="0.2">
      <c r="A508" s="3456"/>
      <c r="B508" s="3459"/>
      <c r="C508" s="3576"/>
      <c r="D508" s="3443"/>
      <c r="E508" s="3445"/>
      <c r="F508" s="3443"/>
      <c r="G508" s="1221">
        <v>6800000</v>
      </c>
      <c r="H508" s="1221" t="s">
        <v>2937</v>
      </c>
      <c r="I508" s="1224" t="s">
        <v>2947</v>
      </c>
      <c r="J508" s="24" t="s">
        <v>2948</v>
      </c>
      <c r="K508" s="3575"/>
      <c r="L508" s="3575"/>
      <c r="M508" s="3643"/>
    </row>
    <row r="509" spans="1:13" ht="30" customHeight="1" x14ac:dyDescent="0.2">
      <c r="A509" s="3451"/>
      <c r="B509" s="3458"/>
      <c r="C509" s="3571"/>
      <c r="D509" s="1221">
        <v>290000000</v>
      </c>
      <c r="E509" s="1225">
        <v>0.06</v>
      </c>
      <c r="F509" s="1221">
        <f>D509*E509</f>
        <v>17400000</v>
      </c>
      <c r="G509" s="3610" t="s">
        <v>2946</v>
      </c>
      <c r="H509" s="3611"/>
      <c r="I509" s="3611"/>
      <c r="J509" s="3612"/>
      <c r="K509" s="1220"/>
      <c r="L509" s="1220"/>
      <c r="M509" s="3526"/>
    </row>
    <row r="510" spans="1:13" ht="30" customHeight="1" x14ac:dyDescent="0.2">
      <c r="A510" s="1053">
        <v>332</v>
      </c>
      <c r="B510" s="1052" t="s">
        <v>378</v>
      </c>
      <c r="C510" s="1034" t="s">
        <v>379</v>
      </c>
      <c r="D510" s="1020">
        <v>30000000</v>
      </c>
      <c r="E510" s="1048">
        <v>0.05</v>
      </c>
      <c r="F510" s="1020">
        <f t="shared" si="42"/>
        <v>1500000</v>
      </c>
      <c r="G510" s="1020">
        <v>1500000</v>
      </c>
      <c r="H510" s="1020" t="s">
        <v>3051</v>
      </c>
      <c r="I510" s="1036" t="s">
        <v>3080</v>
      </c>
      <c r="J510" s="24" t="s">
        <v>1948</v>
      </c>
      <c r="K510" s="1018">
        <f>G510</f>
        <v>1500000</v>
      </c>
      <c r="L510" s="1018">
        <f>F510-K510</f>
        <v>0</v>
      </c>
      <c r="M510" s="1052"/>
    </row>
    <row r="511" spans="1:13" ht="30" customHeight="1" x14ac:dyDescent="0.2">
      <c r="A511" s="3450">
        <v>333</v>
      </c>
      <c r="B511" s="3457" t="s">
        <v>915</v>
      </c>
      <c r="C511" s="1034" t="s">
        <v>916</v>
      </c>
      <c r="D511" s="1020">
        <v>320000000</v>
      </c>
      <c r="E511" s="1048">
        <v>0.05</v>
      </c>
      <c r="F511" s="1020">
        <f t="shared" si="42"/>
        <v>16000000</v>
      </c>
      <c r="G511" s="3442">
        <v>21000000</v>
      </c>
      <c r="H511" s="3442" t="s">
        <v>2847</v>
      </c>
      <c r="I511" s="3684" t="s">
        <v>3200</v>
      </c>
      <c r="J511" s="3452" t="s">
        <v>1395</v>
      </c>
      <c r="K511" s="3575">
        <f>G511</f>
        <v>21000000</v>
      </c>
      <c r="L511" s="3575">
        <f>(F511+F512)-K511</f>
        <v>0</v>
      </c>
      <c r="M511" s="3525"/>
    </row>
    <row r="512" spans="1:13" ht="30" customHeight="1" x14ac:dyDescent="0.2">
      <c r="A512" s="3451"/>
      <c r="B512" s="3458"/>
      <c r="C512" s="1034" t="s">
        <v>917</v>
      </c>
      <c r="D512" s="1020">
        <v>100000000</v>
      </c>
      <c r="E512" s="1048">
        <v>0.05</v>
      </c>
      <c r="F512" s="1020">
        <f t="shared" si="42"/>
        <v>5000000</v>
      </c>
      <c r="G512" s="3443"/>
      <c r="H512" s="3443"/>
      <c r="I512" s="3685"/>
      <c r="J512" s="3453"/>
      <c r="K512" s="3575"/>
      <c r="L512" s="3575"/>
      <c r="M512" s="3526"/>
    </row>
    <row r="513" spans="1:18" ht="30" customHeight="1" x14ac:dyDescent="0.2">
      <c r="A513" s="1053">
        <v>334</v>
      </c>
      <c r="B513" s="1013" t="s">
        <v>1312</v>
      </c>
      <c r="C513" s="1034" t="s">
        <v>916</v>
      </c>
      <c r="D513" s="1020">
        <v>100000000</v>
      </c>
      <c r="E513" s="1048">
        <v>0.05</v>
      </c>
      <c r="F513" s="1020">
        <f t="shared" si="42"/>
        <v>5000000</v>
      </c>
      <c r="G513" s="1020">
        <v>5000000</v>
      </c>
      <c r="H513" s="1020" t="s">
        <v>2847</v>
      </c>
      <c r="I513" s="1036" t="s">
        <v>2921</v>
      </c>
      <c r="J513" s="24" t="s">
        <v>2922</v>
      </c>
      <c r="K513" s="1020">
        <f>G513</f>
        <v>5000000</v>
      </c>
      <c r="L513" s="1020">
        <f>F513-K513</f>
        <v>0</v>
      </c>
      <c r="M513" s="1052"/>
    </row>
    <row r="514" spans="1:18" ht="30" customHeight="1" x14ac:dyDescent="0.2">
      <c r="A514" s="3450">
        <v>335</v>
      </c>
      <c r="B514" s="3457" t="s">
        <v>1328</v>
      </c>
      <c r="C514" s="3570" t="s">
        <v>916</v>
      </c>
      <c r="D514" s="1020">
        <v>10000000</v>
      </c>
      <c r="E514" s="1048">
        <v>0.05</v>
      </c>
      <c r="F514" s="1020">
        <f t="shared" si="42"/>
        <v>500000</v>
      </c>
      <c r="G514" s="1020">
        <v>500000</v>
      </c>
      <c r="H514" s="1020" t="s">
        <v>2823</v>
      </c>
      <c r="I514" s="1036" t="s">
        <v>2880</v>
      </c>
      <c r="J514" s="24" t="s">
        <v>2881</v>
      </c>
      <c r="K514" s="1020">
        <f>G514</f>
        <v>500000</v>
      </c>
      <c r="L514" s="1020">
        <f>F514-K514</f>
        <v>0</v>
      </c>
      <c r="M514" s="1052"/>
    </row>
    <row r="515" spans="1:18" ht="30" customHeight="1" x14ac:dyDescent="0.2">
      <c r="A515" s="3451"/>
      <c r="B515" s="3458"/>
      <c r="C515" s="3571"/>
      <c r="D515" s="1459">
        <v>5000000</v>
      </c>
      <c r="E515" s="1485"/>
      <c r="F515" s="1459"/>
      <c r="G515" s="3610" t="s">
        <v>3452</v>
      </c>
      <c r="H515" s="3611"/>
      <c r="I515" s="3611"/>
      <c r="J515" s="3612"/>
      <c r="K515" s="1459"/>
      <c r="L515" s="1459"/>
      <c r="M515" s="1486"/>
    </row>
    <row r="516" spans="1:18" ht="30" customHeight="1" x14ac:dyDescent="0.2">
      <c r="A516" s="1053">
        <v>336</v>
      </c>
      <c r="B516" s="1013" t="s">
        <v>2710</v>
      </c>
      <c r="C516" s="1034" t="s">
        <v>916</v>
      </c>
      <c r="D516" s="1087">
        <v>210000000</v>
      </c>
      <c r="E516" s="1094">
        <v>0.05</v>
      </c>
      <c r="F516" s="1087">
        <f>D516*E516</f>
        <v>10500000</v>
      </c>
      <c r="G516" s="1020">
        <v>10500000</v>
      </c>
      <c r="H516" s="1020" t="s">
        <v>2666</v>
      </c>
      <c r="I516" s="1041" t="s">
        <v>2676</v>
      </c>
      <c r="J516" s="24" t="s">
        <v>1389</v>
      </c>
      <c r="K516" s="1020">
        <f>G516</f>
        <v>10500000</v>
      </c>
      <c r="L516" s="1020">
        <f>F516-K516</f>
        <v>0</v>
      </c>
      <c r="M516" s="1052"/>
    </row>
    <row r="517" spans="1:18" ht="30" customHeight="1" x14ac:dyDescent="0.2">
      <c r="A517" s="1053">
        <v>337</v>
      </c>
      <c r="B517" s="1013" t="s">
        <v>1376</v>
      </c>
      <c r="C517" s="1034" t="s">
        <v>916</v>
      </c>
      <c r="D517" s="1020">
        <v>80000000</v>
      </c>
      <c r="E517" s="1048">
        <v>7.0000000000000007E-2</v>
      </c>
      <c r="F517" s="1020">
        <f t="shared" ref="F517:F527" si="43">D517*E517</f>
        <v>5600000.0000000009</v>
      </c>
      <c r="G517" s="1020">
        <v>5600000</v>
      </c>
      <c r="H517" s="1020" t="s">
        <v>2790</v>
      </c>
      <c r="I517" s="1036" t="s">
        <v>2807</v>
      </c>
      <c r="J517" s="24" t="s">
        <v>1667</v>
      </c>
      <c r="K517" s="1020">
        <f>G517</f>
        <v>5600000</v>
      </c>
      <c r="L517" s="1020">
        <f>G517-K517</f>
        <v>0</v>
      </c>
      <c r="M517" s="1052"/>
    </row>
    <row r="518" spans="1:18" ht="30" customHeight="1" x14ac:dyDescent="0.2">
      <c r="A518" s="3450">
        <v>338</v>
      </c>
      <c r="B518" s="3497" t="s">
        <v>1776</v>
      </c>
      <c r="C518" s="3598"/>
      <c r="D518" s="1461">
        <v>235500000</v>
      </c>
      <c r="E518" s="1485">
        <v>0.05</v>
      </c>
      <c r="F518" s="1459">
        <f t="shared" si="43"/>
        <v>11775000</v>
      </c>
      <c r="G518" s="1459"/>
      <c r="H518" s="247"/>
      <c r="I518" s="247"/>
      <c r="J518" s="247"/>
      <c r="K518" s="247"/>
      <c r="L518" s="3442">
        <f>(F518+F519)-K519</f>
        <v>32775000.000000004</v>
      </c>
      <c r="M518" s="3525"/>
    </row>
    <row r="519" spans="1:18" ht="30" customHeight="1" x14ac:dyDescent="0.2">
      <c r="A519" s="3456"/>
      <c r="B519" s="3773"/>
      <c r="C519" s="3708"/>
      <c r="D519" s="1459">
        <v>300000000</v>
      </c>
      <c r="E519" s="1485">
        <v>7.0000000000000007E-2</v>
      </c>
      <c r="F519" s="1459">
        <f t="shared" si="43"/>
        <v>21000000.000000004</v>
      </c>
      <c r="G519" s="1459"/>
      <c r="H519" s="1472"/>
      <c r="I519" s="1472"/>
      <c r="J519" s="1472"/>
      <c r="K519" s="1472"/>
      <c r="L519" s="3443"/>
      <c r="M519" s="3526"/>
    </row>
    <row r="520" spans="1:18" ht="30" customHeight="1" x14ac:dyDescent="0.2">
      <c r="A520" s="3456"/>
      <c r="B520" s="3773"/>
      <c r="C520" s="3708"/>
      <c r="D520" s="1459">
        <v>30000000</v>
      </c>
      <c r="E520" s="1485">
        <v>7.0000000000000007E-2</v>
      </c>
      <c r="F520" s="1459">
        <f t="shared" si="43"/>
        <v>2100000</v>
      </c>
      <c r="G520" s="3615" t="s">
        <v>1578</v>
      </c>
      <c r="H520" s="3616"/>
      <c r="I520" s="3616"/>
      <c r="J520" s="3616"/>
      <c r="K520" s="3616"/>
      <c r="L520" s="3617"/>
      <c r="M520" s="3620" t="s">
        <v>1581</v>
      </c>
    </row>
    <row r="521" spans="1:18" ht="30" customHeight="1" x14ac:dyDescent="0.2">
      <c r="A521" s="3456"/>
      <c r="B521" s="3773"/>
      <c r="C521" s="3708"/>
      <c r="D521" s="1472">
        <v>20000000</v>
      </c>
      <c r="E521" s="1455">
        <v>7.0000000000000007E-2</v>
      </c>
      <c r="F521" s="1472">
        <f>D521*E521</f>
        <v>1400000.0000000002</v>
      </c>
      <c r="G521" s="3644" t="s">
        <v>1580</v>
      </c>
      <c r="H521" s="3645"/>
      <c r="I521" s="3645"/>
      <c r="J521" s="3645"/>
      <c r="K521" s="3645"/>
      <c r="L521" s="3646"/>
      <c r="M521" s="3711"/>
    </row>
    <row r="522" spans="1:18" ht="30" customHeight="1" x14ac:dyDescent="0.2">
      <c r="A522" s="3456"/>
      <c r="B522" s="3773"/>
      <c r="C522" s="3708"/>
      <c r="D522" s="1472">
        <v>12000000</v>
      </c>
      <c r="E522" s="1455">
        <v>7.0000000000000007E-2</v>
      </c>
      <c r="F522" s="1472">
        <f>D522*E522</f>
        <v>840000.00000000012</v>
      </c>
      <c r="G522" s="3701" t="s">
        <v>1578</v>
      </c>
      <c r="H522" s="3701"/>
      <c r="I522" s="3701"/>
      <c r="J522" s="3701"/>
      <c r="K522" s="3701"/>
      <c r="L522" s="3701"/>
      <c r="M522" s="3711"/>
    </row>
    <row r="523" spans="1:18" ht="30" customHeight="1" x14ac:dyDescent="0.2">
      <c r="A523" s="3456"/>
      <c r="B523" s="3773"/>
      <c r="C523" s="3708"/>
      <c r="D523" s="1453">
        <f>SUM(D519:D522)</f>
        <v>362000000</v>
      </c>
      <c r="E523" s="1455">
        <v>7.0000000000000007E-2</v>
      </c>
      <c r="F523" s="1472">
        <f>D523*E523</f>
        <v>25340000.000000004</v>
      </c>
      <c r="G523" s="1488"/>
      <c r="H523" s="1488"/>
      <c r="I523" s="1507"/>
      <c r="J523" s="1488"/>
      <c r="K523" s="1478"/>
      <c r="L523" s="1488"/>
      <c r="M523" s="3711"/>
    </row>
    <row r="524" spans="1:18" ht="30" customHeight="1" x14ac:dyDescent="0.2">
      <c r="A524" s="3456"/>
      <c r="B524" s="3773"/>
      <c r="C524" s="3708"/>
      <c r="D524" s="3379">
        <f>D518+D523</f>
        <v>597500000</v>
      </c>
      <c r="E524" s="3772"/>
      <c r="F524" s="1453">
        <f>F518+F523</f>
        <v>37115000</v>
      </c>
      <c r="G524" s="1302">
        <v>37115000</v>
      </c>
      <c r="H524" s="1302" t="s">
        <v>2847</v>
      </c>
      <c r="I524" s="1325">
        <v>464437</v>
      </c>
      <c r="J524" s="1302" t="s">
        <v>1819</v>
      </c>
      <c r="K524" s="1324">
        <f>G524</f>
        <v>37115000</v>
      </c>
      <c r="L524" s="1302">
        <f>F524-K524</f>
        <v>0</v>
      </c>
      <c r="M524" s="3711"/>
    </row>
    <row r="525" spans="1:18" ht="30" customHeight="1" x14ac:dyDescent="0.2">
      <c r="A525" s="3456"/>
      <c r="B525" s="3773"/>
      <c r="C525" s="3708"/>
      <c r="D525" s="1453">
        <v>45000000</v>
      </c>
      <c r="E525" s="1460">
        <v>7.0000000000000007E-2</v>
      </c>
      <c r="F525" s="1453">
        <f>D525*E525</f>
        <v>3150000.0000000005</v>
      </c>
      <c r="G525" s="3615" t="s">
        <v>3447</v>
      </c>
      <c r="H525" s="3616"/>
      <c r="I525" s="3616"/>
      <c r="J525" s="3616"/>
      <c r="K525" s="3616"/>
      <c r="L525" s="3617"/>
      <c r="M525" s="3711"/>
    </row>
    <row r="526" spans="1:18" ht="30" customHeight="1" x14ac:dyDescent="0.2">
      <c r="A526" s="3451"/>
      <c r="B526" s="3498"/>
      <c r="C526" s="3599"/>
      <c r="D526" s="3379">
        <f>D524+D525</f>
        <v>642500000</v>
      </c>
      <c r="E526" s="3772"/>
      <c r="F526" s="1453">
        <f>F524+F525</f>
        <v>40265000</v>
      </c>
      <c r="G526" s="3615" t="s">
        <v>3450</v>
      </c>
      <c r="H526" s="3616"/>
      <c r="I526" s="3616"/>
      <c r="J526" s="3616"/>
      <c r="K526" s="3616"/>
      <c r="L526" s="3617"/>
      <c r="M526" s="3621"/>
    </row>
    <row r="527" spans="1:18" ht="30" customHeight="1" x14ac:dyDescent="0.2">
      <c r="A527" s="1076">
        <v>339</v>
      </c>
      <c r="B527" s="1070" t="s">
        <v>173</v>
      </c>
      <c r="C527" s="1061" t="s">
        <v>1378</v>
      </c>
      <c r="D527" s="1063">
        <v>200000000</v>
      </c>
      <c r="E527" s="1067">
        <v>7.0000000000000007E-2</v>
      </c>
      <c r="F527" s="1063">
        <f t="shared" si="43"/>
        <v>14000000.000000002</v>
      </c>
      <c r="G527" s="247"/>
      <c r="H527" s="247"/>
      <c r="I527" s="1440"/>
      <c r="J527" s="1441"/>
      <c r="K527" s="247"/>
      <c r="L527" s="430"/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1076">
        <v>340</v>
      </c>
      <c r="B528" s="22" t="s">
        <v>68</v>
      </c>
      <c r="C528" s="421" t="s">
        <v>1175</v>
      </c>
      <c r="D528" s="1020">
        <v>60000000</v>
      </c>
      <c r="E528" s="1048">
        <v>0.05</v>
      </c>
      <c r="F528" s="1020">
        <f>D528*E528</f>
        <v>3000000</v>
      </c>
      <c r="G528" s="1404">
        <v>3000000</v>
      </c>
      <c r="H528" s="1404" t="s">
        <v>3349</v>
      </c>
      <c r="I528" s="1410" t="s">
        <v>3408</v>
      </c>
      <c r="J528" s="1411" t="s">
        <v>1392</v>
      </c>
      <c r="K528" s="1404">
        <f>G528</f>
        <v>3000000</v>
      </c>
      <c r="L528" s="1394">
        <f>F528-K528</f>
        <v>0</v>
      </c>
      <c r="M528" s="1075" t="s">
        <v>3407</v>
      </c>
      <c r="N528" s="429"/>
      <c r="O528" s="429"/>
      <c r="P528" s="429"/>
      <c r="Q528" s="429"/>
      <c r="R528" s="429"/>
    </row>
    <row r="529" spans="1:18" ht="30" customHeight="1" x14ac:dyDescent="0.2">
      <c r="A529" s="1015">
        <v>341</v>
      </c>
      <c r="B529" s="1013" t="s">
        <v>1429</v>
      </c>
      <c r="C529" s="1034"/>
      <c r="D529" s="1494">
        <v>75000000</v>
      </c>
      <c r="E529" s="1501">
        <v>4.4999999999999998E-2</v>
      </c>
      <c r="F529" s="1494">
        <v>3500000</v>
      </c>
      <c r="G529" s="1020">
        <v>3500000</v>
      </c>
      <c r="H529" s="1020" t="s">
        <v>2711</v>
      </c>
      <c r="I529" s="434">
        <v>276203</v>
      </c>
      <c r="J529" s="1030" t="s">
        <v>1430</v>
      </c>
      <c r="K529" s="1020">
        <f t="shared" ref="K529:K536" si="44">G529</f>
        <v>3500000</v>
      </c>
      <c r="L529" s="1044">
        <f>G529-K529</f>
        <v>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015">
        <v>342</v>
      </c>
      <c r="B530" s="1013" t="s">
        <v>72</v>
      </c>
      <c r="C530" s="1034" t="s">
        <v>2493</v>
      </c>
      <c r="D530" s="1020">
        <v>110000000</v>
      </c>
      <c r="E530" s="1048">
        <v>0.05</v>
      </c>
      <c r="F530" s="1020">
        <f>D530*E530</f>
        <v>5500000</v>
      </c>
      <c r="G530" s="1020">
        <v>5500000</v>
      </c>
      <c r="H530" s="1020" t="s">
        <v>2808</v>
      </c>
      <c r="I530" s="434">
        <v>898166813</v>
      </c>
      <c r="J530" s="1030" t="s">
        <v>1433</v>
      </c>
      <c r="K530" s="1020">
        <f t="shared" si="44"/>
        <v>5500000</v>
      </c>
      <c r="L530" s="1044">
        <f>F530-K530</f>
        <v>0</v>
      </c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081">
        <v>343</v>
      </c>
      <c r="B531" s="22" t="s">
        <v>1437</v>
      </c>
      <c r="C531" s="1445" t="s">
        <v>1909</v>
      </c>
      <c r="D531" s="1443">
        <v>8000000</v>
      </c>
      <c r="E531" s="1444">
        <v>0.04</v>
      </c>
      <c r="F531" s="1443">
        <f>D531*E531</f>
        <v>320000</v>
      </c>
      <c r="G531" s="1443">
        <v>320000</v>
      </c>
      <c r="H531" s="1443" t="s">
        <v>3433</v>
      </c>
      <c r="I531" s="1082">
        <v>123830514386</v>
      </c>
      <c r="J531" s="1443" t="s">
        <v>1438</v>
      </c>
      <c r="K531" s="1443">
        <f t="shared" si="44"/>
        <v>320000</v>
      </c>
      <c r="L531" s="1442">
        <f>F531-K531</f>
        <v>0</v>
      </c>
      <c r="M531" s="1066"/>
      <c r="N531" s="429"/>
      <c r="O531" s="429"/>
      <c r="P531" s="429"/>
      <c r="Q531" s="429"/>
      <c r="R531" s="429"/>
    </row>
    <row r="532" spans="1:18" ht="30" customHeight="1" x14ac:dyDescent="0.2">
      <c r="A532" s="1015">
        <v>344</v>
      </c>
      <c r="B532" s="1013" t="s">
        <v>1445</v>
      </c>
      <c r="C532" s="1034"/>
      <c r="D532" s="1026"/>
      <c r="E532" s="1060"/>
      <c r="F532" s="1026"/>
      <c r="G532" s="1020">
        <v>6500000</v>
      </c>
      <c r="H532" s="1020" t="s">
        <v>2790</v>
      </c>
      <c r="I532" s="434">
        <v>897974206</v>
      </c>
      <c r="J532" s="1030" t="s">
        <v>1446</v>
      </c>
      <c r="K532" s="1020">
        <f t="shared" si="44"/>
        <v>6500000</v>
      </c>
      <c r="L532" s="1043">
        <f>F532-K532</f>
        <v>-6500000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015">
        <v>345</v>
      </c>
      <c r="B533" s="1013" t="s">
        <v>2206</v>
      </c>
      <c r="C533" s="1034" t="s">
        <v>1354</v>
      </c>
      <c r="D533" s="1020">
        <v>60000000</v>
      </c>
      <c r="E533" s="1048">
        <v>7.0000000000000007E-2</v>
      </c>
      <c r="F533" s="1020">
        <f>D533*E533</f>
        <v>4200000</v>
      </c>
      <c r="G533" s="1020">
        <v>4200000</v>
      </c>
      <c r="H533" s="1020" t="s">
        <v>3139</v>
      </c>
      <c r="I533" s="434">
        <v>659663694114</v>
      </c>
      <c r="J533" s="1030" t="s">
        <v>2207</v>
      </c>
      <c r="K533" s="1020">
        <f t="shared" si="44"/>
        <v>4200000</v>
      </c>
      <c r="L533" s="1044">
        <f>G533-K533</f>
        <v>0</v>
      </c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015">
        <v>346</v>
      </c>
      <c r="B534" s="1013" t="s">
        <v>1452</v>
      </c>
      <c r="C534" s="1034"/>
      <c r="D534" s="1026"/>
      <c r="E534" s="44"/>
      <c r="F534" s="1026"/>
      <c r="G534" s="1020">
        <v>250000</v>
      </c>
      <c r="H534" s="1020" t="s">
        <v>2790</v>
      </c>
      <c r="I534" s="434">
        <v>185609</v>
      </c>
      <c r="J534" s="1030" t="s">
        <v>1453</v>
      </c>
      <c r="K534" s="1020">
        <f t="shared" si="44"/>
        <v>250000</v>
      </c>
      <c r="L534" s="1043">
        <f>F534-K534</f>
        <v>-250000</v>
      </c>
      <c r="M534" s="428"/>
      <c r="N534" s="429"/>
      <c r="O534" s="429"/>
      <c r="P534" s="429"/>
      <c r="Q534" s="429"/>
      <c r="R534" s="429"/>
    </row>
    <row r="535" spans="1:18" ht="30" customHeight="1" x14ac:dyDescent="0.2">
      <c r="A535" s="1015">
        <v>347</v>
      </c>
      <c r="B535" s="1013" t="s">
        <v>181</v>
      </c>
      <c r="C535" s="1034"/>
      <c r="D535" s="1020">
        <v>130000000</v>
      </c>
      <c r="E535" s="1048">
        <v>0.05</v>
      </c>
      <c r="F535" s="1020">
        <f>D535*E535</f>
        <v>6500000</v>
      </c>
      <c r="G535" s="1020">
        <v>6500000</v>
      </c>
      <c r="H535" s="1020" t="s">
        <v>2687</v>
      </c>
      <c r="I535" s="434">
        <v>869380</v>
      </c>
      <c r="J535" s="1030" t="s">
        <v>1458</v>
      </c>
      <c r="K535" s="1020">
        <f t="shared" si="44"/>
        <v>6500000</v>
      </c>
      <c r="L535" s="1044">
        <f>F535-K535</f>
        <v>0</v>
      </c>
      <c r="M535" s="428"/>
      <c r="N535" s="429"/>
      <c r="O535" s="429"/>
      <c r="P535" s="429"/>
      <c r="Q535" s="429"/>
      <c r="R535" s="429"/>
    </row>
    <row r="536" spans="1:18" ht="30" customHeight="1" x14ac:dyDescent="0.2">
      <c r="A536" s="1071">
        <v>348</v>
      </c>
      <c r="B536" s="22" t="s">
        <v>1480</v>
      </c>
      <c r="C536" s="1073" t="s">
        <v>1378</v>
      </c>
      <c r="D536" s="1063">
        <v>50000000</v>
      </c>
      <c r="E536" s="1067">
        <v>0.04</v>
      </c>
      <c r="F536" s="1063">
        <f>D536*E536</f>
        <v>2000000</v>
      </c>
      <c r="G536" s="1063">
        <v>2000000</v>
      </c>
      <c r="H536" s="1063" t="s">
        <v>3262</v>
      </c>
      <c r="I536" s="1082">
        <v>123625417777</v>
      </c>
      <c r="J536" s="1030" t="s">
        <v>1481</v>
      </c>
      <c r="K536" s="1020">
        <f t="shared" si="44"/>
        <v>2000000</v>
      </c>
      <c r="L536" s="1044">
        <f>F536-K536</f>
        <v>0</v>
      </c>
      <c r="M536" s="428"/>
      <c r="N536" s="429"/>
      <c r="O536" s="429"/>
      <c r="P536" s="429"/>
      <c r="Q536" s="429"/>
      <c r="R536" s="429"/>
    </row>
    <row r="537" spans="1:18" ht="30" customHeight="1" x14ac:dyDescent="0.2">
      <c r="A537" s="1015">
        <v>349</v>
      </c>
      <c r="B537" s="1013" t="s">
        <v>1619</v>
      </c>
      <c r="C537" s="1034"/>
      <c r="D537" s="1020">
        <v>80000000</v>
      </c>
      <c r="E537" s="1059">
        <v>0.04</v>
      </c>
      <c r="F537" s="1020">
        <f>D537*E537</f>
        <v>3200000</v>
      </c>
      <c r="G537" s="1020"/>
      <c r="H537" s="1020"/>
      <c r="I537" s="434"/>
      <c r="J537" s="1030"/>
      <c r="K537" s="1020"/>
      <c r="L537" s="1044">
        <f t="shared" ref="L537:L548" si="45">F537-K537</f>
        <v>3200000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15">
        <v>350</v>
      </c>
      <c r="B538" s="1013" t="s">
        <v>1647</v>
      </c>
      <c r="C538" s="1034"/>
      <c r="D538" s="1020">
        <v>110000000</v>
      </c>
      <c r="E538" s="3712" t="s">
        <v>1649</v>
      </c>
      <c r="F538" s="3713"/>
      <c r="G538" s="1020">
        <v>4400000</v>
      </c>
      <c r="H538" s="1020" t="s">
        <v>2036</v>
      </c>
      <c r="I538" s="434">
        <v>123304494996</v>
      </c>
      <c r="J538" s="1030" t="s">
        <v>2974</v>
      </c>
      <c r="K538" s="1020">
        <f>G538</f>
        <v>4400000</v>
      </c>
      <c r="L538" s="1043">
        <f t="shared" si="45"/>
        <v>-4400000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3450">
        <v>351</v>
      </c>
      <c r="B539" s="3457" t="s">
        <v>1651</v>
      </c>
      <c r="C539" s="3570" t="s">
        <v>1215</v>
      </c>
      <c r="D539" s="3442">
        <v>560000000</v>
      </c>
      <c r="E539" s="3444">
        <v>7.0000000000000007E-2</v>
      </c>
      <c r="F539" s="3442">
        <f>D539*E539</f>
        <v>39200000.000000007</v>
      </c>
      <c r="G539" s="1020">
        <v>25000000</v>
      </c>
      <c r="H539" s="1020" t="s">
        <v>2768</v>
      </c>
      <c r="I539" s="434">
        <v>55781</v>
      </c>
      <c r="J539" s="1030" t="s">
        <v>1652</v>
      </c>
      <c r="K539" s="3442">
        <f>G539+G540</f>
        <v>39200000</v>
      </c>
      <c r="L539" s="3625">
        <f t="shared" si="45"/>
        <v>0</v>
      </c>
      <c r="M539" s="3620" t="s">
        <v>2760</v>
      </c>
      <c r="N539" s="429"/>
      <c r="O539" s="429"/>
      <c r="P539" s="429"/>
      <c r="Q539" s="429"/>
      <c r="R539" s="429"/>
    </row>
    <row r="540" spans="1:18" ht="30" customHeight="1" x14ac:dyDescent="0.2">
      <c r="A540" s="3456"/>
      <c r="B540" s="3459"/>
      <c r="C540" s="3576"/>
      <c r="D540" s="3443"/>
      <c r="E540" s="3445"/>
      <c r="F540" s="3443"/>
      <c r="G540" s="1231">
        <v>14200000</v>
      </c>
      <c r="H540" s="1231" t="s">
        <v>2036</v>
      </c>
      <c r="I540" s="1247">
        <v>105131036011856</v>
      </c>
      <c r="J540" s="1236" t="s">
        <v>2591</v>
      </c>
      <c r="K540" s="3443"/>
      <c r="L540" s="3626"/>
      <c r="M540" s="3711"/>
      <c r="N540" s="429"/>
      <c r="O540" s="429"/>
      <c r="P540" s="429"/>
      <c r="Q540" s="429"/>
      <c r="R540" s="429"/>
    </row>
    <row r="541" spans="1:18" ht="30" customHeight="1" x14ac:dyDescent="0.2">
      <c r="A541" s="3456"/>
      <c r="B541" s="3459"/>
      <c r="C541" s="3576"/>
      <c r="D541" s="3386"/>
      <c r="E541" s="3656"/>
      <c r="F541" s="3657"/>
      <c r="G541" s="1403">
        <v>560000</v>
      </c>
      <c r="H541" s="1403" t="s">
        <v>3362</v>
      </c>
      <c r="I541" s="1439">
        <v>1.4010526016289E+17</v>
      </c>
      <c r="J541" s="1403" t="s">
        <v>2591</v>
      </c>
      <c r="K541" s="1403"/>
      <c r="L541" s="1406"/>
      <c r="M541" s="3711"/>
      <c r="N541" s="429"/>
      <c r="O541" s="429"/>
      <c r="P541" s="429"/>
      <c r="Q541" s="429"/>
      <c r="R541" s="429"/>
    </row>
    <row r="542" spans="1:18" ht="30" customHeight="1" x14ac:dyDescent="0.2">
      <c r="A542" s="3451"/>
      <c r="B542" s="3458"/>
      <c r="C542" s="3571"/>
      <c r="D542" s="1203">
        <v>680000000</v>
      </c>
      <c r="E542" s="1206">
        <v>7.0000000000000007E-2</v>
      </c>
      <c r="F542" s="1203">
        <f>D542*E542</f>
        <v>47600000.000000007</v>
      </c>
      <c r="G542" s="3610" t="s">
        <v>2866</v>
      </c>
      <c r="H542" s="3611"/>
      <c r="I542" s="3611"/>
      <c r="J542" s="3611"/>
      <c r="K542" s="3612"/>
      <c r="L542" s="1215"/>
      <c r="M542" s="3621"/>
      <c r="N542" s="429"/>
      <c r="O542" s="429"/>
      <c r="P542" s="429"/>
      <c r="Q542" s="429"/>
      <c r="R542" s="429"/>
    </row>
    <row r="543" spans="1:18" ht="30" customHeight="1" x14ac:dyDescent="0.2">
      <c r="A543" s="1015">
        <v>352</v>
      </c>
      <c r="B543" s="1013" t="s">
        <v>1654</v>
      </c>
      <c r="C543" s="1034"/>
      <c r="D543" s="1184">
        <v>50000000</v>
      </c>
      <c r="E543" s="1190">
        <v>7.0000000000000007E-2</v>
      </c>
      <c r="F543" s="1184">
        <f>D543*E543</f>
        <v>3500000.0000000005</v>
      </c>
      <c r="G543" s="1184">
        <v>3500000</v>
      </c>
      <c r="H543" s="1184" t="s">
        <v>2036</v>
      </c>
      <c r="I543" s="434">
        <v>105131004431527</v>
      </c>
      <c r="J543" s="24" t="s">
        <v>2991</v>
      </c>
      <c r="K543" s="1184">
        <f>G543</f>
        <v>3500000</v>
      </c>
      <c r="L543" s="1188">
        <f t="shared" si="45"/>
        <v>0</v>
      </c>
      <c r="M543" s="428"/>
      <c r="N543" s="429"/>
      <c r="O543" s="429"/>
      <c r="P543" s="429"/>
      <c r="Q543" s="429"/>
      <c r="R543" s="429"/>
    </row>
    <row r="544" spans="1:18" ht="30" customHeight="1" x14ac:dyDescent="0.2">
      <c r="A544" s="3450">
        <v>353</v>
      </c>
      <c r="B544" s="3457" t="s">
        <v>1658</v>
      </c>
      <c r="C544" s="1264" t="s">
        <v>1215</v>
      </c>
      <c r="D544" s="1231">
        <v>50000000</v>
      </c>
      <c r="E544" s="1240">
        <v>0.05</v>
      </c>
      <c r="F544" s="1231">
        <f>D544*E544</f>
        <v>2500000</v>
      </c>
      <c r="G544" s="1231">
        <v>2500000</v>
      </c>
      <c r="H544" s="1231" t="s">
        <v>2036</v>
      </c>
      <c r="I544" s="1247">
        <v>123307122994</v>
      </c>
      <c r="J544" s="1236" t="s">
        <v>2981</v>
      </c>
      <c r="K544" s="1020">
        <f>G544</f>
        <v>2500000</v>
      </c>
      <c r="L544" s="1044">
        <f t="shared" si="45"/>
        <v>0</v>
      </c>
      <c r="M544" s="428" t="s">
        <v>1659</v>
      </c>
      <c r="N544" s="429"/>
      <c r="O544" s="429"/>
      <c r="P544" s="429"/>
      <c r="Q544" s="429"/>
      <c r="R544" s="429"/>
    </row>
    <row r="545" spans="1:18" ht="30" customHeight="1" x14ac:dyDescent="0.2">
      <c r="A545" s="3456"/>
      <c r="B545" s="3459"/>
      <c r="C545" s="1265" t="s">
        <v>1354</v>
      </c>
      <c r="D545" s="1262">
        <v>20000000</v>
      </c>
      <c r="E545" s="1267"/>
      <c r="F545" s="1262"/>
      <c r="G545" s="3680" t="s">
        <v>3044</v>
      </c>
      <c r="H545" s="3681"/>
      <c r="I545" s="3681"/>
      <c r="J545" s="3681"/>
      <c r="K545" s="3682"/>
      <c r="L545" s="1266"/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3451"/>
      <c r="B546" s="3458"/>
      <c r="C546" s="1333"/>
      <c r="D546" s="1328">
        <v>70000000</v>
      </c>
      <c r="E546" s="1343">
        <v>0.05</v>
      </c>
      <c r="F546" s="1328">
        <f>D546*E546</f>
        <v>3500000</v>
      </c>
      <c r="G546" s="3680" t="s">
        <v>2819</v>
      </c>
      <c r="H546" s="3681"/>
      <c r="I546" s="3681"/>
      <c r="J546" s="3681"/>
      <c r="K546" s="3682"/>
      <c r="L546" s="1340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1015">
        <v>355</v>
      </c>
      <c r="B547" s="1013" t="s">
        <v>1675</v>
      </c>
      <c r="C547" s="1034" t="s">
        <v>2778</v>
      </c>
      <c r="D547" s="1144">
        <v>115000000</v>
      </c>
      <c r="E547" s="1153">
        <v>0.05</v>
      </c>
      <c r="F547" s="1144">
        <f>D547*E547</f>
        <v>5750000</v>
      </c>
      <c r="G547" s="1144">
        <v>6500000</v>
      </c>
      <c r="H547" s="1144" t="s">
        <v>2823</v>
      </c>
      <c r="I547" s="434">
        <v>464429</v>
      </c>
      <c r="J547" s="516" t="s">
        <v>1676</v>
      </c>
      <c r="K547" s="1144">
        <f>G547</f>
        <v>6500000</v>
      </c>
      <c r="L547" s="1152">
        <f t="shared" si="45"/>
        <v>-750000</v>
      </c>
      <c r="M547" s="428" t="s">
        <v>2832</v>
      </c>
      <c r="N547" s="429"/>
      <c r="O547" s="429"/>
      <c r="P547" s="429"/>
      <c r="Q547" s="429"/>
      <c r="R547" s="429"/>
    </row>
    <row r="548" spans="1:18" ht="30" customHeight="1" x14ac:dyDescent="0.2">
      <c r="A548" s="1015">
        <v>356</v>
      </c>
      <c r="B548" s="1013" t="s">
        <v>1683</v>
      </c>
      <c r="C548" s="1034"/>
      <c r="D548" s="1026"/>
      <c r="E548" s="44"/>
      <c r="F548" s="1026"/>
      <c r="G548" s="1020">
        <v>2800000</v>
      </c>
      <c r="H548" s="1020" t="s">
        <v>2687</v>
      </c>
      <c r="I548" s="434">
        <v>79373</v>
      </c>
      <c r="J548" s="516" t="s">
        <v>1684</v>
      </c>
      <c r="K548" s="1020">
        <f>G548</f>
        <v>2800000</v>
      </c>
      <c r="L548" s="1043">
        <f t="shared" si="45"/>
        <v>-2800000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015">
        <v>357</v>
      </c>
      <c r="B549" s="1013" t="s">
        <v>1685</v>
      </c>
      <c r="C549" s="1034"/>
      <c r="D549" s="1020">
        <v>70000000</v>
      </c>
      <c r="E549" s="44"/>
      <c r="F549" s="1026"/>
      <c r="G549" s="1020"/>
      <c r="H549" s="1020"/>
      <c r="I549" s="434"/>
      <c r="J549" s="516"/>
      <c r="K549" s="1020"/>
      <c r="L549" s="1043"/>
      <c r="M549" s="428" t="s">
        <v>1686</v>
      </c>
      <c r="N549" s="429"/>
      <c r="O549" s="429"/>
      <c r="P549" s="429"/>
      <c r="Q549" s="429"/>
      <c r="R549" s="429"/>
    </row>
    <row r="550" spans="1:18" ht="30" customHeight="1" x14ac:dyDescent="0.2">
      <c r="A550" s="3450">
        <v>358</v>
      </c>
      <c r="B550" s="3457" t="s">
        <v>1690</v>
      </c>
      <c r="C550" s="3570"/>
      <c r="D550" s="3505"/>
      <c r="E550" s="3507"/>
      <c r="F550" s="3505"/>
      <c r="G550" s="1020">
        <v>6000000</v>
      </c>
      <c r="H550" s="1020" t="s">
        <v>2711</v>
      </c>
      <c r="I550" s="434">
        <v>896821844</v>
      </c>
      <c r="J550" s="516" t="s">
        <v>1691</v>
      </c>
      <c r="K550" s="1020">
        <f t="shared" ref="K550:K569" si="46">G550</f>
        <v>6000000</v>
      </c>
      <c r="L550" s="1043">
        <f t="shared" ref="L550:L569" si="47">F550-K550</f>
        <v>-6000000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3451"/>
      <c r="B551" s="3458"/>
      <c r="C551" s="3571"/>
      <c r="D551" s="3506"/>
      <c r="E551" s="3508"/>
      <c r="F551" s="3506"/>
      <c r="G551" s="1144">
        <v>20000000</v>
      </c>
      <c r="H551" s="1144" t="s">
        <v>2768</v>
      </c>
      <c r="I551" s="434">
        <v>897741956</v>
      </c>
      <c r="J551" s="516" t="s">
        <v>1691</v>
      </c>
      <c r="K551" s="1146"/>
      <c r="L551" s="1166"/>
      <c r="M551" s="1167" t="s">
        <v>2205</v>
      </c>
      <c r="N551" s="429"/>
      <c r="O551" s="429"/>
      <c r="P551" s="429"/>
      <c r="Q551" s="429"/>
      <c r="R551" s="429"/>
    </row>
    <row r="552" spans="1:18" ht="30" customHeight="1" x14ac:dyDescent="0.2">
      <c r="A552" s="3450">
        <v>359</v>
      </c>
      <c r="B552" s="3457" t="s">
        <v>1692</v>
      </c>
      <c r="C552" s="3570"/>
      <c r="D552" s="3505"/>
      <c r="E552" s="3507"/>
      <c r="F552" s="3505"/>
      <c r="G552" s="1020"/>
      <c r="H552" s="1020"/>
      <c r="I552" s="434"/>
      <c r="J552" s="516" t="s">
        <v>1693</v>
      </c>
      <c r="K552" s="3442">
        <f>G552+G553</f>
        <v>0</v>
      </c>
      <c r="L552" s="3654">
        <f t="shared" si="47"/>
        <v>0</v>
      </c>
      <c r="M552" s="3625"/>
      <c r="N552" s="429"/>
      <c r="O552" s="429"/>
      <c r="P552" s="429"/>
      <c r="Q552" s="429"/>
      <c r="R552" s="429"/>
    </row>
    <row r="553" spans="1:18" ht="30" customHeight="1" x14ac:dyDescent="0.2">
      <c r="A553" s="3451"/>
      <c r="B553" s="3458"/>
      <c r="C553" s="3571"/>
      <c r="D553" s="3506"/>
      <c r="E553" s="3508"/>
      <c r="F553" s="3506"/>
      <c r="G553" s="1020"/>
      <c r="H553" s="1020"/>
      <c r="I553" s="434"/>
      <c r="J553" s="516" t="s">
        <v>1693</v>
      </c>
      <c r="K553" s="3443"/>
      <c r="L553" s="3655"/>
      <c r="M553" s="3626"/>
      <c r="N553" s="429"/>
      <c r="O553" s="429"/>
      <c r="P553" s="429"/>
      <c r="Q553" s="429"/>
      <c r="R553" s="429"/>
    </row>
    <row r="554" spans="1:18" ht="30" customHeight="1" x14ac:dyDescent="0.2">
      <c r="A554" s="3450">
        <v>360</v>
      </c>
      <c r="B554" s="3457" t="s">
        <v>1707</v>
      </c>
      <c r="C554" s="3570" t="s">
        <v>916</v>
      </c>
      <c r="D554" s="1498">
        <v>290000000</v>
      </c>
      <c r="E554" s="1501">
        <v>0.05</v>
      </c>
      <c r="F554" s="1498">
        <f>D554*E554</f>
        <v>14500000</v>
      </c>
      <c r="G554" s="1020">
        <v>10000000</v>
      </c>
      <c r="H554" s="1020" t="s">
        <v>2711</v>
      </c>
      <c r="I554" s="434">
        <v>896674291</v>
      </c>
      <c r="J554" s="516" t="s">
        <v>2721</v>
      </c>
      <c r="K554" s="3442">
        <f>G554+G555</f>
        <v>27100000</v>
      </c>
      <c r="L554" s="3625">
        <f t="shared" si="47"/>
        <v>-12600000</v>
      </c>
      <c r="M554" s="3625"/>
      <c r="N554" s="429"/>
      <c r="O554" s="429"/>
      <c r="P554" s="429"/>
      <c r="Q554" s="429"/>
      <c r="R554" s="429"/>
    </row>
    <row r="555" spans="1:18" ht="30" customHeight="1" x14ac:dyDescent="0.2">
      <c r="A555" s="3451"/>
      <c r="B555" s="3458"/>
      <c r="C555" s="3571"/>
      <c r="D555" s="1498">
        <v>210000000</v>
      </c>
      <c r="E555" s="1501">
        <v>0.06</v>
      </c>
      <c r="F555" s="1498">
        <f>D555*E555</f>
        <v>12600000</v>
      </c>
      <c r="G555" s="1305">
        <v>17100000</v>
      </c>
      <c r="H555" s="1305" t="s">
        <v>2847</v>
      </c>
      <c r="I555" s="1323">
        <v>464446</v>
      </c>
      <c r="J555" s="516" t="s">
        <v>1704</v>
      </c>
      <c r="K555" s="3443"/>
      <c r="L555" s="3626"/>
      <c r="M555" s="3626"/>
      <c r="N555" s="429"/>
      <c r="O555" s="429"/>
      <c r="P555" s="429"/>
      <c r="Q555" s="429"/>
      <c r="R555" s="429"/>
    </row>
    <row r="556" spans="1:18" ht="30" customHeight="1" x14ac:dyDescent="0.2">
      <c r="A556" s="3450">
        <v>361</v>
      </c>
      <c r="B556" s="3457" t="s">
        <v>1705</v>
      </c>
      <c r="C556" s="3570"/>
      <c r="D556" s="3442">
        <v>3045000000</v>
      </c>
      <c r="E556" s="3444"/>
      <c r="F556" s="3442">
        <v>103600000</v>
      </c>
      <c r="G556" s="1103">
        <v>5000000</v>
      </c>
      <c r="H556" s="1103" t="s">
        <v>2711</v>
      </c>
      <c r="I556" s="434">
        <v>151165</v>
      </c>
      <c r="J556" s="516" t="s">
        <v>3287</v>
      </c>
      <c r="K556" s="3442">
        <f>G556+G557+G558+G559+G560+G561+G562+G563+G564+G565+G566</f>
        <v>84000000</v>
      </c>
      <c r="L556" s="3625">
        <f>F556-10000000-K556</f>
        <v>9600000</v>
      </c>
      <c r="M556" s="1110" t="s">
        <v>2722</v>
      </c>
      <c r="N556" s="429"/>
      <c r="O556" s="429"/>
      <c r="P556" s="429"/>
      <c r="Q556" s="429"/>
      <c r="R556" s="429"/>
    </row>
    <row r="557" spans="1:18" ht="30" customHeight="1" x14ac:dyDescent="0.2">
      <c r="A557" s="3456"/>
      <c r="B557" s="3459"/>
      <c r="C557" s="3576"/>
      <c r="D557" s="3461"/>
      <c r="E557" s="3474"/>
      <c r="F557" s="3461"/>
      <c r="G557" s="1103">
        <v>2000000</v>
      </c>
      <c r="H557" s="1103" t="s">
        <v>2823</v>
      </c>
      <c r="I557" s="434">
        <v>422985</v>
      </c>
      <c r="J557" s="516" t="s">
        <v>3287</v>
      </c>
      <c r="K557" s="3461"/>
      <c r="L557" s="3696"/>
      <c r="M557" s="1259" t="s">
        <v>3014</v>
      </c>
      <c r="N557" s="429"/>
      <c r="O557" s="429"/>
      <c r="P557" s="429"/>
      <c r="Q557" s="429"/>
      <c r="R557" s="429"/>
    </row>
    <row r="558" spans="1:18" ht="30" customHeight="1" x14ac:dyDescent="0.2">
      <c r="A558" s="3456"/>
      <c r="B558" s="3459"/>
      <c r="C558" s="3576"/>
      <c r="D558" s="3461"/>
      <c r="E558" s="3474"/>
      <c r="F558" s="3461"/>
      <c r="G558" s="1103">
        <v>5000000</v>
      </c>
      <c r="H558" s="1103" t="s">
        <v>3010</v>
      </c>
      <c r="I558" s="434">
        <v>182287</v>
      </c>
      <c r="J558" s="516" t="s">
        <v>3287</v>
      </c>
      <c r="K558" s="3461"/>
      <c r="L558" s="3696"/>
      <c r="M558" s="898"/>
      <c r="N558" s="429"/>
      <c r="O558" s="429"/>
      <c r="P558" s="429"/>
      <c r="Q558" s="429"/>
      <c r="R558" s="429"/>
    </row>
    <row r="559" spans="1:18" ht="30" customHeight="1" x14ac:dyDescent="0.2">
      <c r="A559" s="3456"/>
      <c r="B559" s="3459"/>
      <c r="C559" s="3576"/>
      <c r="D559" s="3461"/>
      <c r="E559" s="3474"/>
      <c r="F559" s="3461"/>
      <c r="G559" s="1103">
        <v>50000000</v>
      </c>
      <c r="H559" s="1103"/>
      <c r="I559" s="434"/>
      <c r="J559" s="516"/>
      <c r="K559" s="3461"/>
      <c r="L559" s="3696"/>
      <c r="M559" s="898"/>
      <c r="N559" s="429"/>
      <c r="O559" s="429"/>
      <c r="P559" s="429"/>
      <c r="Q559" s="429"/>
      <c r="R559" s="429"/>
    </row>
    <row r="560" spans="1:18" ht="30" customHeight="1" x14ac:dyDescent="0.2">
      <c r="A560" s="3456"/>
      <c r="B560" s="3459"/>
      <c r="C560" s="3576"/>
      <c r="D560" s="3461"/>
      <c r="E560" s="3474"/>
      <c r="F560" s="3461"/>
      <c r="G560" s="1103">
        <v>10000000</v>
      </c>
      <c r="H560" s="1103" t="s">
        <v>3218</v>
      </c>
      <c r="I560" s="434">
        <v>123540640718</v>
      </c>
      <c r="J560" s="516" t="s">
        <v>3287</v>
      </c>
      <c r="K560" s="3461"/>
      <c r="L560" s="3696"/>
      <c r="M560" s="898"/>
      <c r="N560" s="429"/>
      <c r="O560" s="429"/>
      <c r="P560" s="429"/>
      <c r="Q560" s="429"/>
      <c r="R560" s="429"/>
    </row>
    <row r="561" spans="1:18" ht="30" customHeight="1" x14ac:dyDescent="0.2">
      <c r="A561" s="3456"/>
      <c r="B561" s="3459"/>
      <c r="C561" s="3576"/>
      <c r="D561" s="3461"/>
      <c r="E561" s="3474"/>
      <c r="F561" s="3461"/>
      <c r="G561" s="1103">
        <v>6000000</v>
      </c>
      <c r="H561" s="1103" t="s">
        <v>3262</v>
      </c>
      <c r="I561" s="434">
        <v>12175613886</v>
      </c>
      <c r="J561" s="516" t="s">
        <v>3287</v>
      </c>
      <c r="K561" s="3461"/>
      <c r="L561" s="3696"/>
      <c r="M561" s="898"/>
      <c r="N561" s="429"/>
      <c r="O561" s="429"/>
      <c r="P561" s="429"/>
      <c r="Q561" s="429"/>
      <c r="R561" s="429"/>
    </row>
    <row r="562" spans="1:18" ht="30" customHeight="1" x14ac:dyDescent="0.2">
      <c r="A562" s="3451"/>
      <c r="B562" s="3459"/>
      <c r="C562" s="3576"/>
      <c r="D562" s="3461"/>
      <c r="E562" s="3474"/>
      <c r="F562" s="3461"/>
      <c r="G562" s="1103">
        <v>1000000</v>
      </c>
      <c r="H562" s="1103" t="s">
        <v>3349</v>
      </c>
      <c r="I562" s="434">
        <v>93940</v>
      </c>
      <c r="J562" s="516" t="s">
        <v>3287</v>
      </c>
      <c r="K562" s="3461"/>
      <c r="L562" s="3696"/>
      <c r="M562" s="898"/>
      <c r="N562" s="429"/>
      <c r="O562" s="429"/>
      <c r="P562" s="429"/>
      <c r="Q562" s="429"/>
      <c r="R562" s="429"/>
    </row>
    <row r="563" spans="1:18" ht="30" customHeight="1" x14ac:dyDescent="0.2">
      <c r="A563" s="1454"/>
      <c r="B563" s="3459"/>
      <c r="C563" s="3576"/>
      <c r="D563" s="3461"/>
      <c r="E563" s="3474"/>
      <c r="F563" s="3461"/>
      <c r="G563" s="1459">
        <v>1000000</v>
      </c>
      <c r="H563" s="1459" t="s">
        <v>3433</v>
      </c>
      <c r="I563" s="1491">
        <v>843434</v>
      </c>
      <c r="J563" s="516" t="s">
        <v>3287</v>
      </c>
      <c r="K563" s="3461"/>
      <c r="L563" s="3696"/>
      <c r="M563" s="898"/>
      <c r="N563" s="429"/>
      <c r="O563" s="429"/>
      <c r="P563" s="429"/>
      <c r="Q563" s="429"/>
      <c r="R563" s="429"/>
    </row>
    <row r="564" spans="1:18" ht="30" customHeight="1" x14ac:dyDescent="0.2">
      <c r="A564" s="1454"/>
      <c r="B564" s="3459"/>
      <c r="C564" s="3576"/>
      <c r="D564" s="3461"/>
      <c r="E564" s="3474"/>
      <c r="F564" s="3461"/>
      <c r="G564" s="1459">
        <v>4000000</v>
      </c>
      <c r="H564" s="1459" t="s">
        <v>3461</v>
      </c>
      <c r="I564" s="1491">
        <v>123857564687</v>
      </c>
      <c r="J564" s="516" t="s">
        <v>3287</v>
      </c>
      <c r="K564" s="3461"/>
      <c r="L564" s="3696"/>
      <c r="M564" s="898"/>
      <c r="N564" s="429"/>
      <c r="O564" s="429"/>
      <c r="P564" s="429"/>
      <c r="Q564" s="429"/>
      <c r="R564" s="429"/>
    </row>
    <row r="565" spans="1:18" ht="30" customHeight="1" x14ac:dyDescent="0.2">
      <c r="A565" s="1454"/>
      <c r="B565" s="3459"/>
      <c r="C565" s="3576"/>
      <c r="D565" s="3461"/>
      <c r="E565" s="3474"/>
      <c r="F565" s="3461"/>
      <c r="G565" s="1459"/>
      <c r="H565" s="1459"/>
      <c r="I565" s="1491"/>
      <c r="J565" s="516"/>
      <c r="K565" s="3461"/>
      <c r="L565" s="3696"/>
      <c r="M565" s="898"/>
      <c r="N565" s="429"/>
      <c r="O565" s="429"/>
      <c r="P565" s="429"/>
      <c r="Q565" s="429"/>
      <c r="R565" s="429"/>
    </row>
    <row r="566" spans="1:18" ht="30" customHeight="1" x14ac:dyDescent="0.2">
      <c r="A566" s="1454"/>
      <c r="B566" s="3458"/>
      <c r="C566" s="3571"/>
      <c r="D566" s="3443"/>
      <c r="E566" s="3445"/>
      <c r="F566" s="3443"/>
      <c r="G566" s="1459"/>
      <c r="H566" s="1459"/>
      <c r="I566" s="1491"/>
      <c r="J566" s="516"/>
      <c r="K566" s="3443"/>
      <c r="L566" s="3626"/>
      <c r="M566" s="951"/>
      <c r="N566" s="429"/>
      <c r="O566" s="429"/>
      <c r="P566" s="429"/>
      <c r="Q566" s="429"/>
      <c r="R566" s="429"/>
    </row>
    <row r="567" spans="1:18" ht="30" customHeight="1" x14ac:dyDescent="0.2">
      <c r="A567" s="1015">
        <v>362</v>
      </c>
      <c r="B567" s="1013" t="s">
        <v>1712</v>
      </c>
      <c r="C567" s="1034" t="s">
        <v>1746</v>
      </c>
      <c r="D567" s="1020">
        <v>300000000</v>
      </c>
      <c r="E567" s="1048">
        <v>4.4999999999999998E-2</v>
      </c>
      <c r="F567" s="1020">
        <f>D567*E567</f>
        <v>13500000</v>
      </c>
      <c r="G567" s="1020">
        <v>13500000</v>
      </c>
      <c r="H567" s="1020" t="s">
        <v>2790</v>
      </c>
      <c r="I567" s="434">
        <v>1.4010507054200001E+19</v>
      </c>
      <c r="J567" s="516" t="s">
        <v>1713</v>
      </c>
      <c r="K567" s="1020">
        <f t="shared" si="46"/>
        <v>13500000</v>
      </c>
      <c r="L567" s="1044">
        <f t="shared" si="47"/>
        <v>0</v>
      </c>
      <c r="M567" s="428"/>
      <c r="N567" s="429"/>
      <c r="O567" s="429"/>
      <c r="P567" s="429"/>
      <c r="Q567" s="429"/>
      <c r="R567" s="429"/>
    </row>
    <row r="568" spans="1:18" ht="30" customHeight="1" x14ac:dyDescent="0.2">
      <c r="A568" s="1015">
        <v>363</v>
      </c>
      <c r="B568" s="1013" t="s">
        <v>1734</v>
      </c>
      <c r="C568" s="1034"/>
      <c r="D568" s="1207"/>
      <c r="E568" s="44"/>
      <c r="F568" s="1207"/>
      <c r="G568" s="1020">
        <v>1193000</v>
      </c>
      <c r="H568" s="1020" t="s">
        <v>2823</v>
      </c>
      <c r="I568" s="434">
        <v>349323</v>
      </c>
      <c r="J568" s="516" t="s">
        <v>1714</v>
      </c>
      <c r="K568" s="1020">
        <f t="shared" si="46"/>
        <v>1193000</v>
      </c>
      <c r="L568" s="1044">
        <f t="shared" si="47"/>
        <v>-1193000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1015">
        <v>364</v>
      </c>
      <c r="B569" s="1013" t="s">
        <v>1730</v>
      </c>
      <c r="C569" s="1034"/>
      <c r="D569" s="1026"/>
      <c r="E569" s="44"/>
      <c r="F569" s="1026"/>
      <c r="G569" s="1020">
        <v>6600000</v>
      </c>
      <c r="H569" s="1020" t="s">
        <v>2847</v>
      </c>
      <c r="I569" s="434">
        <v>1.4010511054200001E+19</v>
      </c>
      <c r="J569" s="516" t="s">
        <v>2910</v>
      </c>
      <c r="K569" s="1020">
        <f t="shared" si="46"/>
        <v>6600000</v>
      </c>
      <c r="L569" s="1043">
        <f t="shared" si="47"/>
        <v>-6600000</v>
      </c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3450">
        <v>365</v>
      </c>
      <c r="B570" s="3457" t="s">
        <v>1732</v>
      </c>
      <c r="C570" s="3570" t="s">
        <v>1817</v>
      </c>
      <c r="D570" s="1203">
        <v>300000000</v>
      </c>
      <c r="E570" s="1216">
        <v>0.05</v>
      </c>
      <c r="F570" s="1203">
        <f>D570*E570</f>
        <v>15000000</v>
      </c>
      <c r="G570" s="1203">
        <v>25000000</v>
      </c>
      <c r="H570" s="1203" t="s">
        <v>2823</v>
      </c>
      <c r="I570" s="516">
        <v>1.4010510054200199E+19</v>
      </c>
      <c r="J570" s="516" t="s">
        <v>1733</v>
      </c>
      <c r="K570" s="3442">
        <f>G570+G571</f>
        <v>65000000</v>
      </c>
      <c r="L570" s="3625">
        <f>(15000000+50000000)-K570</f>
        <v>0</v>
      </c>
      <c r="M570" s="3625"/>
      <c r="N570" s="429"/>
      <c r="O570" s="429"/>
      <c r="P570" s="429"/>
      <c r="Q570" s="429"/>
      <c r="R570" s="429"/>
    </row>
    <row r="571" spans="1:18" ht="30" customHeight="1" x14ac:dyDescent="0.2">
      <c r="A571" s="3456"/>
      <c r="B571" s="3459"/>
      <c r="C571" s="3576"/>
      <c r="D571" s="3325" t="s">
        <v>2874</v>
      </c>
      <c r="E571" s="3340"/>
      <c r="F571" s="3341"/>
      <c r="G571" s="1203">
        <v>40000000</v>
      </c>
      <c r="H571" s="1203" t="s">
        <v>2937</v>
      </c>
      <c r="I571" s="434">
        <v>23223</v>
      </c>
      <c r="J571" s="516" t="s">
        <v>2942</v>
      </c>
      <c r="K571" s="3443"/>
      <c r="L571" s="3626"/>
      <c r="M571" s="3696"/>
      <c r="N571" s="429"/>
      <c r="O571" s="429"/>
      <c r="P571" s="429"/>
      <c r="Q571" s="429"/>
      <c r="R571" s="429"/>
    </row>
    <row r="572" spans="1:18" ht="30" customHeight="1" x14ac:dyDescent="0.2">
      <c r="A572" s="3451"/>
      <c r="B572" s="3458"/>
      <c r="C572" s="3571"/>
      <c r="D572" s="1203">
        <v>250000000</v>
      </c>
      <c r="E572" s="1216">
        <v>0.05</v>
      </c>
      <c r="F572" s="1203">
        <f>D572*E572</f>
        <v>12500000</v>
      </c>
      <c r="G572" s="3610" t="s">
        <v>2875</v>
      </c>
      <c r="H572" s="3611"/>
      <c r="I572" s="3611"/>
      <c r="J572" s="3611"/>
      <c r="K572" s="3612"/>
      <c r="L572" s="1215"/>
      <c r="M572" s="3626"/>
      <c r="N572" s="429"/>
      <c r="O572" s="429"/>
      <c r="P572" s="429"/>
      <c r="Q572" s="429"/>
      <c r="R572" s="429"/>
    </row>
    <row r="573" spans="1:18" ht="30" customHeight="1" x14ac:dyDescent="0.2">
      <c r="A573" s="1015">
        <v>366</v>
      </c>
      <c r="B573" s="1013" t="s">
        <v>1818</v>
      </c>
      <c r="C573" s="1034" t="s">
        <v>1138</v>
      </c>
      <c r="D573" s="1020">
        <v>70000000</v>
      </c>
      <c r="E573" s="1048">
        <v>6.3E-2</v>
      </c>
      <c r="F573" s="1020">
        <v>4400000</v>
      </c>
      <c r="G573" s="1020">
        <v>4400000</v>
      </c>
      <c r="H573" s="1020" t="s">
        <v>3349</v>
      </c>
      <c r="I573" s="434">
        <v>1.40105270162936E+17</v>
      </c>
      <c r="J573" s="516" t="s">
        <v>1802</v>
      </c>
      <c r="K573" s="1020">
        <f>G573</f>
        <v>4400000</v>
      </c>
      <c r="L573" s="1044">
        <f t="shared" ref="L573:L581" si="48">F573-K573</f>
        <v>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015">
        <v>367</v>
      </c>
      <c r="B574" s="1013" t="s">
        <v>1760</v>
      </c>
      <c r="C574" s="1034"/>
      <c r="D574" s="1026"/>
      <c r="E574" s="44"/>
      <c r="F574" s="1026">
        <f>D574*E574</f>
        <v>0</v>
      </c>
      <c r="G574" s="1020">
        <v>1250000</v>
      </c>
      <c r="H574" s="1020" t="s">
        <v>2839</v>
      </c>
      <c r="I574" s="434">
        <v>895142</v>
      </c>
      <c r="J574" s="516" t="s">
        <v>1761</v>
      </c>
      <c r="K574" s="1020">
        <f>G574</f>
        <v>1250000</v>
      </c>
      <c r="L574" s="1043">
        <f t="shared" si="48"/>
        <v>-1250000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3450">
        <v>368</v>
      </c>
      <c r="B575" s="3457" t="s">
        <v>1905</v>
      </c>
      <c r="C575" s="3570"/>
      <c r="D575" s="3442">
        <v>800000000</v>
      </c>
      <c r="E575" s="3444">
        <v>7.0000000000000007E-2</v>
      </c>
      <c r="F575" s="3442">
        <f>D575*E575</f>
        <v>56000000.000000007</v>
      </c>
      <c r="G575" s="1020">
        <v>25000000</v>
      </c>
      <c r="H575" s="1020" t="s">
        <v>2711</v>
      </c>
      <c r="I575" s="434">
        <v>1.4010504016274099E+17</v>
      </c>
      <c r="J575" s="516" t="s">
        <v>2713</v>
      </c>
      <c r="K575" s="3442">
        <f>G575+G576+G577</f>
        <v>56000000</v>
      </c>
      <c r="L575" s="3625">
        <f t="shared" si="48"/>
        <v>0</v>
      </c>
      <c r="M575" s="3625"/>
      <c r="N575" s="429"/>
      <c r="O575" s="429"/>
      <c r="P575" s="429"/>
      <c r="Q575" s="429"/>
      <c r="R575" s="429"/>
    </row>
    <row r="576" spans="1:18" ht="30" customHeight="1" x14ac:dyDescent="0.2">
      <c r="A576" s="3456"/>
      <c r="B576" s="3459"/>
      <c r="C576" s="3576"/>
      <c r="D576" s="3461"/>
      <c r="E576" s="3474"/>
      <c r="F576" s="3461"/>
      <c r="G576" s="1184">
        <v>20000000</v>
      </c>
      <c r="H576" s="1184" t="s">
        <v>2839</v>
      </c>
      <c r="I576" s="434">
        <v>1.4010509015269901E+18</v>
      </c>
      <c r="J576" s="516" t="s">
        <v>2713</v>
      </c>
      <c r="K576" s="3461"/>
      <c r="L576" s="3696"/>
      <c r="M576" s="3696"/>
      <c r="N576" s="429"/>
      <c r="O576" s="429"/>
      <c r="P576" s="429"/>
      <c r="Q576" s="429"/>
      <c r="R576" s="429"/>
    </row>
    <row r="577" spans="1:18" ht="30" customHeight="1" x14ac:dyDescent="0.2">
      <c r="A577" s="3456"/>
      <c r="B577" s="3459"/>
      <c r="C577" s="3576"/>
      <c r="D577" s="3443"/>
      <c r="E577" s="3445"/>
      <c r="F577" s="3443"/>
      <c r="G577" s="1184">
        <v>11000000</v>
      </c>
      <c r="H577" s="1184" t="s">
        <v>2840</v>
      </c>
      <c r="I577" s="434">
        <v>772288</v>
      </c>
      <c r="J577" s="516" t="s">
        <v>2841</v>
      </c>
      <c r="K577" s="3443"/>
      <c r="L577" s="3626"/>
      <c r="M577" s="3626"/>
      <c r="N577" s="429"/>
      <c r="O577" s="429"/>
      <c r="P577" s="429"/>
      <c r="Q577" s="429"/>
      <c r="R577" s="429"/>
    </row>
    <row r="578" spans="1:18" ht="30" customHeight="1" x14ac:dyDescent="0.2">
      <c r="A578" s="3451"/>
      <c r="B578" s="3458"/>
      <c r="C578" s="3571"/>
      <c r="D578" s="1521">
        <v>800000000</v>
      </c>
      <c r="E578" s="1518">
        <v>7.0000000000000007E-2</v>
      </c>
      <c r="F578" s="1521">
        <f>D578*E578</f>
        <v>56000000.000000007</v>
      </c>
      <c r="G578" s="1521">
        <v>16000000</v>
      </c>
      <c r="H578" s="1521" t="s">
        <v>3433</v>
      </c>
      <c r="I578" s="1580">
        <v>464418</v>
      </c>
      <c r="J578" s="516" t="s">
        <v>2713</v>
      </c>
      <c r="K578" s="1521">
        <f>G578</f>
        <v>16000000</v>
      </c>
      <c r="L578" s="1558">
        <f>F578-K578</f>
        <v>40000000.000000007</v>
      </c>
      <c r="M578" s="1555" t="s">
        <v>3304</v>
      </c>
      <c r="N578" s="429"/>
      <c r="O578" s="429"/>
      <c r="P578" s="429"/>
      <c r="Q578" s="429"/>
      <c r="R578" s="429"/>
    </row>
    <row r="579" spans="1:18" ht="30" customHeight="1" x14ac:dyDescent="0.2">
      <c r="A579" s="1015">
        <v>369</v>
      </c>
      <c r="B579" s="1013" t="s">
        <v>1771</v>
      </c>
      <c r="C579" s="1034" t="s">
        <v>1746</v>
      </c>
      <c r="D579" s="1020">
        <v>250000000</v>
      </c>
      <c r="E579" s="1048">
        <v>0.05</v>
      </c>
      <c r="F579" s="1020">
        <f>D579*E579</f>
        <v>12500000</v>
      </c>
      <c r="G579" s="1020">
        <v>12500000</v>
      </c>
      <c r="H579" s="1020" t="s">
        <v>2768</v>
      </c>
      <c r="I579" s="434">
        <v>55550</v>
      </c>
      <c r="J579" s="516" t="s">
        <v>2789</v>
      </c>
      <c r="K579" s="1020">
        <f>G579</f>
        <v>12500000</v>
      </c>
      <c r="L579" s="1044">
        <f t="shared" si="48"/>
        <v>0</v>
      </c>
      <c r="M579" s="428"/>
      <c r="N579" s="429"/>
      <c r="O579" s="429"/>
      <c r="P579" s="429"/>
      <c r="Q579" s="429"/>
      <c r="R579" s="429"/>
    </row>
    <row r="580" spans="1:18" ht="30" customHeight="1" x14ac:dyDescent="0.2">
      <c r="A580" s="2130">
        <v>370</v>
      </c>
      <c r="B580" s="22" t="s">
        <v>1795</v>
      </c>
      <c r="C580" s="2136"/>
      <c r="D580" s="2129">
        <v>200000000</v>
      </c>
      <c r="E580" s="2135">
        <v>0.05</v>
      </c>
      <c r="F580" s="2129">
        <f>D580*E580</f>
        <v>10000000</v>
      </c>
      <c r="G580" s="2129"/>
      <c r="H580" s="2129"/>
      <c r="I580" s="1082"/>
      <c r="J580" s="1082" t="s">
        <v>1796</v>
      </c>
      <c r="K580" s="2129">
        <f t="shared" ref="K580:K588" si="49">G580</f>
        <v>0</v>
      </c>
      <c r="L580" s="2128">
        <f t="shared" si="48"/>
        <v>10000000</v>
      </c>
      <c r="M580" s="2133"/>
      <c r="N580" s="429"/>
      <c r="O580" s="429"/>
      <c r="P580" s="429"/>
      <c r="Q580" s="429"/>
      <c r="R580" s="429"/>
    </row>
    <row r="581" spans="1:18" ht="30" customHeight="1" x14ac:dyDescent="0.2">
      <c r="A581" s="1015">
        <v>371</v>
      </c>
      <c r="B581" s="1013" t="s">
        <v>1797</v>
      </c>
      <c r="C581" s="1034" t="s">
        <v>971</v>
      </c>
      <c r="D581" s="1020">
        <v>50000000</v>
      </c>
      <c r="E581" s="2131">
        <v>0.04</v>
      </c>
      <c r="F581" s="1020">
        <f>D581*E581</f>
        <v>2000000</v>
      </c>
      <c r="G581" s="1020">
        <v>2000000</v>
      </c>
      <c r="H581" s="1020" t="s">
        <v>2790</v>
      </c>
      <c r="I581" s="434">
        <v>659051583680</v>
      </c>
      <c r="J581" s="516" t="s">
        <v>1798</v>
      </c>
      <c r="K581" s="1020">
        <f t="shared" si="49"/>
        <v>2000000</v>
      </c>
      <c r="L581" s="1044">
        <f t="shared" si="48"/>
        <v>0</v>
      </c>
      <c r="M581" s="428"/>
      <c r="N581" s="429"/>
      <c r="O581" s="429"/>
      <c r="P581" s="429"/>
      <c r="Q581" s="429"/>
      <c r="R581" s="429"/>
    </row>
    <row r="582" spans="1:18" ht="30" customHeight="1" x14ac:dyDescent="0.2">
      <c r="A582" s="1015">
        <v>372</v>
      </c>
      <c r="B582" s="1013" t="s">
        <v>1805</v>
      </c>
      <c r="C582" s="1034"/>
      <c r="D582" s="1026"/>
      <c r="E582" s="44"/>
      <c r="F582" s="1026"/>
      <c r="G582" s="1020"/>
      <c r="H582" s="1020"/>
      <c r="I582" s="434"/>
      <c r="J582" s="516" t="s">
        <v>856</v>
      </c>
      <c r="K582" s="1020">
        <f t="shared" si="49"/>
        <v>0</v>
      </c>
      <c r="L582" s="1043"/>
      <c r="M582" s="428"/>
      <c r="N582" s="429"/>
      <c r="O582" s="429"/>
      <c r="P582" s="429"/>
      <c r="Q582" s="429"/>
      <c r="R582" s="429"/>
    </row>
    <row r="583" spans="1:18" ht="30" customHeight="1" x14ac:dyDescent="0.2">
      <c r="A583" s="3450">
        <v>373</v>
      </c>
      <c r="B583" s="3457" t="s">
        <v>1824</v>
      </c>
      <c r="C583" s="3570"/>
      <c r="D583" s="1020">
        <v>10000000</v>
      </c>
      <c r="E583" s="1048">
        <v>0.05</v>
      </c>
      <c r="F583" s="1020">
        <f>D583*E583</f>
        <v>500000</v>
      </c>
      <c r="G583" s="1020">
        <v>500000</v>
      </c>
      <c r="H583" s="1020" t="s">
        <v>2823</v>
      </c>
      <c r="I583" s="434">
        <v>611644</v>
      </c>
      <c r="J583" s="516" t="s">
        <v>1825</v>
      </c>
      <c r="K583" s="1020">
        <f t="shared" si="49"/>
        <v>500000</v>
      </c>
      <c r="L583" s="1044">
        <f t="shared" ref="L583:L590" si="50">F583-K583</f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3451"/>
      <c r="B584" s="3458"/>
      <c r="C584" s="3571"/>
      <c r="D584" s="1203">
        <v>20000000</v>
      </c>
      <c r="E584" s="1216"/>
      <c r="F584" s="1203"/>
      <c r="G584" s="3610" t="s">
        <v>2905</v>
      </c>
      <c r="H584" s="3611"/>
      <c r="I584" s="3611"/>
      <c r="J584" s="3611"/>
      <c r="K584" s="3612"/>
      <c r="L584" s="1215"/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1015">
        <v>374</v>
      </c>
      <c r="B585" s="1013" t="s">
        <v>1826</v>
      </c>
      <c r="C585" s="1034"/>
      <c r="D585" s="1026"/>
      <c r="E585" s="44"/>
      <c r="F585" s="1026"/>
      <c r="G585" s="1020"/>
      <c r="H585" s="1020"/>
      <c r="I585" s="434"/>
      <c r="J585" s="516" t="s">
        <v>1827</v>
      </c>
      <c r="K585" s="1020">
        <f t="shared" si="49"/>
        <v>0</v>
      </c>
      <c r="L585" s="1043">
        <f t="shared" si="50"/>
        <v>0</v>
      </c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1015">
        <v>375</v>
      </c>
      <c r="B586" s="1013" t="s">
        <v>1834</v>
      </c>
      <c r="C586" s="1034"/>
      <c r="D586" s="1020">
        <v>100000000</v>
      </c>
      <c r="E586" s="1048">
        <v>0.05</v>
      </c>
      <c r="F586" s="1020">
        <f>D586*E586</f>
        <v>5000000</v>
      </c>
      <c r="G586" s="1020">
        <v>5000000</v>
      </c>
      <c r="H586" s="1020" t="s">
        <v>2768</v>
      </c>
      <c r="I586" s="434">
        <v>897597124</v>
      </c>
      <c r="J586" s="516" t="s">
        <v>1835</v>
      </c>
      <c r="K586" s="1020">
        <f t="shared" si="49"/>
        <v>5000000</v>
      </c>
      <c r="L586" s="1044">
        <f t="shared" si="50"/>
        <v>0</v>
      </c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015">
        <v>376</v>
      </c>
      <c r="B587" s="1013" t="s">
        <v>1840</v>
      </c>
      <c r="C587" s="1034"/>
      <c r="D587" s="1026"/>
      <c r="E587" s="44"/>
      <c r="F587" s="1026"/>
      <c r="G587" s="1020">
        <v>3000000</v>
      </c>
      <c r="H587" s="1020" t="s">
        <v>2937</v>
      </c>
      <c r="I587" s="434">
        <v>343155</v>
      </c>
      <c r="J587" s="516" t="s">
        <v>1842</v>
      </c>
      <c r="K587" s="1020">
        <f t="shared" si="49"/>
        <v>3000000</v>
      </c>
      <c r="L587" s="1043">
        <f t="shared" si="50"/>
        <v>-3000000</v>
      </c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1015">
        <v>377</v>
      </c>
      <c r="B588" s="1013" t="s">
        <v>1855</v>
      </c>
      <c r="C588" s="1034" t="s">
        <v>1746</v>
      </c>
      <c r="D588" s="1020">
        <v>153000000</v>
      </c>
      <c r="E588" s="1048">
        <v>7.0000000000000007E-2</v>
      </c>
      <c r="F588" s="1020">
        <f>D588*E588</f>
        <v>10710000.000000002</v>
      </c>
      <c r="G588" s="1020">
        <v>10710000</v>
      </c>
      <c r="H588" s="1020" t="s">
        <v>2823</v>
      </c>
      <c r="I588" s="434">
        <v>464434</v>
      </c>
      <c r="J588" s="516" t="s">
        <v>2072</v>
      </c>
      <c r="K588" s="1020">
        <f t="shared" si="49"/>
        <v>10710000</v>
      </c>
      <c r="L588" s="1044">
        <f t="shared" si="50"/>
        <v>0</v>
      </c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1015">
        <v>378</v>
      </c>
      <c r="B589" s="1013" t="s">
        <v>1902</v>
      </c>
      <c r="C589" s="1034" t="s">
        <v>916</v>
      </c>
      <c r="D589" s="1020">
        <v>300000000</v>
      </c>
      <c r="E589" s="1048">
        <v>5.0999999999999997E-2</v>
      </c>
      <c r="F589" s="1020">
        <v>15500000</v>
      </c>
      <c r="G589" s="1020">
        <v>15500000</v>
      </c>
      <c r="H589" s="1020" t="s">
        <v>2847</v>
      </c>
      <c r="I589" s="434">
        <v>464445</v>
      </c>
      <c r="J589" s="516" t="s">
        <v>3197</v>
      </c>
      <c r="K589" s="1020">
        <f>G589</f>
        <v>15500000</v>
      </c>
      <c r="L589" s="1044">
        <f t="shared" si="50"/>
        <v>0</v>
      </c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3450">
        <v>379</v>
      </c>
      <c r="B590" s="3457" t="s">
        <v>1861</v>
      </c>
      <c r="C590" s="3570" t="s">
        <v>380</v>
      </c>
      <c r="D590" s="3442">
        <v>50000000</v>
      </c>
      <c r="E590" s="3444">
        <v>0.04</v>
      </c>
      <c r="F590" s="3442">
        <f>D590*E590</f>
        <v>2000000</v>
      </c>
      <c r="G590" s="3442">
        <v>2000000</v>
      </c>
      <c r="H590" s="3442" t="s">
        <v>2937</v>
      </c>
      <c r="I590" s="3703">
        <v>904832</v>
      </c>
      <c r="J590" s="3703" t="s">
        <v>1950</v>
      </c>
      <c r="K590" s="3442">
        <f>G590+G591</f>
        <v>2000000</v>
      </c>
      <c r="L590" s="3625">
        <f t="shared" si="50"/>
        <v>0</v>
      </c>
      <c r="M590" s="3625"/>
      <c r="N590" s="429"/>
      <c r="O590" s="429"/>
      <c r="P590" s="429"/>
      <c r="Q590" s="429"/>
      <c r="R590" s="429"/>
    </row>
    <row r="591" spans="1:18" ht="30" customHeight="1" x14ac:dyDescent="0.2">
      <c r="A591" s="3451"/>
      <c r="B591" s="3458"/>
      <c r="C591" s="3571"/>
      <c r="D591" s="3443"/>
      <c r="E591" s="3445"/>
      <c r="F591" s="3443"/>
      <c r="G591" s="3443"/>
      <c r="H591" s="3443"/>
      <c r="I591" s="3704"/>
      <c r="J591" s="3704"/>
      <c r="K591" s="3443"/>
      <c r="L591" s="3626"/>
      <c r="M591" s="3626"/>
      <c r="N591" s="429"/>
      <c r="O591" s="429"/>
      <c r="P591" s="429"/>
      <c r="Q591" s="429"/>
      <c r="R591" s="429"/>
    </row>
    <row r="592" spans="1:18" ht="30" customHeight="1" x14ac:dyDescent="0.2">
      <c r="A592" s="1015">
        <v>380</v>
      </c>
      <c r="B592" s="1013" t="s">
        <v>1907</v>
      </c>
      <c r="C592" s="1034" t="s">
        <v>1131</v>
      </c>
      <c r="D592" s="1020">
        <v>10000000</v>
      </c>
      <c r="E592" s="1048">
        <v>0.05</v>
      </c>
      <c r="F592" s="1020">
        <f>D592*E592</f>
        <v>500000</v>
      </c>
      <c r="G592" s="1020"/>
      <c r="H592" s="1020"/>
      <c r="I592" s="434"/>
      <c r="J592" s="516" t="s">
        <v>1990</v>
      </c>
      <c r="K592" s="1020">
        <f>G592</f>
        <v>0</v>
      </c>
      <c r="L592" s="1044">
        <f>F592-K592</f>
        <v>500000</v>
      </c>
      <c r="M592" s="428" t="s">
        <v>1991</v>
      </c>
      <c r="N592" s="429"/>
      <c r="O592" s="429"/>
      <c r="P592" s="429"/>
      <c r="Q592" s="429"/>
      <c r="R592" s="429"/>
    </row>
    <row r="593" spans="1:18" ht="30" customHeight="1" x14ac:dyDescent="0.2">
      <c r="A593" s="1015">
        <v>381</v>
      </c>
      <c r="B593" s="1013" t="s">
        <v>1910</v>
      </c>
      <c r="C593" s="1034" t="s">
        <v>916</v>
      </c>
      <c r="D593" s="1020">
        <v>50000000</v>
      </c>
      <c r="E593" s="1048">
        <v>0.05</v>
      </c>
      <c r="F593" s="1020">
        <f>D593*E593</f>
        <v>2500000</v>
      </c>
      <c r="G593" s="1020">
        <v>2500000</v>
      </c>
      <c r="H593" s="1020" t="s">
        <v>2711</v>
      </c>
      <c r="I593" s="434">
        <v>546167</v>
      </c>
      <c r="J593" s="516" t="s">
        <v>2718</v>
      </c>
      <c r="K593" s="1020">
        <f>G593</f>
        <v>2500000</v>
      </c>
      <c r="L593" s="1044">
        <f>F593-K593</f>
        <v>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15">
        <v>382</v>
      </c>
      <c r="B594" s="1013" t="s">
        <v>1925</v>
      </c>
      <c r="C594" s="1034" t="s">
        <v>265</v>
      </c>
      <c r="D594" s="1020">
        <v>150000000</v>
      </c>
      <c r="E594" s="1048"/>
      <c r="F594" s="1020"/>
      <c r="G594" s="1020"/>
      <c r="H594" s="1020"/>
      <c r="I594" s="434"/>
      <c r="J594" s="516"/>
      <c r="K594" s="1020"/>
      <c r="L594" s="1044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015">
        <v>383</v>
      </c>
      <c r="B595" s="1013" t="s">
        <v>1936</v>
      </c>
      <c r="C595" s="1034" t="s">
        <v>265</v>
      </c>
      <c r="D595" s="1020">
        <v>10000000</v>
      </c>
      <c r="E595" s="1048">
        <v>7.0000000000000007E-2</v>
      </c>
      <c r="F595" s="1020">
        <f>D595*E595</f>
        <v>700000.00000000012</v>
      </c>
      <c r="G595" s="1020">
        <v>700000</v>
      </c>
      <c r="H595" s="1020" t="s">
        <v>3051</v>
      </c>
      <c r="I595" s="434">
        <v>244147</v>
      </c>
      <c r="J595" s="516" t="s">
        <v>3063</v>
      </c>
      <c r="K595" s="1020">
        <f>G595</f>
        <v>700000</v>
      </c>
      <c r="L595" s="1044">
        <f>F595-K595</f>
        <v>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670">
        <v>384</v>
      </c>
      <c r="B596" s="1013" t="s">
        <v>1981</v>
      </c>
      <c r="C596" s="1034" t="s">
        <v>265</v>
      </c>
      <c r="D596" s="1020">
        <v>150000000</v>
      </c>
      <c r="E596" s="1048">
        <v>7.0000000000000007E-2</v>
      </c>
      <c r="F596" s="1020">
        <f>D596*E596</f>
        <v>10500000.000000002</v>
      </c>
      <c r="G596" s="1020">
        <v>10500000</v>
      </c>
      <c r="H596" s="1020" t="s">
        <v>3032</v>
      </c>
      <c r="I596" s="434">
        <v>37957</v>
      </c>
      <c r="J596" s="516" t="s">
        <v>2080</v>
      </c>
      <c r="K596" s="1020">
        <f>G596</f>
        <v>10500000</v>
      </c>
      <c r="L596" s="1044">
        <f>F596-K596</f>
        <v>0</v>
      </c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015">
        <v>385</v>
      </c>
      <c r="B597" s="1013" t="s">
        <v>1997</v>
      </c>
      <c r="C597" s="1034" t="s">
        <v>379</v>
      </c>
      <c r="D597" s="1020">
        <v>12000000</v>
      </c>
      <c r="E597" s="1048">
        <v>0.05</v>
      </c>
      <c r="F597" s="1020">
        <f>D597*E597</f>
        <v>600000</v>
      </c>
      <c r="G597" s="1020">
        <v>600000</v>
      </c>
      <c r="H597" s="1020" t="s">
        <v>2036</v>
      </c>
      <c r="I597" s="434">
        <v>639443</v>
      </c>
      <c r="J597" s="516" t="s">
        <v>2989</v>
      </c>
      <c r="K597" s="1020">
        <f>G597</f>
        <v>600000</v>
      </c>
      <c r="L597" s="1044">
        <f>F597-K597</f>
        <v>0</v>
      </c>
      <c r="M597" s="428" t="s">
        <v>1998</v>
      </c>
      <c r="N597" s="429"/>
      <c r="O597" s="429"/>
      <c r="P597" s="429"/>
      <c r="Q597" s="429"/>
      <c r="R597" s="429"/>
    </row>
    <row r="598" spans="1:18" ht="30" customHeight="1" x14ac:dyDescent="0.2">
      <c r="A598" s="3450">
        <v>386</v>
      </c>
      <c r="B598" s="3457" t="s">
        <v>3227</v>
      </c>
      <c r="C598" s="3570" t="s">
        <v>1378</v>
      </c>
      <c r="D598" s="3442">
        <v>200000000</v>
      </c>
      <c r="E598" s="3444">
        <v>0.06</v>
      </c>
      <c r="F598" s="3442">
        <f>D598*E598</f>
        <v>12000000</v>
      </c>
      <c r="G598" s="1020">
        <v>5000000</v>
      </c>
      <c r="H598" s="1020" t="s">
        <v>2768</v>
      </c>
      <c r="I598" s="434">
        <v>897740174</v>
      </c>
      <c r="J598" s="516" t="s">
        <v>2787</v>
      </c>
      <c r="K598" s="3442">
        <f>G598+G599</f>
        <v>12000000</v>
      </c>
      <c r="L598" s="3625">
        <f>F598-K598</f>
        <v>0</v>
      </c>
      <c r="M598" s="3625"/>
      <c r="N598" s="429"/>
      <c r="O598" s="429"/>
      <c r="P598" s="429"/>
      <c r="Q598" s="429"/>
      <c r="R598" s="429"/>
    </row>
    <row r="599" spans="1:18" ht="30" customHeight="1" x14ac:dyDescent="0.2">
      <c r="A599" s="3456"/>
      <c r="B599" s="3459"/>
      <c r="C599" s="3576"/>
      <c r="D599" s="3461"/>
      <c r="E599" s="3474"/>
      <c r="F599" s="3461"/>
      <c r="G599" s="1144">
        <v>7000000</v>
      </c>
      <c r="H599" s="1144" t="s">
        <v>2790</v>
      </c>
      <c r="I599" s="434">
        <v>536161</v>
      </c>
      <c r="J599" s="516" t="s">
        <v>2798</v>
      </c>
      <c r="K599" s="3443"/>
      <c r="L599" s="3626"/>
      <c r="M599" s="3626"/>
      <c r="N599" s="429"/>
      <c r="O599" s="429"/>
      <c r="P599" s="429"/>
      <c r="Q599" s="429"/>
      <c r="R599" s="429"/>
    </row>
    <row r="600" spans="1:18" ht="30" customHeight="1" x14ac:dyDescent="0.2">
      <c r="A600" s="3451"/>
      <c r="B600" s="3458"/>
      <c r="C600" s="3571"/>
      <c r="D600" s="3443"/>
      <c r="E600" s="3445"/>
      <c r="F600" s="3443"/>
      <c r="G600" s="1332">
        <v>12000000</v>
      </c>
      <c r="H600" s="1332" t="s">
        <v>3218</v>
      </c>
      <c r="I600" s="1350" t="s">
        <v>3228</v>
      </c>
      <c r="J600" s="838" t="s">
        <v>2063</v>
      </c>
      <c r="K600" s="1332"/>
      <c r="L600" s="1341"/>
      <c r="M600" s="1340"/>
      <c r="N600" s="429"/>
      <c r="O600" s="429"/>
      <c r="P600" s="429"/>
      <c r="Q600" s="429"/>
      <c r="R600" s="429"/>
    </row>
    <row r="601" spans="1:18" ht="30" customHeight="1" x14ac:dyDescent="0.2">
      <c r="A601" s="3450">
        <v>387</v>
      </c>
      <c r="B601" s="3457" t="s">
        <v>2043</v>
      </c>
      <c r="C601" s="3570"/>
      <c r="D601" s="3442">
        <v>60000000</v>
      </c>
      <c r="E601" s="3444">
        <v>0.04</v>
      </c>
      <c r="F601" s="3442">
        <f>D601*E601</f>
        <v>2400000</v>
      </c>
      <c r="G601" s="1364">
        <v>2000000</v>
      </c>
      <c r="H601" s="1364" t="s">
        <v>3279</v>
      </c>
      <c r="I601" s="1382">
        <v>1.40105240182512E+17</v>
      </c>
      <c r="J601" s="516" t="s">
        <v>2044</v>
      </c>
      <c r="K601" s="3442">
        <f>G601+G602</f>
        <v>2400000</v>
      </c>
      <c r="L601" s="3625">
        <f>F601-K601</f>
        <v>0</v>
      </c>
      <c r="M601" s="3625"/>
      <c r="N601" s="429"/>
      <c r="O601" s="429"/>
      <c r="P601" s="429"/>
      <c r="Q601" s="429"/>
      <c r="R601" s="429"/>
    </row>
    <row r="602" spans="1:18" ht="30" customHeight="1" x14ac:dyDescent="0.2">
      <c r="A602" s="3451"/>
      <c r="B602" s="3458"/>
      <c r="C602" s="3571"/>
      <c r="D602" s="3443"/>
      <c r="E602" s="3445"/>
      <c r="F602" s="3443"/>
      <c r="G602" s="1364">
        <v>400000</v>
      </c>
      <c r="H602" s="1364" t="s">
        <v>3362</v>
      </c>
      <c r="I602" s="1382">
        <v>242557</v>
      </c>
      <c r="J602" s="516" t="s">
        <v>3381</v>
      </c>
      <c r="K602" s="3443"/>
      <c r="L602" s="3626"/>
      <c r="M602" s="3626"/>
      <c r="N602" s="429"/>
      <c r="O602" s="429"/>
      <c r="P602" s="429"/>
      <c r="Q602" s="429"/>
      <c r="R602" s="429"/>
    </row>
    <row r="603" spans="1:18" ht="30" customHeight="1" x14ac:dyDescent="0.2">
      <c r="A603" s="3450">
        <v>389</v>
      </c>
      <c r="B603" s="3457" t="s">
        <v>2073</v>
      </c>
      <c r="C603" s="3570" t="s">
        <v>3437</v>
      </c>
      <c r="D603" s="1020">
        <v>30000000</v>
      </c>
      <c r="E603" s="1048">
        <v>0.05</v>
      </c>
      <c r="F603" s="1020">
        <f>D603*E603</f>
        <v>1500000</v>
      </c>
      <c r="G603" s="1020">
        <v>1500000</v>
      </c>
      <c r="H603" s="1020" t="s">
        <v>3051</v>
      </c>
      <c r="I603" s="434">
        <v>854237</v>
      </c>
      <c r="J603" s="516" t="s">
        <v>2074</v>
      </c>
      <c r="K603" s="1020">
        <f>G603</f>
        <v>1500000</v>
      </c>
      <c r="L603" s="1044">
        <f>F603-K603</f>
        <v>0</v>
      </c>
      <c r="M603" s="428" t="s">
        <v>2075</v>
      </c>
      <c r="N603" s="429"/>
      <c r="O603" s="429"/>
      <c r="P603" s="429"/>
      <c r="Q603" s="429"/>
      <c r="R603" s="429"/>
    </row>
    <row r="604" spans="1:18" ht="30" customHeight="1" x14ac:dyDescent="0.2">
      <c r="A604" s="3456"/>
      <c r="B604" s="3459"/>
      <c r="C604" s="3576"/>
      <c r="D604" s="1386">
        <v>110000000</v>
      </c>
      <c r="E604" s="1388"/>
      <c r="F604" s="1386"/>
      <c r="G604" s="3610" t="s">
        <v>3345</v>
      </c>
      <c r="H604" s="3611"/>
      <c r="I604" s="3611"/>
      <c r="J604" s="3611"/>
      <c r="K604" s="3612"/>
      <c r="L604" s="1387"/>
      <c r="M604" s="428"/>
      <c r="N604" s="429"/>
      <c r="O604" s="429"/>
      <c r="P604" s="429"/>
      <c r="Q604" s="429"/>
      <c r="R604" s="429"/>
    </row>
    <row r="605" spans="1:18" ht="30" customHeight="1" x14ac:dyDescent="0.2">
      <c r="A605" s="3451"/>
      <c r="B605" s="3458"/>
      <c r="C605" s="3571"/>
      <c r="D605" s="1446">
        <v>150000000</v>
      </c>
      <c r="E605" s="1451">
        <v>0.05</v>
      </c>
      <c r="F605" s="1446">
        <f>D605*E605</f>
        <v>7500000</v>
      </c>
      <c r="G605" s="3705" t="s">
        <v>3435</v>
      </c>
      <c r="H605" s="3706"/>
      <c r="I605" s="3706"/>
      <c r="J605" s="3706"/>
      <c r="K605" s="3707"/>
      <c r="L605" s="1449"/>
      <c r="M605" s="428" t="s">
        <v>3436</v>
      </c>
      <c r="N605" s="429"/>
      <c r="O605" s="429"/>
      <c r="P605" s="429"/>
      <c r="Q605" s="429"/>
      <c r="R605" s="429"/>
    </row>
    <row r="606" spans="1:18" ht="30" customHeight="1" x14ac:dyDescent="0.2">
      <c r="A606" s="1015">
        <v>390</v>
      </c>
      <c r="B606" s="1013" t="s">
        <v>2122</v>
      </c>
      <c r="C606" s="1034"/>
      <c r="D606" s="1020">
        <v>5000000</v>
      </c>
      <c r="E606" s="1048">
        <v>0.05</v>
      </c>
      <c r="F606" s="1020">
        <f>D606*E606</f>
        <v>250000</v>
      </c>
      <c r="G606" s="1020">
        <v>250000</v>
      </c>
      <c r="H606" s="1020" t="s">
        <v>2666</v>
      </c>
      <c r="I606" s="434">
        <v>534425</v>
      </c>
      <c r="J606" s="516" t="s">
        <v>2667</v>
      </c>
      <c r="K606" s="1020">
        <f>G606</f>
        <v>250000</v>
      </c>
      <c r="L606" s="1044">
        <f>F606-K606</f>
        <v>0</v>
      </c>
      <c r="M606" s="428"/>
      <c r="N606" s="429"/>
      <c r="O606" s="429"/>
      <c r="P606" s="429"/>
      <c r="Q606" s="429"/>
      <c r="R606" s="429"/>
    </row>
    <row r="607" spans="1:18" ht="30" customHeight="1" x14ac:dyDescent="0.2">
      <c r="A607" s="3450">
        <v>391</v>
      </c>
      <c r="B607" s="3457" t="s">
        <v>2129</v>
      </c>
      <c r="C607" s="3570" t="s">
        <v>2130</v>
      </c>
      <c r="D607" s="1020">
        <v>1158000000</v>
      </c>
      <c r="E607" s="1048">
        <v>0.05</v>
      </c>
      <c r="F607" s="1020">
        <v>58000000</v>
      </c>
      <c r="G607" s="3644" t="s">
        <v>2496</v>
      </c>
      <c r="H607" s="3645"/>
      <c r="I607" s="3645"/>
      <c r="J607" s="3645"/>
      <c r="K607" s="3645"/>
      <c r="L607" s="3646"/>
      <c r="M607" s="3620" t="s">
        <v>2497</v>
      </c>
      <c r="N607" s="429"/>
      <c r="O607" s="429"/>
      <c r="P607" s="429"/>
      <c r="Q607" s="429"/>
      <c r="R607" s="429"/>
    </row>
    <row r="608" spans="1:18" ht="30" customHeight="1" x14ac:dyDescent="0.2">
      <c r="A608" s="3456"/>
      <c r="B608" s="3459"/>
      <c r="C608" s="3576"/>
      <c r="D608" s="3521" t="s">
        <v>3338</v>
      </c>
      <c r="E608" s="3613"/>
      <c r="F608" s="3522"/>
      <c r="G608" s="3647"/>
      <c r="H608" s="3648"/>
      <c r="I608" s="3648"/>
      <c r="J608" s="3648"/>
      <c r="K608" s="3648"/>
      <c r="L608" s="3649"/>
      <c r="M608" s="3621"/>
      <c r="N608" s="429"/>
      <c r="O608" s="429"/>
      <c r="P608" s="429"/>
      <c r="Q608" s="429"/>
      <c r="R608" s="429"/>
    </row>
    <row r="609" spans="1:18" ht="30" customHeight="1" x14ac:dyDescent="0.2">
      <c r="A609" s="3456"/>
      <c r="B609" s="3459"/>
      <c r="C609" s="3576"/>
      <c r="D609" s="3691"/>
      <c r="E609" s="3355"/>
      <c r="F609" s="3692"/>
      <c r="G609" s="3786" t="s">
        <v>3334</v>
      </c>
      <c r="H609" s="3787"/>
      <c r="I609" s="3787"/>
      <c r="J609" s="3787"/>
      <c r="K609" s="3787"/>
      <c r="L609" s="3592">
        <f>200000000+K610</f>
        <v>216000000</v>
      </c>
      <c r="M609" s="3620" t="s">
        <v>3054</v>
      </c>
      <c r="N609" s="429"/>
      <c r="O609" s="429"/>
      <c r="P609" s="429"/>
      <c r="Q609" s="429"/>
      <c r="R609" s="429"/>
    </row>
    <row r="610" spans="1:18" ht="30" customHeight="1" x14ac:dyDescent="0.2">
      <c r="A610" s="3456"/>
      <c r="B610" s="3459"/>
      <c r="C610" s="3576"/>
      <c r="D610" s="3523"/>
      <c r="E610" s="3614"/>
      <c r="F610" s="3524"/>
      <c r="G610" s="1372">
        <v>16000000</v>
      </c>
      <c r="H610" s="1372" t="s">
        <v>3324</v>
      </c>
      <c r="I610" s="1382" t="s">
        <v>3336</v>
      </c>
      <c r="J610" s="1372" t="s">
        <v>3335</v>
      </c>
      <c r="K610" s="1361">
        <f>G610</f>
        <v>16000000</v>
      </c>
      <c r="L610" s="3592"/>
      <c r="M610" s="3621"/>
      <c r="N610" s="429"/>
      <c r="O610" s="429"/>
      <c r="P610" s="429"/>
      <c r="Q610" s="429"/>
      <c r="R610" s="429"/>
    </row>
    <row r="611" spans="1:18" ht="30" customHeight="1" x14ac:dyDescent="0.2">
      <c r="A611" s="3451"/>
      <c r="B611" s="3458"/>
      <c r="C611" s="3571"/>
      <c r="D611" s="1372">
        <v>1000000000</v>
      </c>
      <c r="E611" s="44">
        <v>0.05</v>
      </c>
      <c r="F611" s="1370"/>
      <c r="G611" s="3615" t="s">
        <v>3337</v>
      </c>
      <c r="H611" s="3616"/>
      <c r="I611" s="3616"/>
      <c r="J611" s="3616"/>
      <c r="K611" s="3616"/>
      <c r="L611" s="3617"/>
      <c r="M611" s="1381"/>
      <c r="N611" s="429"/>
      <c r="O611" s="429"/>
      <c r="P611" s="429"/>
      <c r="Q611" s="429"/>
      <c r="R611" s="429"/>
    </row>
    <row r="612" spans="1:18" ht="30" customHeight="1" x14ac:dyDescent="0.2">
      <c r="A612" s="1015">
        <v>392</v>
      </c>
      <c r="B612" s="1013" t="s">
        <v>2174</v>
      </c>
      <c r="C612" s="1034" t="s">
        <v>1349</v>
      </c>
      <c r="D612" s="1020">
        <v>50000000</v>
      </c>
      <c r="E612" s="1048">
        <v>0.05</v>
      </c>
      <c r="F612" s="1020">
        <f>D612*E612</f>
        <v>2500000</v>
      </c>
      <c r="G612" s="1020">
        <v>2500000</v>
      </c>
      <c r="H612" s="1020" t="s">
        <v>3139</v>
      </c>
      <c r="I612" s="434">
        <v>519751</v>
      </c>
      <c r="J612" s="516" t="s">
        <v>3182</v>
      </c>
      <c r="K612" s="1020">
        <f>G612</f>
        <v>2500000</v>
      </c>
      <c r="L612" s="1044">
        <f>F612-K612</f>
        <v>0</v>
      </c>
      <c r="M612" s="428" t="s">
        <v>2162</v>
      </c>
      <c r="N612" s="429"/>
      <c r="O612" s="429"/>
      <c r="P612" s="429"/>
      <c r="Q612" s="429"/>
      <c r="R612" s="429"/>
    </row>
    <row r="613" spans="1:18" ht="30" customHeight="1" x14ac:dyDescent="0.2">
      <c r="A613" s="1015">
        <v>393</v>
      </c>
      <c r="B613" s="1013" t="s">
        <v>2166</v>
      </c>
      <c r="C613" s="1034"/>
      <c r="D613" s="1026"/>
      <c r="E613" s="44"/>
      <c r="F613" s="1026"/>
      <c r="G613" s="1020">
        <v>1500000</v>
      </c>
      <c r="H613" s="1020" t="s">
        <v>3137</v>
      </c>
      <c r="I613" s="434">
        <v>155648</v>
      </c>
      <c r="J613" s="516" t="s">
        <v>2167</v>
      </c>
      <c r="K613" s="1020">
        <f>G613</f>
        <v>1500000</v>
      </c>
      <c r="L613" s="1043">
        <f>F613-K613</f>
        <v>-1500000</v>
      </c>
      <c r="M613" s="428"/>
      <c r="N613" s="429"/>
      <c r="O613" s="429"/>
      <c r="P613" s="429"/>
      <c r="Q613" s="429"/>
      <c r="R613" s="429"/>
    </row>
    <row r="614" spans="1:18" ht="30" customHeight="1" x14ac:dyDescent="0.2">
      <c r="A614" s="1015"/>
      <c r="B614" s="722" t="s">
        <v>2178</v>
      </c>
      <c r="C614" s="723" t="s">
        <v>1378</v>
      </c>
      <c r="D614" s="724">
        <v>600000000</v>
      </c>
      <c r="E614" s="725">
        <v>0.06</v>
      </c>
      <c r="F614" s="724">
        <f>D614*E614</f>
        <v>36000000</v>
      </c>
      <c r="G614" s="1020"/>
      <c r="H614" s="1020"/>
      <c r="I614" s="434"/>
      <c r="J614" s="516"/>
      <c r="K614" s="1020"/>
      <c r="L614" s="1044"/>
      <c r="M614" s="428" t="s">
        <v>2162</v>
      </c>
      <c r="N614" s="429"/>
      <c r="O614" s="429"/>
      <c r="P614" s="429"/>
      <c r="Q614" s="429"/>
      <c r="R614" s="429"/>
    </row>
    <row r="615" spans="1:18" ht="30" customHeight="1" x14ac:dyDescent="0.2">
      <c r="A615" s="1015"/>
      <c r="B615" s="722" t="s">
        <v>2175</v>
      </c>
      <c r="C615" s="723" t="s">
        <v>1378</v>
      </c>
      <c r="D615" s="724">
        <v>310000000</v>
      </c>
      <c r="E615" s="725">
        <v>0.06</v>
      </c>
      <c r="F615" s="724">
        <f t="shared" ref="F615:F618" si="51">D615*E615</f>
        <v>18600000</v>
      </c>
      <c r="G615" s="1020"/>
      <c r="H615" s="1020"/>
      <c r="I615" s="434"/>
      <c r="J615" s="516"/>
      <c r="K615" s="1020"/>
      <c r="L615" s="1044"/>
      <c r="M615" s="428" t="s">
        <v>2162</v>
      </c>
      <c r="N615" s="429"/>
      <c r="O615" s="429"/>
      <c r="P615" s="429"/>
      <c r="Q615" s="429"/>
      <c r="R615" s="429"/>
    </row>
    <row r="616" spans="1:18" ht="30" customHeight="1" x14ac:dyDescent="0.2">
      <c r="A616" s="1015"/>
      <c r="B616" s="722" t="s">
        <v>2179</v>
      </c>
      <c r="C616" s="723" t="s">
        <v>1378</v>
      </c>
      <c r="D616" s="724">
        <v>50000000</v>
      </c>
      <c r="E616" s="725">
        <v>0.06</v>
      </c>
      <c r="F616" s="724">
        <f t="shared" si="51"/>
        <v>3000000</v>
      </c>
      <c r="G616" s="1020"/>
      <c r="H616" s="1020"/>
      <c r="I616" s="434"/>
      <c r="J616" s="516"/>
      <c r="K616" s="1020"/>
      <c r="L616" s="1044"/>
      <c r="M616" s="428" t="s">
        <v>2162</v>
      </c>
      <c r="N616" s="429"/>
      <c r="O616" s="429"/>
      <c r="P616" s="429"/>
      <c r="Q616" s="429"/>
      <c r="R616" s="429"/>
    </row>
    <row r="617" spans="1:18" ht="30" customHeight="1" x14ac:dyDescent="0.2">
      <c r="A617" s="1015"/>
      <c r="B617" s="722" t="s">
        <v>2176</v>
      </c>
      <c r="C617" s="723" t="s">
        <v>1378</v>
      </c>
      <c r="D617" s="724">
        <v>110000000</v>
      </c>
      <c r="E617" s="725">
        <v>0.06</v>
      </c>
      <c r="F617" s="724">
        <f t="shared" si="51"/>
        <v>6600000</v>
      </c>
      <c r="G617" s="1020"/>
      <c r="H617" s="1020"/>
      <c r="I617" s="434"/>
      <c r="J617" s="516"/>
      <c r="K617" s="1020"/>
      <c r="L617" s="1044"/>
      <c r="M617" s="428" t="s">
        <v>2162</v>
      </c>
      <c r="N617" s="429"/>
      <c r="O617" s="429"/>
      <c r="P617" s="429"/>
      <c r="Q617" s="429"/>
      <c r="R617" s="429"/>
    </row>
    <row r="618" spans="1:18" ht="30" customHeight="1" x14ac:dyDescent="0.2">
      <c r="A618" s="1015"/>
      <c r="B618" s="722" t="s">
        <v>2177</v>
      </c>
      <c r="C618" s="723" t="s">
        <v>1378</v>
      </c>
      <c r="D618" s="724">
        <v>100000000</v>
      </c>
      <c r="E618" s="725">
        <v>0.06</v>
      </c>
      <c r="F618" s="724">
        <f t="shared" si="51"/>
        <v>6000000</v>
      </c>
      <c r="G618" s="1020"/>
      <c r="H618" s="1020"/>
      <c r="I618" s="434"/>
      <c r="J618" s="516"/>
      <c r="K618" s="1020"/>
      <c r="L618" s="1044"/>
      <c r="M618" s="428" t="s">
        <v>2162</v>
      </c>
      <c r="N618" s="429"/>
      <c r="O618" s="429"/>
      <c r="P618" s="429"/>
      <c r="Q618" s="429"/>
      <c r="R618" s="429"/>
    </row>
    <row r="619" spans="1:18" ht="30" customHeight="1" x14ac:dyDescent="0.2">
      <c r="A619" s="1015"/>
      <c r="B619" s="722"/>
      <c r="C619" s="723"/>
      <c r="D619" s="724">
        <f>SUM(D614:D618)</f>
        <v>1170000000</v>
      </c>
      <c r="E619" s="725"/>
      <c r="F619" s="724">
        <f>SUM(F614:F618)</f>
        <v>70200000</v>
      </c>
      <c r="G619" s="1020"/>
      <c r="H619" s="1020"/>
      <c r="I619" s="434"/>
      <c r="J619" s="516"/>
      <c r="K619" s="1020"/>
      <c r="L619" s="1044"/>
      <c r="M619" s="428"/>
      <c r="N619" s="429"/>
      <c r="O619" s="429"/>
      <c r="P619" s="429"/>
      <c r="Q619" s="429"/>
      <c r="R619" s="429"/>
    </row>
    <row r="620" spans="1:18" ht="30" customHeight="1" x14ac:dyDescent="0.2">
      <c r="A620" s="1572"/>
      <c r="B620" s="1570" t="s">
        <v>2195</v>
      </c>
      <c r="C620" s="1571"/>
      <c r="D620" s="1542">
        <v>200000000</v>
      </c>
      <c r="E620" s="1569">
        <v>7.0000000000000007E-2</v>
      </c>
      <c r="F620" s="1542">
        <f>D620*E620</f>
        <v>14000000.000000002</v>
      </c>
      <c r="G620" s="1020">
        <v>14000000</v>
      </c>
      <c r="H620" s="1020" t="s">
        <v>3433</v>
      </c>
      <c r="I620" s="434">
        <v>464423</v>
      </c>
      <c r="J620" s="516" t="s">
        <v>1106</v>
      </c>
      <c r="K620" s="1542">
        <f>G620</f>
        <v>14000000</v>
      </c>
      <c r="L620" s="1509">
        <f>F620-K620</f>
        <v>0</v>
      </c>
      <c r="M620" s="1557"/>
      <c r="N620" s="429"/>
      <c r="O620" s="429"/>
      <c r="P620" s="429"/>
      <c r="Q620" s="429"/>
      <c r="R620" s="429"/>
    </row>
    <row r="621" spans="1:18" ht="30" customHeight="1" x14ac:dyDescent="0.2">
      <c r="A621" s="1015"/>
      <c r="B621" s="1013" t="s">
        <v>2215</v>
      </c>
      <c r="C621" s="1034"/>
      <c r="D621" s="1282">
        <v>13000000</v>
      </c>
      <c r="E621" s="1287">
        <v>0.05</v>
      </c>
      <c r="F621" s="1282">
        <f>D621*E621</f>
        <v>650000</v>
      </c>
      <c r="G621" s="1282">
        <v>650000</v>
      </c>
      <c r="H621" s="1282" t="s">
        <v>3100</v>
      </c>
      <c r="I621" s="1288">
        <v>254171</v>
      </c>
      <c r="J621" s="516" t="s">
        <v>3119</v>
      </c>
      <c r="K621" s="1282">
        <f>G621</f>
        <v>650000</v>
      </c>
      <c r="L621" s="1286">
        <f>F621-K621</f>
        <v>0</v>
      </c>
      <c r="M621" s="428"/>
      <c r="N621" s="429"/>
      <c r="O621" s="429"/>
      <c r="P621" s="429"/>
      <c r="Q621" s="429"/>
      <c r="R621" s="429"/>
    </row>
    <row r="622" spans="1:18" ht="30" customHeight="1" x14ac:dyDescent="0.2">
      <c r="A622" s="1015"/>
      <c r="B622" s="1013" t="s">
        <v>2254</v>
      </c>
      <c r="C622" s="1034"/>
      <c r="D622" s="1020">
        <v>50000000</v>
      </c>
      <c r="E622" s="1048">
        <v>0.04</v>
      </c>
      <c r="F622" s="1020">
        <f>D622*E622</f>
        <v>2000000</v>
      </c>
      <c r="G622" s="1020">
        <v>2000000</v>
      </c>
      <c r="H622" s="1020" t="s">
        <v>3324</v>
      </c>
      <c r="I622" s="434">
        <v>275226</v>
      </c>
      <c r="J622" s="516" t="s">
        <v>3344</v>
      </c>
      <c r="K622" s="1020">
        <f>G622</f>
        <v>2000000</v>
      </c>
      <c r="L622" s="1044">
        <f>F622-G622</f>
        <v>0</v>
      </c>
      <c r="M622" s="428"/>
      <c r="N622" s="429"/>
      <c r="O622" s="429"/>
      <c r="P622" s="429"/>
      <c r="Q622" s="429"/>
      <c r="R622" s="429"/>
    </row>
    <row r="623" spans="1:18" ht="30" customHeight="1" x14ac:dyDescent="0.2">
      <c r="A623" s="3450"/>
      <c r="B623" s="3457" t="s">
        <v>2255</v>
      </c>
      <c r="C623" s="3570"/>
      <c r="D623" s="3442">
        <v>100000000</v>
      </c>
      <c r="E623" s="3444">
        <v>0.05</v>
      </c>
      <c r="F623" s="3442">
        <f>D623*E623</f>
        <v>5000000</v>
      </c>
      <c r="G623" s="1020">
        <v>4000000</v>
      </c>
      <c r="H623" s="1020" t="s">
        <v>2036</v>
      </c>
      <c r="I623" s="434">
        <v>123307431255</v>
      </c>
      <c r="J623" s="516" t="s">
        <v>2982</v>
      </c>
      <c r="K623" s="3442">
        <f>G623+G624</f>
        <v>5000000</v>
      </c>
      <c r="L623" s="3625">
        <f>F623-K623</f>
        <v>0</v>
      </c>
      <c r="M623" s="3625"/>
      <c r="N623" s="429"/>
      <c r="O623" s="429"/>
      <c r="P623" s="429"/>
      <c r="Q623" s="429"/>
      <c r="R623" s="429"/>
    </row>
    <row r="624" spans="1:18" ht="30" customHeight="1" x14ac:dyDescent="0.2">
      <c r="A624" s="3451"/>
      <c r="B624" s="3458"/>
      <c r="C624" s="3571"/>
      <c r="D624" s="3443"/>
      <c r="E624" s="3445"/>
      <c r="F624" s="3443"/>
      <c r="G624" s="1282">
        <v>1000000</v>
      </c>
      <c r="H624" s="1282" t="s">
        <v>3100</v>
      </c>
      <c r="I624" s="1288">
        <v>903059</v>
      </c>
      <c r="J624" s="516" t="s">
        <v>3107</v>
      </c>
      <c r="K624" s="3443"/>
      <c r="L624" s="3626"/>
      <c r="M624" s="3626"/>
      <c r="N624" s="429"/>
      <c r="O624" s="429"/>
      <c r="P624" s="429"/>
      <c r="Q624" s="429"/>
      <c r="R624" s="429"/>
    </row>
    <row r="625" spans="1:18" ht="30" customHeight="1" x14ac:dyDescent="0.2">
      <c r="A625" s="1015"/>
      <c r="B625" s="1013" t="s">
        <v>2334</v>
      </c>
      <c r="C625" s="1034" t="s">
        <v>1378</v>
      </c>
      <c r="D625" s="1020">
        <v>30000000</v>
      </c>
      <c r="E625" s="1048">
        <v>0.05</v>
      </c>
      <c r="F625" s="1020">
        <f>D625*E625</f>
        <v>1500000</v>
      </c>
      <c r="G625" s="1372">
        <v>1500000</v>
      </c>
      <c r="H625" s="1372" t="s">
        <v>3324</v>
      </c>
      <c r="I625" s="1372" t="s">
        <v>3340</v>
      </c>
      <c r="J625" s="1372" t="s">
        <v>3339</v>
      </c>
      <c r="K625" s="1372">
        <f>G625</f>
        <v>1500000</v>
      </c>
      <c r="L625" s="1372">
        <f>F625-K625</f>
        <v>0</v>
      </c>
      <c r="M625" s="1393" t="s">
        <v>2333</v>
      </c>
      <c r="N625" s="429"/>
      <c r="O625" s="429"/>
      <c r="P625" s="429"/>
      <c r="Q625" s="429"/>
      <c r="R625" s="429"/>
    </row>
    <row r="626" spans="1:18" ht="30" customHeight="1" x14ac:dyDescent="0.2">
      <c r="A626" s="1015"/>
      <c r="B626" s="1013" t="s">
        <v>2405</v>
      </c>
      <c r="C626" s="1034" t="s">
        <v>1354</v>
      </c>
      <c r="D626" s="1020">
        <v>600000000</v>
      </c>
      <c r="E626" s="1048">
        <v>0.05</v>
      </c>
      <c r="F626" s="1020">
        <f>D626*E626</f>
        <v>30000000</v>
      </c>
      <c r="G626" s="1020"/>
      <c r="H626" s="1020"/>
      <c r="I626" s="434"/>
      <c r="J626" s="516"/>
      <c r="K626" s="1020"/>
      <c r="L626" s="1044"/>
      <c r="M626" s="428"/>
      <c r="N626" s="429"/>
      <c r="O626" s="429"/>
      <c r="P626" s="429"/>
      <c r="Q626" s="429"/>
      <c r="R626" s="429"/>
    </row>
    <row r="627" spans="1:18" ht="30" customHeight="1" x14ac:dyDescent="0.2">
      <c r="A627" s="1015"/>
      <c r="B627" s="1013" t="s">
        <v>2422</v>
      </c>
      <c r="C627" s="1034"/>
      <c r="D627" s="1026"/>
      <c r="E627" s="44"/>
      <c r="F627" s="1026"/>
      <c r="G627" s="1020"/>
      <c r="H627" s="1020"/>
      <c r="I627" s="434"/>
      <c r="J627" s="516" t="s">
        <v>2423</v>
      </c>
      <c r="K627" s="1020">
        <f t="shared" ref="K627:K631" si="52">G627</f>
        <v>0</v>
      </c>
      <c r="L627" s="1043"/>
      <c r="M627" s="428" t="s">
        <v>2205</v>
      </c>
      <c r="N627" s="429"/>
      <c r="O627" s="429"/>
      <c r="P627" s="429"/>
      <c r="Q627" s="429"/>
      <c r="R627" s="429"/>
    </row>
    <row r="628" spans="1:18" ht="30" customHeight="1" x14ac:dyDescent="0.2">
      <c r="A628" s="1015"/>
      <c r="B628" s="1028" t="s">
        <v>2433</v>
      </c>
      <c r="C628" s="1042"/>
      <c r="D628" s="1026"/>
      <c r="E628" s="44"/>
      <c r="F628" s="1026"/>
      <c r="G628" s="1026"/>
      <c r="H628" s="1026"/>
      <c r="I628" s="837"/>
      <c r="J628" s="838" t="s">
        <v>2434</v>
      </c>
      <c r="K628" s="1026">
        <f t="shared" si="52"/>
        <v>0</v>
      </c>
      <c r="L628" s="1043">
        <f t="shared" ref="L628:L635" si="53">F628-K628</f>
        <v>0</v>
      </c>
      <c r="M628" s="428" t="s">
        <v>2205</v>
      </c>
      <c r="N628" s="429"/>
      <c r="O628" s="429"/>
      <c r="P628" s="429"/>
      <c r="Q628" s="429"/>
      <c r="R628" s="429"/>
    </row>
    <row r="629" spans="1:18" ht="30" customHeight="1" x14ac:dyDescent="0.2">
      <c r="A629" s="1015"/>
      <c r="B629" s="1013" t="s">
        <v>2474</v>
      </c>
      <c r="C629" s="1034" t="s">
        <v>1378</v>
      </c>
      <c r="D629" s="1248">
        <v>25000000</v>
      </c>
      <c r="E629" s="1256">
        <v>0.04</v>
      </c>
      <c r="F629" s="1248">
        <f>D629*E629</f>
        <v>1000000</v>
      </c>
      <c r="G629" s="1248"/>
      <c r="H629" s="1248"/>
      <c r="I629" s="1260"/>
      <c r="J629" s="516" t="s">
        <v>2476</v>
      </c>
      <c r="K629" s="1248">
        <f t="shared" si="52"/>
        <v>0</v>
      </c>
      <c r="L629" s="1255">
        <f t="shared" si="53"/>
        <v>1000000</v>
      </c>
      <c r="M629" s="428"/>
      <c r="N629" s="429"/>
      <c r="O629" s="429"/>
      <c r="P629" s="429"/>
      <c r="Q629" s="429"/>
      <c r="R629" s="429"/>
    </row>
    <row r="630" spans="1:18" ht="30" customHeight="1" x14ac:dyDescent="0.2">
      <c r="A630" s="1015"/>
      <c r="B630" s="1013" t="s">
        <v>2515</v>
      </c>
      <c r="C630" s="1034"/>
      <c r="D630" s="1026"/>
      <c r="E630" s="44"/>
      <c r="F630" s="1026"/>
      <c r="G630" s="1020"/>
      <c r="H630" s="1020"/>
      <c r="I630" s="434"/>
      <c r="J630" s="516" t="s">
        <v>2516</v>
      </c>
      <c r="K630" s="1020">
        <f t="shared" si="52"/>
        <v>0</v>
      </c>
      <c r="L630" s="1043">
        <f t="shared" si="53"/>
        <v>0</v>
      </c>
      <c r="M630" s="428"/>
      <c r="N630" s="429"/>
      <c r="O630" s="429"/>
      <c r="P630" s="429"/>
      <c r="Q630" s="429"/>
      <c r="R630" s="429"/>
    </row>
    <row r="631" spans="1:18" ht="30" customHeight="1" x14ac:dyDescent="0.2">
      <c r="A631" s="1015"/>
      <c r="B631" s="1013" t="s">
        <v>2518</v>
      </c>
      <c r="C631" s="1034"/>
      <c r="D631" s="1026">
        <v>880000000</v>
      </c>
      <c r="E631" s="44"/>
      <c r="F631" s="1026"/>
      <c r="G631" s="1020">
        <f>F633/3</f>
        <v>3666666.6666666665</v>
      </c>
      <c r="H631" s="1020"/>
      <c r="I631" s="434"/>
      <c r="J631" s="516" t="s">
        <v>2519</v>
      </c>
      <c r="K631" s="1020">
        <f t="shared" si="52"/>
        <v>3666666.6666666665</v>
      </c>
      <c r="L631" s="1043">
        <f t="shared" si="53"/>
        <v>-3666666.6666666665</v>
      </c>
      <c r="M631" s="428"/>
      <c r="N631" s="429"/>
      <c r="O631" s="429"/>
      <c r="P631" s="429"/>
      <c r="Q631" s="429"/>
      <c r="R631" s="429"/>
    </row>
    <row r="632" spans="1:18" ht="30" customHeight="1" x14ac:dyDescent="0.2">
      <c r="A632" s="3450"/>
      <c r="B632" s="3457" t="s">
        <v>2781</v>
      </c>
      <c r="C632" s="3570" t="s">
        <v>1746</v>
      </c>
      <c r="D632" s="1144">
        <v>100000000</v>
      </c>
      <c r="E632" s="1153">
        <v>0.05</v>
      </c>
      <c r="F632" s="1144">
        <f>D632*E632</f>
        <v>5000000</v>
      </c>
      <c r="G632" s="1149">
        <v>5000000</v>
      </c>
      <c r="H632" s="1149" t="s">
        <v>2768</v>
      </c>
      <c r="I632" s="1149">
        <v>123069434142</v>
      </c>
      <c r="J632" s="1149" t="s">
        <v>2782</v>
      </c>
      <c r="K632" s="1149">
        <f>G632</f>
        <v>5000000</v>
      </c>
      <c r="L632" s="1152">
        <f t="shared" si="53"/>
        <v>0</v>
      </c>
      <c r="M632" s="428"/>
      <c r="N632" s="429"/>
      <c r="O632" s="429"/>
      <c r="P632" s="429"/>
      <c r="Q632" s="429"/>
      <c r="R632" s="429"/>
    </row>
    <row r="633" spans="1:18" ht="30" customHeight="1" x14ac:dyDescent="0.2">
      <c r="A633" s="3456"/>
      <c r="B633" s="3459"/>
      <c r="C633" s="3576"/>
      <c r="D633" s="1397">
        <v>220000000</v>
      </c>
      <c r="E633" s="1409">
        <v>0.05</v>
      </c>
      <c r="F633" s="1397">
        <f>D633*E633</f>
        <v>11000000</v>
      </c>
      <c r="G633" s="3478" t="s">
        <v>3347</v>
      </c>
      <c r="H633" s="3479"/>
      <c r="I633" s="3479"/>
      <c r="J633" s="3480"/>
      <c r="K633" s="1397"/>
      <c r="L633" s="1406"/>
      <c r="M633" s="428" t="s">
        <v>3348</v>
      </c>
      <c r="N633" s="429"/>
      <c r="O633" s="429"/>
      <c r="P633" s="429"/>
      <c r="Q633" s="429"/>
      <c r="R633" s="429"/>
    </row>
    <row r="634" spans="1:18" ht="30" customHeight="1" x14ac:dyDescent="0.2">
      <c r="A634" s="3451"/>
      <c r="B634" s="3458"/>
      <c r="C634" s="3571"/>
      <c r="D634" s="1397"/>
      <c r="E634" s="1409"/>
      <c r="F634" s="1397"/>
      <c r="G634" s="1404">
        <v>3650000</v>
      </c>
      <c r="H634" s="1404" t="s">
        <v>3349</v>
      </c>
      <c r="I634" s="1404">
        <v>439187</v>
      </c>
      <c r="J634" s="1404" t="s">
        <v>3401</v>
      </c>
      <c r="K634" s="1404">
        <f>G634</f>
        <v>3650000</v>
      </c>
      <c r="L634" s="1406"/>
      <c r="M634" s="428" t="s">
        <v>3346</v>
      </c>
      <c r="N634" s="429"/>
      <c r="O634" s="429"/>
      <c r="P634" s="429"/>
      <c r="Q634" s="429"/>
      <c r="R634" s="429"/>
    </row>
    <row r="635" spans="1:18" ht="30" customHeight="1" x14ac:dyDescent="0.2">
      <c r="A635" s="1015"/>
      <c r="B635" s="1013" t="s">
        <v>2537</v>
      </c>
      <c r="C635" s="1034"/>
      <c r="D635" s="1020">
        <v>20000000</v>
      </c>
      <c r="E635" s="1048">
        <v>0.05</v>
      </c>
      <c r="F635" s="1020">
        <f>D635*E635</f>
        <v>1000000</v>
      </c>
      <c r="G635" s="1020">
        <v>1000000</v>
      </c>
      <c r="H635" s="1020" t="s">
        <v>3032</v>
      </c>
      <c r="I635" s="434">
        <v>123445088921</v>
      </c>
      <c r="J635" s="516" t="s">
        <v>3129</v>
      </c>
      <c r="K635" s="1020">
        <f>G635</f>
        <v>1000000</v>
      </c>
      <c r="L635" s="1044">
        <f t="shared" si="53"/>
        <v>0</v>
      </c>
      <c r="M635" s="428"/>
      <c r="N635" s="429"/>
      <c r="O635" s="429"/>
      <c r="P635" s="429"/>
      <c r="Q635" s="429"/>
      <c r="R635" s="429"/>
    </row>
    <row r="636" spans="1:18" ht="30" customHeight="1" x14ac:dyDescent="0.2">
      <c r="A636" s="3450"/>
      <c r="B636" s="3457" t="s">
        <v>2602</v>
      </c>
      <c r="C636" s="3570" t="s">
        <v>916</v>
      </c>
      <c r="D636" s="1020">
        <v>51000000</v>
      </c>
      <c r="E636" s="1048">
        <v>0.06</v>
      </c>
      <c r="F636" s="1020">
        <f>D636*E636</f>
        <v>3060000</v>
      </c>
      <c r="G636" s="3478" t="s">
        <v>2648</v>
      </c>
      <c r="H636" s="3479"/>
      <c r="I636" s="3479"/>
      <c r="J636" s="3479"/>
      <c r="K636" s="3479"/>
      <c r="L636" s="3480"/>
      <c r="M636" s="428"/>
      <c r="N636" s="429"/>
      <c r="O636" s="429"/>
      <c r="P636" s="429"/>
      <c r="Q636" s="429"/>
      <c r="R636" s="429"/>
    </row>
    <row r="637" spans="1:18" ht="30" customHeight="1" x14ac:dyDescent="0.2">
      <c r="A637" s="3456"/>
      <c r="B637" s="3459"/>
      <c r="C637" s="3576"/>
      <c r="D637" s="1020">
        <f>D636+F636+F636</f>
        <v>57120000</v>
      </c>
      <c r="E637" s="1048">
        <v>0.06</v>
      </c>
      <c r="F637" s="1020">
        <v>3425000</v>
      </c>
      <c r="G637" s="3478" t="s">
        <v>2649</v>
      </c>
      <c r="H637" s="3479"/>
      <c r="I637" s="3479"/>
      <c r="J637" s="3479"/>
      <c r="K637" s="3480"/>
      <c r="L637" s="1031"/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3451"/>
      <c r="B638" s="3458"/>
      <c r="C638" s="3571"/>
      <c r="D638" s="1494"/>
      <c r="E638" s="1501"/>
      <c r="F638" s="1494"/>
      <c r="G638" s="1499"/>
      <c r="H638" s="1500"/>
      <c r="I638" s="1500"/>
      <c r="J638" s="1500"/>
      <c r="K638" s="1500"/>
      <c r="L638" s="1497"/>
      <c r="M638" s="428"/>
      <c r="N638" s="429"/>
      <c r="O638" s="429"/>
      <c r="P638" s="429"/>
      <c r="Q638" s="429"/>
      <c r="R638" s="429"/>
    </row>
    <row r="639" spans="1:18" ht="30" customHeight="1" x14ac:dyDescent="0.2">
      <c r="A639" s="1015"/>
      <c r="B639" s="1013" t="s">
        <v>2651</v>
      </c>
      <c r="C639" s="1034" t="s">
        <v>1110</v>
      </c>
      <c r="D639" s="1020">
        <v>80000000</v>
      </c>
      <c r="E639" s="1048">
        <v>0.05</v>
      </c>
      <c r="F639" s="1020">
        <f>D639*E639</f>
        <v>4000000</v>
      </c>
      <c r="G639" s="3610" t="s">
        <v>2331</v>
      </c>
      <c r="H639" s="3611"/>
      <c r="I639" s="3611"/>
      <c r="J639" s="3611"/>
      <c r="K639" s="3611"/>
      <c r="L639" s="3612"/>
      <c r="M639" s="428"/>
      <c r="N639" s="429"/>
      <c r="O639" s="429"/>
      <c r="P639" s="429"/>
      <c r="Q639" s="429"/>
      <c r="R639" s="429"/>
    </row>
    <row r="640" spans="1:18" ht="30" customHeight="1" x14ac:dyDescent="0.2">
      <c r="A640" s="3450"/>
      <c r="B640" s="3457" t="s">
        <v>2767</v>
      </c>
      <c r="C640" s="3570"/>
      <c r="D640" s="3505"/>
      <c r="E640" s="3507"/>
      <c r="F640" s="3505"/>
      <c r="G640" s="1092">
        <v>30000000</v>
      </c>
      <c r="H640" s="1092" t="s">
        <v>2666</v>
      </c>
      <c r="I640" s="434">
        <v>105021244515603</v>
      </c>
      <c r="J640" s="1092" t="s">
        <v>2682</v>
      </c>
      <c r="K640" s="3442">
        <f>G640+G641+G642</f>
        <v>77500000</v>
      </c>
      <c r="L640" s="3505">
        <f>F640-K640</f>
        <v>-77500000</v>
      </c>
      <c r="M640" s="3625"/>
      <c r="N640" s="429"/>
      <c r="O640" s="429"/>
      <c r="P640" s="429"/>
      <c r="Q640" s="429"/>
      <c r="R640" s="429"/>
    </row>
    <row r="641" spans="1:18" ht="30" customHeight="1" x14ac:dyDescent="0.2">
      <c r="A641" s="3456"/>
      <c r="B641" s="3459"/>
      <c r="C641" s="3576"/>
      <c r="D641" s="3549"/>
      <c r="E641" s="3550"/>
      <c r="F641" s="3549"/>
      <c r="G641" s="1144">
        <v>30000000</v>
      </c>
      <c r="H641" s="1144" t="s">
        <v>2768</v>
      </c>
      <c r="I641" s="1151" t="s">
        <v>2769</v>
      </c>
      <c r="J641" s="1149" t="s">
        <v>2682</v>
      </c>
      <c r="K641" s="3461"/>
      <c r="L641" s="3549"/>
      <c r="M641" s="3696"/>
      <c r="N641" s="429"/>
      <c r="O641" s="429"/>
      <c r="P641" s="429"/>
      <c r="Q641" s="429"/>
      <c r="R641" s="429"/>
    </row>
    <row r="642" spans="1:18" ht="30" customHeight="1" x14ac:dyDescent="0.2">
      <c r="A642" s="3451"/>
      <c r="B642" s="3458"/>
      <c r="C642" s="3571"/>
      <c r="D642" s="3506"/>
      <c r="E642" s="3508"/>
      <c r="F642" s="3506"/>
      <c r="G642" s="1203">
        <v>17500000</v>
      </c>
      <c r="H642" s="1203" t="s">
        <v>2823</v>
      </c>
      <c r="I642" s="1214" t="s">
        <v>2879</v>
      </c>
      <c r="J642" s="1211" t="s">
        <v>2682</v>
      </c>
      <c r="K642" s="3443"/>
      <c r="L642" s="3506"/>
      <c r="M642" s="3626"/>
      <c r="N642" s="429"/>
      <c r="O642" s="429"/>
      <c r="P642" s="429"/>
      <c r="Q642" s="429"/>
      <c r="R642" s="429"/>
    </row>
    <row r="643" spans="1:18" ht="30" customHeight="1" x14ac:dyDescent="0.2">
      <c r="A643" s="1015"/>
      <c r="B643" s="1013" t="s">
        <v>2685</v>
      </c>
      <c r="C643" s="1034"/>
      <c r="D643" s="1020">
        <v>10000000</v>
      </c>
      <c r="E643" s="1048"/>
      <c r="F643" s="1203"/>
      <c r="G643" s="1020"/>
      <c r="H643" s="1020"/>
      <c r="I643" s="434"/>
      <c r="J643" s="516"/>
      <c r="K643" s="1020"/>
      <c r="L643" s="1044"/>
      <c r="M643" s="428" t="s">
        <v>2686</v>
      </c>
      <c r="N643" s="429"/>
      <c r="O643" s="429"/>
      <c r="P643" s="429"/>
      <c r="Q643" s="429"/>
      <c r="R643" s="429"/>
    </row>
    <row r="644" spans="1:18" ht="30" customHeight="1" x14ac:dyDescent="0.2">
      <c r="A644" s="3450"/>
      <c r="B644" s="3457" t="s">
        <v>2848</v>
      </c>
      <c r="C644" s="3570" t="s">
        <v>265</v>
      </c>
      <c r="D644" s="1203">
        <v>23000000</v>
      </c>
      <c r="E644" s="1216">
        <v>5.5E-2</v>
      </c>
      <c r="F644" s="1203">
        <f>D644*E644</f>
        <v>1265000</v>
      </c>
      <c r="G644" s="1328">
        <v>1265000</v>
      </c>
      <c r="H644" s="1328" t="s">
        <v>2839</v>
      </c>
      <c r="I644" s="1346">
        <v>432255</v>
      </c>
      <c r="J644" s="516" t="s">
        <v>2849</v>
      </c>
      <c r="K644" s="1328">
        <f>G644</f>
        <v>1265000</v>
      </c>
      <c r="L644" s="1215">
        <f>F644-K644</f>
        <v>0</v>
      </c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3456"/>
      <c r="B645" s="3459"/>
      <c r="C645" s="3576"/>
      <c r="D645" s="1262">
        <v>2000000</v>
      </c>
      <c r="E645" s="1267"/>
      <c r="F645" s="1262"/>
      <c r="G645" s="3600" t="s">
        <v>3046</v>
      </c>
      <c r="H645" s="3601"/>
      <c r="I645" s="3601"/>
      <c r="J645" s="3601"/>
      <c r="K645" s="3602"/>
      <c r="L645" s="1266"/>
      <c r="M645" s="428"/>
      <c r="N645" s="429"/>
      <c r="O645" s="429"/>
      <c r="P645" s="429"/>
      <c r="Q645" s="429"/>
      <c r="R645" s="429"/>
    </row>
    <row r="646" spans="1:18" ht="30" customHeight="1" x14ac:dyDescent="0.2">
      <c r="A646" s="3456"/>
      <c r="B646" s="3459"/>
      <c r="C646" s="3576"/>
      <c r="D646" s="1248">
        <v>5000000</v>
      </c>
      <c r="E646" s="1256"/>
      <c r="F646" s="1248"/>
      <c r="G646" s="3600" t="s">
        <v>3015</v>
      </c>
      <c r="H646" s="3601"/>
      <c r="I646" s="3601"/>
      <c r="J646" s="3601"/>
      <c r="K646" s="3602"/>
      <c r="L646" s="1255"/>
      <c r="M646" s="428"/>
      <c r="N646" s="429"/>
      <c r="O646" s="429"/>
      <c r="P646" s="429"/>
      <c r="Q646" s="429"/>
      <c r="R646" s="429"/>
    </row>
    <row r="647" spans="1:18" ht="30" customHeight="1" x14ac:dyDescent="0.2">
      <c r="A647" s="3456"/>
      <c r="B647" s="3459"/>
      <c r="C647" s="3576"/>
      <c r="D647" s="1248">
        <v>5000000</v>
      </c>
      <c r="E647" s="1256"/>
      <c r="F647" s="1248"/>
      <c r="G647" s="3600" t="s">
        <v>3016</v>
      </c>
      <c r="H647" s="3601"/>
      <c r="I647" s="3601"/>
      <c r="J647" s="3601"/>
      <c r="K647" s="3602"/>
      <c r="L647" s="1255"/>
      <c r="M647" s="428"/>
      <c r="N647" s="429"/>
      <c r="O647" s="429"/>
      <c r="P647" s="429"/>
      <c r="Q647" s="429"/>
      <c r="R647" s="429"/>
    </row>
    <row r="648" spans="1:18" ht="30" customHeight="1" x14ac:dyDescent="0.2">
      <c r="A648" s="3456"/>
      <c r="B648" s="3459"/>
      <c r="C648" s="3576"/>
      <c r="D648" s="1248">
        <v>5000000</v>
      </c>
      <c r="E648" s="1256"/>
      <c r="F648" s="1248"/>
      <c r="G648" s="3600" t="s">
        <v>2888</v>
      </c>
      <c r="H648" s="3601"/>
      <c r="I648" s="3601"/>
      <c r="J648" s="3601"/>
      <c r="K648" s="3602"/>
      <c r="L648" s="1255"/>
      <c r="M648" s="428"/>
      <c r="N648" s="429"/>
      <c r="O648" s="429"/>
      <c r="P648" s="429"/>
      <c r="Q648" s="429"/>
      <c r="R648" s="429"/>
    </row>
    <row r="649" spans="1:18" ht="30" customHeight="1" x14ac:dyDescent="0.2">
      <c r="A649" s="3456"/>
      <c r="B649" s="3459"/>
      <c r="C649" s="3576"/>
      <c r="D649" s="1248">
        <v>95000000</v>
      </c>
      <c r="E649" s="1256"/>
      <c r="F649" s="1248"/>
      <c r="G649" s="3600" t="s">
        <v>2888</v>
      </c>
      <c r="H649" s="3601"/>
      <c r="I649" s="3601"/>
      <c r="J649" s="3601"/>
      <c r="K649" s="3602"/>
      <c r="L649" s="1255"/>
      <c r="M649" s="428"/>
      <c r="N649" s="429"/>
      <c r="O649" s="429"/>
      <c r="P649" s="429"/>
      <c r="Q649" s="429"/>
      <c r="R649" s="429"/>
    </row>
    <row r="650" spans="1:18" ht="30" customHeight="1" x14ac:dyDescent="0.2">
      <c r="A650" s="3456"/>
      <c r="B650" s="3459"/>
      <c r="C650" s="3576"/>
      <c r="D650" s="1203">
        <v>5000000</v>
      </c>
      <c r="E650" s="1216"/>
      <c r="F650" s="1203"/>
      <c r="G650" s="3600" t="s">
        <v>3017</v>
      </c>
      <c r="H650" s="3601"/>
      <c r="I650" s="3601"/>
      <c r="J650" s="3601"/>
      <c r="K650" s="3602"/>
      <c r="L650" s="1215"/>
      <c r="M650" s="428"/>
      <c r="N650" s="429"/>
      <c r="O650" s="429"/>
      <c r="P650" s="429"/>
      <c r="Q650" s="429"/>
      <c r="R650" s="429"/>
    </row>
    <row r="651" spans="1:18" ht="30" customHeight="1" x14ac:dyDescent="0.2">
      <c r="A651" s="3456"/>
      <c r="B651" s="3459"/>
      <c r="C651" s="3576"/>
      <c r="D651" s="1364">
        <v>13800000</v>
      </c>
      <c r="E651" s="1377"/>
      <c r="F651" s="1364"/>
      <c r="G651" s="3600" t="s">
        <v>3277</v>
      </c>
      <c r="H651" s="3601"/>
      <c r="I651" s="3601"/>
      <c r="J651" s="3601"/>
      <c r="K651" s="3602"/>
      <c r="L651" s="1376"/>
      <c r="M651" s="428"/>
      <c r="N651" s="429"/>
      <c r="O651" s="429"/>
      <c r="P651" s="429"/>
      <c r="Q651" s="429"/>
      <c r="R651" s="429"/>
    </row>
    <row r="652" spans="1:18" ht="30" customHeight="1" x14ac:dyDescent="0.2">
      <c r="A652" s="3456"/>
      <c r="B652" s="3459"/>
      <c r="C652" s="3576"/>
      <c r="D652" s="1364">
        <v>5200000</v>
      </c>
      <c r="E652" s="1377"/>
      <c r="F652" s="1364"/>
      <c r="G652" s="3600" t="s">
        <v>3278</v>
      </c>
      <c r="H652" s="3601"/>
      <c r="I652" s="3601"/>
      <c r="J652" s="3601"/>
      <c r="K652" s="3602"/>
      <c r="L652" s="1376"/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3456"/>
      <c r="B653" s="3459"/>
      <c r="C653" s="3576"/>
      <c r="D653" s="1418">
        <v>20000000</v>
      </c>
      <c r="E653" s="1428"/>
      <c r="F653" s="1418"/>
      <c r="G653" s="3600" t="s">
        <v>3416</v>
      </c>
      <c r="H653" s="3601"/>
      <c r="I653" s="3601"/>
      <c r="J653" s="3601"/>
      <c r="K653" s="3602"/>
      <c r="L653" s="1426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3456"/>
      <c r="B654" s="3459"/>
      <c r="C654" s="3576"/>
      <c r="D654" s="1418">
        <v>5000000</v>
      </c>
      <c r="E654" s="1428"/>
      <c r="F654" s="1418"/>
      <c r="G654" s="3600" t="s">
        <v>3416</v>
      </c>
      <c r="H654" s="3601"/>
      <c r="I654" s="3601"/>
      <c r="J654" s="3601"/>
      <c r="K654" s="3602"/>
      <c r="L654" s="1426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3456"/>
      <c r="B655" s="3459"/>
      <c r="C655" s="3576"/>
      <c r="D655" s="1459">
        <v>2000000</v>
      </c>
      <c r="E655" s="1485"/>
      <c r="F655" s="1459"/>
      <c r="G655" s="3600" t="s">
        <v>3445</v>
      </c>
      <c r="H655" s="3601"/>
      <c r="I655" s="3601"/>
      <c r="J655" s="3601"/>
      <c r="K655" s="3602"/>
      <c r="L655" s="1481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3456"/>
      <c r="B656" s="3459"/>
      <c r="C656" s="3576"/>
      <c r="D656" s="948">
        <f>SUM(D644:D655)</f>
        <v>186000000</v>
      </c>
      <c r="E656" s="1428"/>
      <c r="F656" s="1418"/>
      <c r="G656" s="1430"/>
      <c r="H656" s="1431"/>
      <c r="I656" s="1431"/>
      <c r="J656" s="1431"/>
      <c r="K656" s="1432"/>
      <c r="L656" s="1426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3456"/>
      <c r="B657" s="3459"/>
      <c r="C657" s="3576"/>
      <c r="D657" s="1248"/>
      <c r="E657" s="1256"/>
      <c r="F657" s="1248"/>
      <c r="G657" s="1328">
        <v>500000</v>
      </c>
      <c r="H657" s="1328" t="s">
        <v>3139</v>
      </c>
      <c r="I657" s="1346">
        <v>435951</v>
      </c>
      <c r="J657" s="516" t="s">
        <v>2849</v>
      </c>
      <c r="K657" s="1328">
        <f>G657</f>
        <v>500000</v>
      </c>
      <c r="L657" s="1255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3451"/>
      <c r="B658" s="3458"/>
      <c r="C658" s="3571"/>
      <c r="D658" s="3325" t="s">
        <v>3239</v>
      </c>
      <c r="E658" s="3340"/>
      <c r="F658" s="3341"/>
      <c r="G658" s="1328">
        <v>50000000</v>
      </c>
      <c r="H658" s="1328" t="s">
        <v>3236</v>
      </c>
      <c r="I658" s="1346" t="s">
        <v>3237</v>
      </c>
      <c r="J658" s="516" t="s">
        <v>3238</v>
      </c>
      <c r="K658" s="1328">
        <f>G658</f>
        <v>50000000</v>
      </c>
      <c r="L658" s="1255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1095"/>
      <c r="B659" s="1096" t="s">
        <v>2707</v>
      </c>
      <c r="C659" s="1097"/>
      <c r="D659" s="1087">
        <v>60000000</v>
      </c>
      <c r="E659" s="1094">
        <v>5.5E-2</v>
      </c>
      <c r="F659" s="1087">
        <f>D659*E659</f>
        <v>3300000</v>
      </c>
      <c r="G659" s="1087">
        <v>3300000</v>
      </c>
      <c r="H659" s="1087" t="s">
        <v>2687</v>
      </c>
      <c r="I659" s="434">
        <v>122948037193</v>
      </c>
      <c r="J659" s="516" t="s">
        <v>2708</v>
      </c>
      <c r="K659" s="1087">
        <f t="shared" ref="K659:K669" si="54">G659</f>
        <v>3300000</v>
      </c>
      <c r="L659" s="1093">
        <f t="shared" ref="L659:L669" si="55">F659-K659</f>
        <v>0</v>
      </c>
      <c r="M659" s="428" t="s">
        <v>2709</v>
      </c>
      <c r="N659" s="429"/>
      <c r="O659" s="429"/>
      <c r="P659" s="429"/>
      <c r="Q659" s="429"/>
      <c r="R659" s="429"/>
    </row>
    <row r="660" spans="1:18" ht="30" customHeight="1" x14ac:dyDescent="0.2">
      <c r="A660" s="1101"/>
      <c r="B660" s="1100" t="s">
        <v>2743</v>
      </c>
      <c r="C660" s="1107"/>
      <c r="D660" s="1120"/>
      <c r="E660" s="44"/>
      <c r="F660" s="1120"/>
      <c r="G660" s="1103">
        <v>1500000</v>
      </c>
      <c r="H660" s="1103" t="s">
        <v>2711</v>
      </c>
      <c r="I660" s="434">
        <v>123014183006</v>
      </c>
      <c r="J660" s="516" t="s">
        <v>2744</v>
      </c>
      <c r="K660" s="1103">
        <f t="shared" si="54"/>
        <v>1500000</v>
      </c>
      <c r="L660" s="1127">
        <f t="shared" si="55"/>
        <v>-1500000</v>
      </c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3450"/>
      <c r="B661" s="3457" t="s">
        <v>2745</v>
      </c>
      <c r="C661" s="3570"/>
      <c r="D661" s="1885">
        <v>4215000000</v>
      </c>
      <c r="E661" s="1886">
        <v>0.05</v>
      </c>
      <c r="F661" s="1885">
        <f>D661*E661</f>
        <v>210750000</v>
      </c>
      <c r="G661" s="1117">
        <v>30250000</v>
      </c>
      <c r="H661" s="1117" t="s">
        <v>2337</v>
      </c>
      <c r="I661" s="434">
        <v>897121217</v>
      </c>
      <c r="J661" s="516" t="s">
        <v>2746</v>
      </c>
      <c r="K661" s="1885">
        <f>G661</f>
        <v>30250000</v>
      </c>
      <c r="L661" s="430"/>
      <c r="M661" s="3702" t="s">
        <v>3975</v>
      </c>
      <c r="N661" s="429"/>
      <c r="O661" s="429"/>
      <c r="P661" s="429"/>
      <c r="Q661" s="429"/>
      <c r="R661" s="429"/>
    </row>
    <row r="662" spans="1:18" ht="30" customHeight="1" x14ac:dyDescent="0.2">
      <c r="A662" s="3456"/>
      <c r="B662" s="3459"/>
      <c r="C662" s="3576"/>
      <c r="D662" s="1885">
        <v>2000000000</v>
      </c>
      <c r="E662" s="1886">
        <v>7.0000000000000007E-2</v>
      </c>
      <c r="F662" s="1885">
        <f t="shared" ref="F662:F664" si="56">D662*E662</f>
        <v>140000000</v>
      </c>
      <c r="G662" s="1168">
        <v>100000000</v>
      </c>
      <c r="H662" s="1168" t="s">
        <v>2642</v>
      </c>
      <c r="I662" s="434">
        <v>78507</v>
      </c>
      <c r="J662" s="516" t="s">
        <v>2820</v>
      </c>
      <c r="K662" s="247">
        <f>G662</f>
        <v>100000000</v>
      </c>
      <c r="L662" s="430"/>
      <c r="M662" s="3702"/>
      <c r="N662" s="429"/>
      <c r="O662" s="429"/>
      <c r="P662" s="429"/>
      <c r="Q662" s="429"/>
      <c r="R662" s="429"/>
    </row>
    <row r="663" spans="1:18" ht="30" customHeight="1" x14ac:dyDescent="0.2">
      <c r="A663" s="3456"/>
      <c r="B663" s="3459"/>
      <c r="C663" s="3576"/>
      <c r="D663" s="1885">
        <v>3785000000</v>
      </c>
      <c r="E663" s="1886">
        <v>0.06</v>
      </c>
      <c r="F663" s="1885">
        <f t="shared" si="56"/>
        <v>227100000</v>
      </c>
      <c r="G663" s="1397">
        <v>200000000</v>
      </c>
      <c r="H663" s="1397" t="s">
        <v>3349</v>
      </c>
      <c r="I663" s="3800" t="s">
        <v>3355</v>
      </c>
      <c r="J663" s="3801"/>
      <c r="K663" s="3442">
        <f>G663+G664-47350000</f>
        <v>162650000</v>
      </c>
      <c r="L663" s="3696">
        <f>F665-K663</f>
        <v>550000000</v>
      </c>
      <c r="M663" s="1555" t="s">
        <v>3976</v>
      </c>
      <c r="N663" s="429"/>
      <c r="O663" s="429"/>
      <c r="P663" s="429"/>
      <c r="Q663" s="429"/>
      <c r="R663" s="429"/>
    </row>
    <row r="664" spans="1:18" ht="30" customHeight="1" x14ac:dyDescent="0.2">
      <c r="A664" s="3456"/>
      <c r="B664" s="3459"/>
      <c r="C664" s="3576"/>
      <c r="D664" s="1885">
        <v>1685000000</v>
      </c>
      <c r="E664" s="1886">
        <v>0.08</v>
      </c>
      <c r="F664" s="1885">
        <f t="shared" si="56"/>
        <v>134800000</v>
      </c>
      <c r="G664" s="1521">
        <v>10000000</v>
      </c>
      <c r="H664" s="1521" t="s">
        <v>3433</v>
      </c>
      <c r="I664" s="1580">
        <v>464419</v>
      </c>
      <c r="J664" s="1927" t="s">
        <v>3502</v>
      </c>
      <c r="K664" s="3443"/>
      <c r="L664" s="3626"/>
      <c r="M664" s="1555" t="s">
        <v>3974</v>
      </c>
      <c r="N664" s="429"/>
      <c r="O664" s="429"/>
      <c r="P664" s="429"/>
      <c r="Q664" s="429"/>
      <c r="R664" s="429"/>
    </row>
    <row r="665" spans="1:18" ht="30" customHeight="1" x14ac:dyDescent="0.2">
      <c r="A665" s="3451"/>
      <c r="B665" s="3458"/>
      <c r="C665" s="3571"/>
      <c r="D665" s="1913">
        <f>SUM(D661:D664)</f>
        <v>11685000000</v>
      </c>
      <c r="E665" s="1926"/>
      <c r="F665" s="1913">
        <f>SUM(F661:F664)</f>
        <v>712650000</v>
      </c>
      <c r="G665" s="3478" t="s">
        <v>3973</v>
      </c>
      <c r="H665" s="3479"/>
      <c r="I665" s="3479"/>
      <c r="J665" s="3479"/>
      <c r="K665" s="3480"/>
      <c r="L665" s="1563"/>
      <c r="M665" s="1558"/>
      <c r="N665" s="429"/>
      <c r="O665" s="429"/>
      <c r="P665" s="429"/>
      <c r="Q665" s="429"/>
      <c r="R665" s="429"/>
    </row>
    <row r="666" spans="1:18" ht="30" customHeight="1" x14ac:dyDescent="0.2">
      <c r="A666" s="1130"/>
      <c r="B666" s="1143" t="s">
        <v>2756</v>
      </c>
      <c r="C666" s="1121"/>
      <c r="D666" s="1120"/>
      <c r="E666" s="44"/>
      <c r="F666" s="1120"/>
      <c r="G666" s="1117">
        <v>4500000</v>
      </c>
      <c r="H666" s="1117" t="s">
        <v>2337</v>
      </c>
      <c r="I666" s="434">
        <v>123023258550</v>
      </c>
      <c r="J666" s="516" t="s">
        <v>1827</v>
      </c>
      <c r="K666" s="1117">
        <f t="shared" si="54"/>
        <v>4500000</v>
      </c>
      <c r="L666" s="1127">
        <f t="shared" si="55"/>
        <v>-4500000</v>
      </c>
      <c r="M666" s="428"/>
      <c r="N666" s="429"/>
      <c r="O666" s="429"/>
      <c r="P666" s="429"/>
      <c r="Q666" s="429"/>
      <c r="R666" s="429"/>
    </row>
    <row r="667" spans="1:18" ht="30" customHeight="1" x14ac:dyDescent="0.2">
      <c r="A667" s="1154"/>
      <c r="B667" s="1155" t="s">
        <v>2773</v>
      </c>
      <c r="C667" s="1147"/>
      <c r="D667" s="2180">
        <v>70000000</v>
      </c>
      <c r="E667" s="2184">
        <v>0.04</v>
      </c>
      <c r="F667" s="2180">
        <f>D667*E667</f>
        <v>2800000</v>
      </c>
      <c r="G667" s="2180">
        <v>2800000</v>
      </c>
      <c r="H667" s="2180" t="s">
        <v>2768</v>
      </c>
      <c r="I667" s="2185">
        <v>620521</v>
      </c>
      <c r="J667" s="516" t="s">
        <v>2774</v>
      </c>
      <c r="K667" s="2180">
        <f t="shared" si="54"/>
        <v>2800000</v>
      </c>
      <c r="L667" s="2183">
        <f t="shared" si="55"/>
        <v>0</v>
      </c>
      <c r="M667" s="428"/>
      <c r="N667" s="429"/>
      <c r="O667" s="429"/>
      <c r="P667" s="429"/>
      <c r="Q667" s="429"/>
      <c r="R667" s="429"/>
    </row>
    <row r="668" spans="1:18" ht="30" customHeight="1" x14ac:dyDescent="0.2">
      <c r="A668" s="1154"/>
      <c r="B668" s="1155" t="s">
        <v>2784</v>
      </c>
      <c r="C668" s="1157"/>
      <c r="D668" s="1148"/>
      <c r="E668" s="44"/>
      <c r="F668" s="1148"/>
      <c r="G668" s="1149">
        <v>2000000</v>
      </c>
      <c r="H668" s="1149" t="s">
        <v>2768</v>
      </c>
      <c r="I668" s="1082">
        <v>897726227</v>
      </c>
      <c r="J668" s="1082" t="s">
        <v>2785</v>
      </c>
      <c r="K668" s="1149">
        <f t="shared" si="54"/>
        <v>2000000</v>
      </c>
      <c r="L668" s="1083">
        <f t="shared" si="55"/>
        <v>-2000000</v>
      </c>
      <c r="M668" s="428"/>
      <c r="N668" s="429"/>
      <c r="O668" s="429"/>
      <c r="P668" s="429"/>
      <c r="Q668" s="429"/>
      <c r="R668" s="429"/>
    </row>
    <row r="669" spans="1:18" ht="30" customHeight="1" x14ac:dyDescent="0.2">
      <c r="A669" s="153"/>
      <c r="B669" s="3" t="s">
        <v>2826</v>
      </c>
      <c r="C669" s="1177"/>
      <c r="D669" s="1175"/>
      <c r="E669" s="44"/>
      <c r="F669" s="1175"/>
      <c r="G669" s="1174">
        <v>14000000</v>
      </c>
      <c r="H669" s="1174" t="s">
        <v>2823</v>
      </c>
      <c r="I669" s="434">
        <v>464433</v>
      </c>
      <c r="J669" s="516" t="s">
        <v>2827</v>
      </c>
      <c r="K669" s="1174">
        <f t="shared" si="54"/>
        <v>14000000</v>
      </c>
      <c r="L669" s="1176">
        <f t="shared" si="55"/>
        <v>-14000000</v>
      </c>
      <c r="M669" s="428"/>
      <c r="N669" s="429"/>
      <c r="O669" s="429"/>
      <c r="P669" s="429"/>
      <c r="Q669" s="429"/>
      <c r="R669" s="429"/>
    </row>
    <row r="670" spans="1:18" ht="30" customHeight="1" x14ac:dyDescent="0.2">
      <c r="A670" s="1217"/>
      <c r="B670" s="1218" t="s">
        <v>2836</v>
      </c>
      <c r="C670" s="1182"/>
      <c r="D670" s="1184">
        <v>30000000</v>
      </c>
      <c r="E670" s="1190">
        <v>0.05</v>
      </c>
      <c r="F670" s="1184">
        <f t="shared" ref="F670:F675" si="57">D670*E670</f>
        <v>1500000</v>
      </c>
      <c r="G670" s="3610" t="s">
        <v>2835</v>
      </c>
      <c r="H670" s="3611"/>
      <c r="I670" s="3611"/>
      <c r="J670" s="3611"/>
      <c r="K670" s="3612"/>
      <c r="L670" s="1188"/>
      <c r="M670" s="428"/>
      <c r="N670" s="429"/>
      <c r="O670" s="429"/>
      <c r="P670" s="429"/>
      <c r="Q670" s="429"/>
      <c r="R670" s="429"/>
    </row>
    <row r="671" spans="1:18" ht="30" customHeight="1" x14ac:dyDescent="0.2">
      <c r="A671" s="1217"/>
      <c r="B671" s="1218" t="s">
        <v>2861</v>
      </c>
      <c r="C671" s="1209" t="s">
        <v>401</v>
      </c>
      <c r="D671" s="1203">
        <v>140000000</v>
      </c>
      <c r="E671" s="1216">
        <v>7.0000000000000007E-2</v>
      </c>
      <c r="F671" s="1203">
        <f t="shared" si="57"/>
        <v>9800000.0000000019</v>
      </c>
      <c r="G671" s="3610" t="s">
        <v>2862</v>
      </c>
      <c r="H671" s="3611"/>
      <c r="I671" s="3611"/>
      <c r="J671" s="3611"/>
      <c r="K671" s="3612"/>
      <c r="L671" s="1215"/>
      <c r="M671" s="428" t="s">
        <v>2863</v>
      </c>
      <c r="N671" s="429"/>
      <c r="O671" s="429"/>
      <c r="P671" s="429"/>
      <c r="Q671" s="429"/>
      <c r="R671" s="429"/>
    </row>
    <row r="672" spans="1:18" ht="30" customHeight="1" x14ac:dyDescent="0.2">
      <c r="A672" s="1217"/>
      <c r="B672" s="1218" t="s">
        <v>2869</v>
      </c>
      <c r="C672" s="1209"/>
      <c r="D672" s="1203">
        <v>85000000</v>
      </c>
      <c r="E672" s="1216">
        <v>0.05</v>
      </c>
      <c r="F672" s="1203">
        <f t="shared" si="57"/>
        <v>4250000</v>
      </c>
      <c r="G672" s="1212"/>
      <c r="H672" s="1212"/>
      <c r="I672" s="1082"/>
      <c r="J672" s="1082"/>
      <c r="K672" s="1212"/>
      <c r="L672" s="1215"/>
      <c r="M672" s="428"/>
      <c r="N672" s="429"/>
      <c r="O672" s="429"/>
      <c r="P672" s="429"/>
      <c r="Q672" s="429"/>
      <c r="R672" s="429"/>
    </row>
    <row r="673" spans="1:18" ht="30" customHeight="1" x14ac:dyDescent="0.2">
      <c r="A673" s="1217"/>
      <c r="B673" s="1218" t="s">
        <v>2870</v>
      </c>
      <c r="C673" s="1209" t="s">
        <v>380</v>
      </c>
      <c r="D673" s="1203">
        <v>50000000</v>
      </c>
      <c r="E673" s="1216">
        <v>0.05</v>
      </c>
      <c r="F673" s="1203">
        <f t="shared" si="57"/>
        <v>2500000</v>
      </c>
      <c r="G673" s="3610" t="s">
        <v>2871</v>
      </c>
      <c r="H673" s="3611"/>
      <c r="I673" s="3611"/>
      <c r="J673" s="3611"/>
      <c r="K673" s="3612"/>
      <c r="L673" s="1215"/>
      <c r="M673" s="428"/>
      <c r="N673" s="429"/>
      <c r="O673" s="429"/>
      <c r="P673" s="429"/>
      <c r="Q673" s="429"/>
      <c r="R673" s="429"/>
    </row>
    <row r="674" spans="1:18" ht="30" customHeight="1" x14ac:dyDescent="0.2">
      <c r="A674" s="1217"/>
      <c r="B674" s="1218" t="s">
        <v>2872</v>
      </c>
      <c r="C674" s="1209" t="s">
        <v>380</v>
      </c>
      <c r="D674" s="1203">
        <v>25000000</v>
      </c>
      <c r="E674" s="1216">
        <v>0.05</v>
      </c>
      <c r="F674" s="1203">
        <f t="shared" si="57"/>
        <v>1250000</v>
      </c>
      <c r="G674" s="3610" t="s">
        <v>2871</v>
      </c>
      <c r="H674" s="3611"/>
      <c r="I674" s="3611"/>
      <c r="J674" s="3611"/>
      <c r="K674" s="3612"/>
      <c r="L674" s="1215"/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217"/>
      <c r="B675" s="1218" t="s">
        <v>2901</v>
      </c>
      <c r="C675" s="1209"/>
      <c r="D675" s="1203">
        <v>300000000</v>
      </c>
      <c r="E675" s="1216">
        <v>5.5E-2</v>
      </c>
      <c r="F675" s="1203">
        <f t="shared" si="57"/>
        <v>16500000</v>
      </c>
      <c r="G675" s="3610" t="s">
        <v>2902</v>
      </c>
      <c r="H675" s="3611"/>
      <c r="I675" s="3611"/>
      <c r="J675" s="3611"/>
      <c r="K675" s="3612"/>
      <c r="L675" s="1215"/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217"/>
      <c r="B676" s="1218" t="s">
        <v>2933</v>
      </c>
      <c r="C676" s="1209"/>
      <c r="D676" s="1203">
        <v>85000000</v>
      </c>
      <c r="E676" s="1216"/>
      <c r="F676" s="1203"/>
      <c r="G676" s="3610" t="s">
        <v>2934</v>
      </c>
      <c r="H676" s="3611"/>
      <c r="I676" s="3611"/>
      <c r="J676" s="3611"/>
      <c r="K676" s="3612"/>
      <c r="L676" s="1215"/>
      <c r="M676" s="428"/>
      <c r="N676" s="429"/>
      <c r="O676" s="429"/>
      <c r="P676" s="429"/>
      <c r="Q676" s="429"/>
      <c r="R676" s="429"/>
    </row>
    <row r="677" spans="1:18" ht="30" customHeight="1" x14ac:dyDescent="0.2">
      <c r="A677" s="1217"/>
      <c r="B677" s="1218" t="s">
        <v>2936</v>
      </c>
      <c r="C677" s="1209" t="s">
        <v>367</v>
      </c>
      <c r="D677" s="1203">
        <v>20000000</v>
      </c>
      <c r="E677" s="1216">
        <v>0.05</v>
      </c>
      <c r="F677" s="1203">
        <f>D677*E677</f>
        <v>1000000</v>
      </c>
      <c r="G677" s="3610" t="s">
        <v>2935</v>
      </c>
      <c r="H677" s="3611"/>
      <c r="I677" s="3611"/>
      <c r="J677" s="3611"/>
      <c r="K677" s="3612"/>
      <c r="L677" s="1215"/>
      <c r="M677" s="428"/>
      <c r="N677" s="429"/>
      <c r="O677" s="429"/>
      <c r="P677" s="429"/>
      <c r="Q677" s="429"/>
      <c r="R677" s="429"/>
    </row>
    <row r="678" spans="1:18" ht="30" customHeight="1" x14ac:dyDescent="0.2">
      <c r="A678" s="3450"/>
      <c r="B678" s="3457" t="s">
        <v>3039</v>
      </c>
      <c r="C678" s="3570" t="s">
        <v>1112</v>
      </c>
      <c r="D678" s="3442">
        <v>40000000</v>
      </c>
      <c r="E678" s="3444">
        <v>0.04</v>
      </c>
      <c r="F678" s="3442">
        <f>D678*E678</f>
        <v>1600000</v>
      </c>
      <c r="G678" s="3610" t="s">
        <v>2958</v>
      </c>
      <c r="H678" s="3611"/>
      <c r="I678" s="3611"/>
      <c r="J678" s="3611"/>
      <c r="K678" s="3612"/>
      <c r="L678" s="1239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3451"/>
      <c r="B679" s="3458"/>
      <c r="C679" s="3571"/>
      <c r="D679" s="3443"/>
      <c r="E679" s="3445"/>
      <c r="F679" s="3443"/>
      <c r="G679" s="1472">
        <v>800000</v>
      </c>
      <c r="H679" s="1472" t="s">
        <v>3440</v>
      </c>
      <c r="I679" s="286">
        <v>123894363298</v>
      </c>
      <c r="J679" s="1472" t="s">
        <v>3476</v>
      </c>
      <c r="K679" s="1472">
        <f>G679</f>
        <v>800000</v>
      </c>
      <c r="L679" s="1481"/>
      <c r="M679" s="428" t="s">
        <v>3126</v>
      </c>
      <c r="N679" s="429"/>
      <c r="O679" s="429"/>
      <c r="P679" s="429"/>
      <c r="Q679" s="429"/>
      <c r="R679" s="429"/>
    </row>
    <row r="680" spans="1:18" ht="30" customHeight="1" x14ac:dyDescent="0.2">
      <c r="A680" s="1241"/>
      <c r="B680" s="1242" t="s">
        <v>2968</v>
      </c>
      <c r="C680" s="1235"/>
      <c r="D680" s="1231">
        <v>20000000</v>
      </c>
      <c r="E680" s="1240">
        <v>0.05</v>
      </c>
      <c r="F680" s="1231">
        <f>D680*E680</f>
        <v>1000000</v>
      </c>
      <c r="G680" s="1244"/>
      <c r="H680" s="1245"/>
      <c r="I680" s="1245"/>
      <c r="J680" s="1245"/>
      <c r="K680" s="1246"/>
      <c r="L680" s="1239"/>
      <c r="M680" s="428" t="s">
        <v>2969</v>
      </c>
      <c r="N680" s="429"/>
      <c r="O680" s="429"/>
      <c r="P680" s="429"/>
      <c r="Q680" s="429"/>
      <c r="R680" s="429"/>
    </row>
    <row r="681" spans="1:18" ht="30" customHeight="1" x14ac:dyDescent="0.2">
      <c r="A681" s="3450"/>
      <c r="B681" s="3788" t="s">
        <v>3001</v>
      </c>
      <c r="C681" s="3790" t="s">
        <v>3033</v>
      </c>
      <c r="D681" s="1268">
        <v>70000000</v>
      </c>
      <c r="E681" s="1269">
        <v>0.05</v>
      </c>
      <c r="F681" s="1268">
        <f>D681*E681</f>
        <v>3500000</v>
      </c>
      <c r="G681" s="1237">
        <v>20000000</v>
      </c>
      <c r="H681" s="1237" t="s">
        <v>2036</v>
      </c>
      <c r="I681" s="286" t="s">
        <v>3003</v>
      </c>
      <c r="J681" s="1237" t="s">
        <v>3002</v>
      </c>
      <c r="K681" s="1237">
        <f>G681</f>
        <v>20000000</v>
      </c>
      <c r="L681" s="1239"/>
      <c r="M681" s="1383" t="s">
        <v>3037</v>
      </c>
      <c r="N681" s="429"/>
      <c r="O681" s="429"/>
      <c r="P681" s="429"/>
      <c r="Q681" s="429"/>
      <c r="R681" s="429"/>
    </row>
    <row r="682" spans="1:18" ht="30" customHeight="1" x14ac:dyDescent="0.2">
      <c r="A682" s="3456"/>
      <c r="B682" s="3792"/>
      <c r="C682" s="3793"/>
      <c r="D682" s="3797" t="s">
        <v>3036</v>
      </c>
      <c r="E682" s="3798"/>
      <c r="F682" s="3799"/>
      <c r="G682" s="1248"/>
      <c r="H682" s="1248"/>
      <c r="I682" s="286"/>
      <c r="J682" s="1250"/>
      <c r="K682" s="1248"/>
      <c r="L682" s="1255"/>
      <c r="M682" s="1384"/>
      <c r="N682" s="429"/>
      <c r="O682" s="429"/>
      <c r="P682" s="429"/>
      <c r="Q682" s="429"/>
      <c r="R682" s="429"/>
    </row>
    <row r="683" spans="1:18" ht="30" customHeight="1" x14ac:dyDescent="0.2">
      <c r="A683" s="3451"/>
      <c r="B683" s="3789"/>
      <c r="C683" s="3791"/>
      <c r="D683" s="3794" t="s">
        <v>3035</v>
      </c>
      <c r="E683" s="3795"/>
      <c r="F683" s="3796"/>
      <c r="G683" s="1248"/>
      <c r="H683" s="1248"/>
      <c r="I683" s="286"/>
      <c r="J683" s="1250"/>
      <c r="K683" s="1248"/>
      <c r="L683" s="1255"/>
      <c r="M683" s="1384"/>
      <c r="N683" s="429"/>
      <c r="O683" s="429"/>
      <c r="P683" s="429"/>
      <c r="Q683" s="429"/>
      <c r="R683" s="429"/>
    </row>
    <row r="684" spans="1:18" ht="30" customHeight="1" x14ac:dyDescent="0.2">
      <c r="A684" s="3450"/>
      <c r="B684" s="3788" t="s">
        <v>3034</v>
      </c>
      <c r="C684" s="3790" t="s">
        <v>411</v>
      </c>
      <c r="D684" s="1268">
        <v>190000000</v>
      </c>
      <c r="E684" s="1269">
        <v>4.4999999999999998E-2</v>
      </c>
      <c r="F684" s="1268">
        <v>8600000</v>
      </c>
      <c r="G684" s="1248"/>
      <c r="H684" s="1248"/>
      <c r="I684" s="286"/>
      <c r="J684" s="1250"/>
      <c r="K684" s="1248"/>
      <c r="L684" s="1255"/>
      <c r="M684" s="1384"/>
      <c r="N684" s="429"/>
      <c r="O684" s="429"/>
      <c r="P684" s="429"/>
      <c r="Q684" s="429"/>
      <c r="R684" s="429"/>
    </row>
    <row r="685" spans="1:18" ht="30" customHeight="1" x14ac:dyDescent="0.2">
      <c r="A685" s="3451"/>
      <c r="B685" s="3789"/>
      <c r="C685" s="3791"/>
      <c r="D685" s="1268">
        <v>90000000</v>
      </c>
      <c r="E685" s="1269">
        <v>0.06</v>
      </c>
      <c r="F685" s="1268">
        <f>D685*E685</f>
        <v>5400000</v>
      </c>
      <c r="G685" s="1248"/>
      <c r="H685" s="1248"/>
      <c r="I685" s="286"/>
      <c r="J685" s="1250"/>
      <c r="K685" s="1248"/>
      <c r="L685" s="1255"/>
      <c r="M685" s="1384"/>
      <c r="N685" s="429"/>
      <c r="O685" s="429"/>
      <c r="P685" s="429"/>
      <c r="Q685" s="429"/>
      <c r="R685" s="429"/>
    </row>
    <row r="686" spans="1:18" ht="30" customHeight="1" x14ac:dyDescent="0.2">
      <c r="A686" s="1258"/>
      <c r="B686" s="1270" t="s">
        <v>2332</v>
      </c>
      <c r="C686" s="1271" t="s">
        <v>1378</v>
      </c>
      <c r="D686" s="1268">
        <v>150000000</v>
      </c>
      <c r="E686" s="1269">
        <v>0.05</v>
      </c>
      <c r="F686" s="1268">
        <f>D686*E686</f>
        <v>7500000</v>
      </c>
      <c r="G686" s="1364">
        <v>7500000</v>
      </c>
      <c r="H686" s="1364" t="s">
        <v>3262</v>
      </c>
      <c r="I686" s="286">
        <v>105231502131037</v>
      </c>
      <c r="J686" s="1371">
        <v>105109715001</v>
      </c>
      <c r="K686" s="1364">
        <f>G686</f>
        <v>7500000</v>
      </c>
      <c r="L686" s="1376">
        <f>F686-K686</f>
        <v>0</v>
      </c>
      <c r="M686" s="1385" t="s">
        <v>2333</v>
      </c>
      <c r="N686" s="429"/>
      <c r="O686" s="429"/>
      <c r="P686" s="429"/>
      <c r="Q686" s="429"/>
      <c r="R686" s="429"/>
    </row>
    <row r="687" spans="1:18" ht="30" customHeight="1" x14ac:dyDescent="0.2">
      <c r="A687" s="1258"/>
      <c r="B687" s="1257"/>
      <c r="C687" s="1251"/>
      <c r="D687" s="1248"/>
      <c r="E687" s="1256"/>
      <c r="F687" s="1248"/>
      <c r="G687" s="1248"/>
      <c r="H687" s="1248"/>
      <c r="I687" s="286"/>
      <c r="J687" s="1250"/>
      <c r="K687" s="1248"/>
      <c r="L687" s="1255"/>
      <c r="M687" s="428"/>
      <c r="N687" s="429"/>
      <c r="O687" s="429"/>
      <c r="P687" s="429"/>
      <c r="Q687" s="429"/>
      <c r="R687" s="429"/>
    </row>
    <row r="688" spans="1:18" ht="30" customHeight="1" x14ac:dyDescent="0.2">
      <c r="A688" s="3693"/>
      <c r="B688" s="3687" t="s">
        <v>183</v>
      </c>
      <c r="C688" s="1235"/>
      <c r="D688" s="1231"/>
      <c r="E688" s="1240"/>
      <c r="F688" s="1231"/>
      <c r="G688" s="1231">
        <v>1600000</v>
      </c>
      <c r="H688" s="1231" t="s">
        <v>2036</v>
      </c>
      <c r="I688" s="286">
        <v>123310224708</v>
      </c>
      <c r="J688" s="1236" t="s">
        <v>3004</v>
      </c>
      <c r="K688" s="1231">
        <f>G688</f>
        <v>1600000</v>
      </c>
      <c r="L688" s="1239"/>
      <c r="M688" s="428"/>
      <c r="N688" s="429"/>
      <c r="O688" s="429"/>
      <c r="P688" s="429"/>
      <c r="Q688" s="429"/>
      <c r="R688" s="429"/>
    </row>
    <row r="689" spans="1:18" ht="30" customHeight="1" x14ac:dyDescent="0.2">
      <c r="A689" s="3693"/>
      <c r="B689" s="3687"/>
      <c r="C689" s="1235" t="s">
        <v>2983</v>
      </c>
      <c r="D689" s="1231">
        <v>100000000</v>
      </c>
      <c r="E689" s="1240"/>
      <c r="F689" s="1231"/>
      <c r="G689" s="3610" t="s">
        <v>3005</v>
      </c>
      <c r="H689" s="3611"/>
      <c r="I689" s="3611"/>
      <c r="J689" s="3611"/>
      <c r="K689" s="3612"/>
      <c r="L689" s="1239"/>
      <c r="M689" s="428"/>
      <c r="N689" s="429"/>
      <c r="O689" s="429"/>
      <c r="P689" s="429"/>
      <c r="Q689" s="429"/>
      <c r="R689" s="429"/>
    </row>
    <row r="690" spans="1:18" ht="30" customHeight="1" x14ac:dyDescent="0.2">
      <c r="A690" s="1258"/>
      <c r="B690" s="1257" t="s">
        <v>3007</v>
      </c>
      <c r="C690" s="1251" t="s">
        <v>1215</v>
      </c>
      <c r="D690" s="1248">
        <v>40000000</v>
      </c>
      <c r="E690" s="1256">
        <v>0.05</v>
      </c>
      <c r="F690" s="1248">
        <f>D690*E690</f>
        <v>2000000</v>
      </c>
      <c r="G690" s="1248">
        <v>1300000</v>
      </c>
      <c r="H690" s="1248" t="s">
        <v>3032</v>
      </c>
      <c r="I690" s="286">
        <v>123446525890</v>
      </c>
      <c r="J690" s="1250" t="s">
        <v>3133</v>
      </c>
      <c r="K690" s="1248">
        <f>G690</f>
        <v>1300000</v>
      </c>
      <c r="L690" s="1255">
        <f>1300000-G690</f>
        <v>0</v>
      </c>
      <c r="M690" s="428" t="s">
        <v>3134</v>
      </c>
      <c r="N690" s="429"/>
      <c r="O690" s="429"/>
      <c r="P690" s="429"/>
      <c r="Q690" s="429"/>
      <c r="R690" s="429"/>
    </row>
    <row r="691" spans="1:18" ht="30" customHeight="1" x14ac:dyDescent="0.2">
      <c r="A691" s="1258"/>
      <c r="B691" s="1257" t="s">
        <v>3013</v>
      </c>
      <c r="C691" s="1251" t="s">
        <v>1817</v>
      </c>
      <c r="D691" s="1248">
        <v>25000000</v>
      </c>
      <c r="E691" s="1256">
        <v>0.04</v>
      </c>
      <c r="F691" s="1248">
        <f>D691*E691</f>
        <v>1000000</v>
      </c>
      <c r="G691" s="1248"/>
      <c r="H691" s="1248"/>
      <c r="I691" s="286"/>
      <c r="J691" s="1250"/>
      <c r="K691" s="1248"/>
      <c r="L691" s="1255"/>
      <c r="M691" s="2193" t="s">
        <v>4170</v>
      </c>
      <c r="N691" s="429"/>
      <c r="O691" s="429"/>
      <c r="P691" s="429"/>
      <c r="Q691" s="429"/>
      <c r="R691" s="429"/>
    </row>
    <row r="692" spans="1:18" ht="30" customHeight="1" x14ac:dyDescent="0.2">
      <c r="A692" s="1258"/>
      <c r="B692" s="1257" t="s">
        <v>3038</v>
      </c>
      <c r="C692" s="1251"/>
      <c r="D692" s="1248">
        <v>10000000</v>
      </c>
      <c r="E692" s="1256"/>
      <c r="F692" s="1248"/>
      <c r="G692" s="1248"/>
      <c r="H692" s="1248"/>
      <c r="I692" s="286"/>
      <c r="J692" s="1250"/>
      <c r="K692" s="1248"/>
      <c r="L692" s="1255"/>
      <c r="M692" s="428"/>
      <c r="N692" s="429"/>
      <c r="O692" s="429"/>
      <c r="P692" s="429"/>
      <c r="Q692" s="429"/>
      <c r="R692" s="429"/>
    </row>
    <row r="693" spans="1:18" ht="30" customHeight="1" x14ac:dyDescent="0.2">
      <c r="A693" s="1258"/>
      <c r="B693" s="1257" t="s">
        <v>3067</v>
      </c>
      <c r="C693" s="1251"/>
      <c r="D693" s="1275"/>
      <c r="E693" s="44"/>
      <c r="F693" s="1275"/>
      <c r="G693" s="1248">
        <v>2500000</v>
      </c>
      <c r="H693" s="1248" t="s">
        <v>3051</v>
      </c>
      <c r="I693" s="286">
        <v>155930</v>
      </c>
      <c r="J693" s="1250" t="s">
        <v>3068</v>
      </c>
      <c r="K693" s="1248">
        <f>G693</f>
        <v>2500000</v>
      </c>
      <c r="L693" s="1279">
        <f>F693-K693</f>
        <v>-2500000</v>
      </c>
      <c r="M693" s="428"/>
      <c r="N693" s="429"/>
      <c r="O693" s="429"/>
      <c r="P693" s="429"/>
      <c r="Q693" s="429"/>
      <c r="R693" s="429"/>
    </row>
    <row r="694" spans="1:18" ht="30" customHeight="1" x14ac:dyDescent="0.2">
      <c r="A694" s="1258"/>
      <c r="B694" s="1257" t="s">
        <v>3073</v>
      </c>
      <c r="C694" s="1251"/>
      <c r="D694" s="1275"/>
      <c r="E694" s="44"/>
      <c r="F694" s="1275"/>
      <c r="G694" s="1248">
        <v>500000</v>
      </c>
      <c r="H694" s="1248" t="s">
        <v>3051</v>
      </c>
      <c r="I694" s="286">
        <v>461979</v>
      </c>
      <c r="J694" s="1250" t="s">
        <v>3074</v>
      </c>
      <c r="K694" s="1248">
        <f>G694</f>
        <v>500000</v>
      </c>
      <c r="L694" s="1279">
        <f>F694-K694</f>
        <v>-500000</v>
      </c>
      <c r="M694" s="428"/>
      <c r="N694" s="429"/>
      <c r="O694" s="429"/>
      <c r="P694" s="429"/>
      <c r="Q694" s="429"/>
      <c r="R694" s="429"/>
    </row>
    <row r="695" spans="1:18" ht="30" customHeight="1" x14ac:dyDescent="0.2">
      <c r="A695" s="1258"/>
      <c r="B695" s="1257" t="s">
        <v>3078</v>
      </c>
      <c r="C695" s="1251"/>
      <c r="D695" s="1275"/>
      <c r="E695" s="44"/>
      <c r="F695" s="1275"/>
      <c r="G695" s="1248">
        <v>500000</v>
      </c>
      <c r="H695" s="1248" t="s">
        <v>3051</v>
      </c>
      <c r="I695" s="286">
        <v>546420</v>
      </c>
      <c r="J695" s="1250" t="s">
        <v>3079</v>
      </c>
      <c r="K695" s="1248">
        <f>G695</f>
        <v>500000</v>
      </c>
      <c r="L695" s="1279">
        <f>F695-K695</f>
        <v>-500000</v>
      </c>
      <c r="M695" s="428"/>
      <c r="N695" s="429"/>
      <c r="O695" s="429"/>
      <c r="P695" s="429"/>
      <c r="Q695" s="429"/>
      <c r="R695" s="429"/>
    </row>
    <row r="696" spans="1:18" ht="30" customHeight="1" x14ac:dyDescent="0.2">
      <c r="A696" s="1301"/>
      <c r="B696" s="1300"/>
      <c r="C696" s="1297"/>
      <c r="D696" s="1293"/>
      <c r="E696" s="1299"/>
      <c r="F696" s="1293"/>
      <c r="G696" s="1293"/>
      <c r="H696" s="1293"/>
      <c r="I696" s="286"/>
      <c r="J696" s="1296"/>
      <c r="K696" s="1293"/>
      <c r="L696" s="1298"/>
      <c r="M696" s="428"/>
      <c r="N696" s="429"/>
      <c r="O696" s="429"/>
      <c r="P696" s="429"/>
      <c r="Q696" s="429"/>
      <c r="R696" s="429"/>
    </row>
    <row r="697" spans="1:18" ht="30" customHeight="1" x14ac:dyDescent="0.2">
      <c r="A697" s="1301"/>
      <c r="B697" s="1300" t="s">
        <v>3172</v>
      </c>
      <c r="C697" s="1297"/>
      <c r="D697" s="1305">
        <v>30000000</v>
      </c>
      <c r="E697" s="1317"/>
      <c r="F697" s="1305"/>
      <c r="G697" s="3615" t="s">
        <v>3173</v>
      </c>
      <c r="H697" s="3616"/>
      <c r="I697" s="3616"/>
      <c r="J697" s="3616"/>
      <c r="K697" s="3617"/>
      <c r="L697" s="1316"/>
      <c r="M697" s="428" t="s">
        <v>3174</v>
      </c>
      <c r="N697" s="429"/>
      <c r="O697" s="429"/>
      <c r="P697" s="429"/>
      <c r="Q697" s="429"/>
      <c r="R697" s="429"/>
    </row>
    <row r="698" spans="1:18" ht="30" customHeight="1" x14ac:dyDescent="0.2">
      <c r="A698" s="1258"/>
      <c r="B698" s="1257" t="s">
        <v>3175</v>
      </c>
      <c r="C698" s="1251"/>
      <c r="D698" s="1248">
        <f>1000000000+19000000</f>
        <v>1019000000</v>
      </c>
      <c r="E698" s="1256">
        <v>0.06</v>
      </c>
      <c r="F698" s="1248"/>
      <c r="G698" s="1248"/>
      <c r="H698" s="1248"/>
      <c r="I698" s="286"/>
      <c r="J698" s="1250"/>
      <c r="K698" s="1248"/>
      <c r="L698" s="1255"/>
      <c r="M698" s="428" t="s">
        <v>3176</v>
      </c>
      <c r="N698" s="429"/>
      <c r="O698" s="429"/>
      <c r="P698" s="429"/>
      <c r="Q698" s="429"/>
      <c r="R698" s="429"/>
    </row>
    <row r="699" spans="1:18" ht="30" customHeight="1" x14ac:dyDescent="0.2">
      <c r="A699" s="1349"/>
      <c r="B699" s="1348" t="s">
        <v>3206</v>
      </c>
      <c r="C699" s="1333" t="s">
        <v>916</v>
      </c>
      <c r="D699" s="1328">
        <v>100000000</v>
      </c>
      <c r="E699" s="1343">
        <v>0.05</v>
      </c>
      <c r="F699" s="1328">
        <f>D699*E699</f>
        <v>5000000</v>
      </c>
      <c r="G699" s="1521">
        <v>1630000</v>
      </c>
      <c r="H699" s="1521" t="s">
        <v>3440</v>
      </c>
      <c r="I699" s="286">
        <v>661124370291</v>
      </c>
      <c r="J699" s="1535" t="s">
        <v>1617</v>
      </c>
      <c r="K699" s="1521">
        <f>G699</f>
        <v>1630000</v>
      </c>
      <c r="L699" s="1340"/>
      <c r="M699" s="3615" t="s">
        <v>3207</v>
      </c>
      <c r="N699" s="3616"/>
      <c r="O699" s="3616"/>
      <c r="P699" s="3616"/>
      <c r="Q699" s="3617"/>
      <c r="R699" s="429"/>
    </row>
    <row r="700" spans="1:18" ht="30" customHeight="1" x14ac:dyDescent="0.2">
      <c r="A700" s="3450"/>
      <c r="B700" s="3457" t="s">
        <v>3254</v>
      </c>
      <c r="C700" s="3570"/>
      <c r="D700" s="3442">
        <v>30000000</v>
      </c>
      <c r="E700" s="3444">
        <v>7.0000000000000007E-2</v>
      </c>
      <c r="F700" s="3442">
        <f>D700*E700</f>
        <v>2100000</v>
      </c>
      <c r="G700" s="3644" t="s">
        <v>3256</v>
      </c>
      <c r="H700" s="3645"/>
      <c r="I700" s="3645"/>
      <c r="J700" s="3645"/>
      <c r="K700" s="3646"/>
      <c r="L700" s="3625"/>
      <c r="M700" s="3625"/>
      <c r="N700" s="429"/>
      <c r="O700" s="429"/>
      <c r="P700" s="429"/>
      <c r="Q700" s="429"/>
      <c r="R700" s="429"/>
    </row>
    <row r="701" spans="1:18" ht="30" customHeight="1" x14ac:dyDescent="0.2">
      <c r="A701" s="3451"/>
      <c r="B701" s="3458"/>
      <c r="C701" s="3571"/>
      <c r="D701" s="3443"/>
      <c r="E701" s="3445"/>
      <c r="F701" s="3443"/>
      <c r="G701" s="3647"/>
      <c r="H701" s="3648"/>
      <c r="I701" s="3648"/>
      <c r="J701" s="3648"/>
      <c r="K701" s="3649"/>
      <c r="L701" s="3626"/>
      <c r="M701" s="3626"/>
      <c r="N701" s="429"/>
      <c r="O701" s="429"/>
      <c r="P701" s="429"/>
      <c r="Q701" s="429"/>
      <c r="R701" s="429"/>
    </row>
    <row r="702" spans="1:18" ht="30" customHeight="1" x14ac:dyDescent="0.2">
      <c r="A702" s="1362"/>
      <c r="B702" s="1392" t="s">
        <v>3293</v>
      </c>
      <c r="C702" s="1368"/>
      <c r="D702" s="1364">
        <v>200000000</v>
      </c>
      <c r="E702" s="1366"/>
      <c r="F702" s="1364"/>
      <c r="G702" s="3615" t="s">
        <v>3295</v>
      </c>
      <c r="H702" s="3616"/>
      <c r="I702" s="3616"/>
      <c r="J702" s="3616"/>
      <c r="K702" s="3617"/>
      <c r="L702" s="1376"/>
      <c r="M702" s="1376"/>
      <c r="N702" s="429"/>
      <c r="O702" s="429"/>
      <c r="P702" s="429"/>
      <c r="Q702" s="429"/>
      <c r="R702" s="429"/>
    </row>
    <row r="703" spans="1:18" ht="30" customHeight="1" x14ac:dyDescent="0.2">
      <c r="A703" s="1362"/>
      <c r="B703" s="1392" t="s">
        <v>3294</v>
      </c>
      <c r="C703" s="1368"/>
      <c r="D703" s="1364">
        <v>50000000</v>
      </c>
      <c r="E703" s="1366"/>
      <c r="F703" s="1364"/>
      <c r="G703" s="3615" t="s">
        <v>3296</v>
      </c>
      <c r="H703" s="3616"/>
      <c r="I703" s="3616"/>
      <c r="J703" s="3616"/>
      <c r="K703" s="3617"/>
      <c r="L703" s="1376"/>
      <c r="M703" s="1376"/>
      <c r="N703" s="429"/>
      <c r="O703" s="429"/>
      <c r="P703" s="429"/>
      <c r="Q703" s="429"/>
      <c r="R703" s="429"/>
    </row>
    <row r="704" spans="1:18" ht="30" customHeight="1" x14ac:dyDescent="0.2">
      <c r="A704" s="1349"/>
      <c r="B704" s="1369" t="s">
        <v>3298</v>
      </c>
      <c r="C704" s="1392"/>
      <c r="D704" s="1364">
        <v>10000000</v>
      </c>
      <c r="E704" s="1364"/>
      <c r="F704" s="1366"/>
      <c r="G704" s="3615" t="s">
        <v>3047</v>
      </c>
      <c r="H704" s="3616"/>
      <c r="I704" s="3616"/>
      <c r="J704" s="3616"/>
      <c r="K704" s="3617"/>
      <c r="L704" s="1347"/>
      <c r="M704" s="428"/>
      <c r="N704" s="429"/>
      <c r="O704" s="429"/>
      <c r="P704" s="429"/>
      <c r="Q704" s="429"/>
      <c r="R704" s="429"/>
    </row>
    <row r="705" spans="1:18" ht="30" customHeight="1" x14ac:dyDescent="0.2">
      <c r="A705" s="153"/>
      <c r="B705" s="1402" t="s">
        <v>3364</v>
      </c>
      <c r="C705" s="1392"/>
      <c r="D705" s="1413"/>
      <c r="E705" s="44"/>
      <c r="F705" s="1400"/>
      <c r="G705" s="1404">
        <v>11000000</v>
      </c>
      <c r="H705" s="1404" t="s">
        <v>3362</v>
      </c>
      <c r="I705" s="1415" t="s">
        <v>3366</v>
      </c>
      <c r="J705" s="1404" t="s">
        <v>3367</v>
      </c>
      <c r="K705" s="1404">
        <f>G705</f>
        <v>11000000</v>
      </c>
      <c r="L705" s="1407">
        <f>F705-K705</f>
        <v>-11000000</v>
      </c>
      <c r="M705" s="428"/>
      <c r="N705" s="429"/>
      <c r="O705" s="429"/>
      <c r="P705" s="429"/>
      <c r="Q705" s="429"/>
      <c r="R705" s="429"/>
    </row>
    <row r="706" spans="1:18" ht="30" customHeight="1" x14ac:dyDescent="0.2">
      <c r="A706" s="3450"/>
      <c r="B706" s="3448" t="s">
        <v>851</v>
      </c>
      <c r="C706" s="1392"/>
      <c r="D706" s="1368"/>
      <c r="E706" s="1364"/>
      <c r="F706" s="1366"/>
      <c r="G706" s="1372">
        <v>50000000</v>
      </c>
      <c r="H706" s="1372"/>
      <c r="I706" s="1372"/>
      <c r="J706" s="1372"/>
      <c r="K706" s="1372"/>
      <c r="L706" s="1376"/>
      <c r="M706" s="428"/>
      <c r="N706" s="429"/>
      <c r="O706" s="429"/>
      <c r="P706" s="429"/>
      <c r="Q706" s="429"/>
      <c r="R706" s="429"/>
    </row>
    <row r="707" spans="1:18" ht="30" customHeight="1" x14ac:dyDescent="0.2">
      <c r="A707" s="3451"/>
      <c r="B707" s="3449"/>
      <c r="C707" s="1392"/>
      <c r="D707" s="1368"/>
      <c r="E707" s="1364"/>
      <c r="F707" s="1366"/>
      <c r="G707" s="1372">
        <v>30000000</v>
      </c>
      <c r="H707" s="1372" t="s">
        <v>3324</v>
      </c>
      <c r="I707" s="1372" t="s">
        <v>3333</v>
      </c>
      <c r="J707" s="1372" t="s">
        <v>882</v>
      </c>
      <c r="K707" s="1372">
        <f>G706+G707</f>
        <v>80000000</v>
      </c>
      <c r="L707" s="1376"/>
      <c r="M707" s="428"/>
      <c r="N707" s="429"/>
      <c r="O707" s="429"/>
      <c r="P707" s="429"/>
      <c r="Q707" s="429"/>
      <c r="R707" s="429"/>
    </row>
    <row r="708" spans="1:18" ht="30" customHeight="1" x14ac:dyDescent="0.2">
      <c r="A708" s="153"/>
      <c r="B708" s="1402" t="s">
        <v>3350</v>
      </c>
      <c r="C708" s="1401" t="s">
        <v>3351</v>
      </c>
      <c r="D708" s="1397">
        <v>120000000</v>
      </c>
      <c r="E708" s="1409">
        <v>0.04</v>
      </c>
      <c r="F708" s="1397">
        <f>D708*E708</f>
        <v>4800000</v>
      </c>
      <c r="G708" s="3615" t="s">
        <v>3352</v>
      </c>
      <c r="H708" s="3616"/>
      <c r="I708" s="3616"/>
      <c r="J708" s="3616"/>
      <c r="K708" s="3617"/>
      <c r="L708" s="1376"/>
      <c r="M708" s="428"/>
      <c r="N708" s="429"/>
      <c r="O708" s="429"/>
      <c r="P708" s="429"/>
      <c r="Q708" s="429"/>
      <c r="R708" s="429"/>
    </row>
    <row r="709" spans="1:18" ht="30" customHeight="1" x14ac:dyDescent="0.2">
      <c r="A709" s="153"/>
      <c r="B709" s="1402" t="s">
        <v>3353</v>
      </c>
      <c r="C709" s="1401" t="s">
        <v>3354</v>
      </c>
      <c r="D709" s="1397">
        <v>100000000</v>
      </c>
      <c r="E709" s="1409">
        <v>0.05</v>
      </c>
      <c r="F709" s="1397">
        <f>D709*E709</f>
        <v>5000000</v>
      </c>
      <c r="G709" s="3615" t="s">
        <v>3352</v>
      </c>
      <c r="H709" s="3616"/>
      <c r="I709" s="3616"/>
      <c r="J709" s="3616"/>
      <c r="K709" s="3617"/>
      <c r="L709" s="1406"/>
      <c r="M709" s="428"/>
      <c r="N709" s="429"/>
      <c r="O709" s="429"/>
      <c r="P709" s="429"/>
      <c r="Q709" s="429"/>
      <c r="R709" s="429"/>
    </row>
    <row r="710" spans="1:18" ht="30" customHeight="1" x14ac:dyDescent="0.2">
      <c r="A710" s="153"/>
      <c r="B710" s="1402" t="s">
        <v>3356</v>
      </c>
      <c r="C710" s="1401" t="s">
        <v>1909</v>
      </c>
      <c r="D710" s="1397">
        <v>50000000</v>
      </c>
      <c r="E710" s="1409">
        <v>0.05</v>
      </c>
      <c r="F710" s="1397">
        <f>D710*E710</f>
        <v>2500000</v>
      </c>
      <c r="G710" s="3615" t="s">
        <v>3352</v>
      </c>
      <c r="H710" s="3616"/>
      <c r="I710" s="3616"/>
      <c r="J710" s="3616"/>
      <c r="K710" s="3617"/>
      <c r="L710" s="1406"/>
      <c r="M710" s="428"/>
      <c r="N710" s="429"/>
      <c r="O710" s="429"/>
      <c r="P710" s="429"/>
      <c r="Q710" s="429"/>
      <c r="R710" s="429"/>
    </row>
    <row r="711" spans="1:18" ht="30" customHeight="1" x14ac:dyDescent="0.2">
      <c r="A711" s="153"/>
      <c r="B711" s="1402" t="s">
        <v>3359</v>
      </c>
      <c r="C711" s="1401"/>
      <c r="D711" s="1413"/>
      <c r="E711" s="44"/>
      <c r="F711" s="1400"/>
      <c r="G711" s="1404">
        <v>8000000</v>
      </c>
      <c r="H711" s="1404" t="s">
        <v>3324</v>
      </c>
      <c r="I711" s="1415" t="s">
        <v>3360</v>
      </c>
      <c r="J711" s="1404" t="s">
        <v>3361</v>
      </c>
      <c r="K711" s="1404">
        <f>G711</f>
        <v>8000000</v>
      </c>
      <c r="L711" s="1407">
        <f>F711-K711</f>
        <v>-8000000</v>
      </c>
      <c r="M711" s="428" t="s">
        <v>3365</v>
      </c>
      <c r="N711" s="429"/>
      <c r="O711" s="429"/>
      <c r="P711" s="429"/>
      <c r="Q711" s="429"/>
      <c r="R711" s="429"/>
    </row>
    <row r="712" spans="1:18" ht="30" customHeight="1" x14ac:dyDescent="0.2">
      <c r="A712" s="153"/>
      <c r="B712" s="1402" t="s">
        <v>3392</v>
      </c>
      <c r="C712" s="1401"/>
      <c r="D712" s="1397">
        <v>40000000</v>
      </c>
      <c r="E712" s="1409">
        <v>0.05</v>
      </c>
      <c r="F712" s="1397">
        <f>D712*E712</f>
        <v>2000000</v>
      </c>
      <c r="G712" s="3615" t="s">
        <v>3429</v>
      </c>
      <c r="H712" s="3616"/>
      <c r="I712" s="3616"/>
      <c r="J712" s="3616"/>
      <c r="K712" s="3617"/>
      <c r="L712" s="1406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153"/>
      <c r="B713" s="1402" t="s">
        <v>3428</v>
      </c>
      <c r="C713" s="1402"/>
      <c r="D713" s="1418">
        <v>25000000</v>
      </c>
      <c r="E713" s="1428">
        <v>0.05</v>
      </c>
      <c r="F713" s="1418">
        <f>D713*E713</f>
        <v>1250000</v>
      </c>
      <c r="G713" s="3325"/>
      <c r="H713" s="3340"/>
      <c r="I713" s="3340"/>
      <c r="J713" s="3340"/>
      <c r="K713" s="3341"/>
      <c r="L713" s="1426"/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429"/>
      <c r="B714" s="3" t="s">
        <v>3431</v>
      </c>
      <c r="C714" s="1421"/>
      <c r="D714" s="1425"/>
      <c r="E714" s="44"/>
      <c r="F714" s="1422"/>
      <c r="G714" s="1424">
        <v>2500000</v>
      </c>
      <c r="H714" s="1424" t="s">
        <v>3421</v>
      </c>
      <c r="I714" s="1433">
        <v>123811290702</v>
      </c>
      <c r="J714" s="1424" t="s">
        <v>3432</v>
      </c>
      <c r="K714" s="1424">
        <f>G714</f>
        <v>2500000</v>
      </c>
      <c r="L714" s="1427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1487"/>
      <c r="B715" s="3" t="s">
        <v>3443</v>
      </c>
      <c r="C715" s="1471" t="s">
        <v>3458</v>
      </c>
      <c r="D715" s="1459">
        <v>20000000</v>
      </c>
      <c r="E715" s="1485">
        <v>0.05</v>
      </c>
      <c r="F715" s="1459">
        <f>D715*E715</f>
        <v>1000000</v>
      </c>
      <c r="G715" s="3615" t="s">
        <v>3444</v>
      </c>
      <c r="H715" s="3616"/>
      <c r="I715" s="3616"/>
      <c r="J715" s="3616"/>
      <c r="K715" s="3617"/>
      <c r="L715" s="1483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1487"/>
      <c r="B716" s="3" t="s">
        <v>3459</v>
      </c>
      <c r="C716" s="1471" t="s">
        <v>916</v>
      </c>
      <c r="D716" s="1459">
        <v>200000000</v>
      </c>
      <c r="E716" s="1485">
        <v>0.05</v>
      </c>
      <c r="F716" s="1459">
        <f>D716*E716</f>
        <v>10000000</v>
      </c>
      <c r="G716" s="3478" t="s">
        <v>3460</v>
      </c>
      <c r="H716" s="3479"/>
      <c r="I716" s="3479"/>
      <c r="J716" s="3479"/>
      <c r="K716" s="3480"/>
      <c r="L716" s="1483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487"/>
      <c r="B717" s="3" t="s">
        <v>3467</v>
      </c>
      <c r="C717" s="1464"/>
      <c r="D717" s="1480"/>
      <c r="E717" s="44"/>
      <c r="F717" s="1465"/>
      <c r="G717" s="1472">
        <v>1500000</v>
      </c>
      <c r="H717" s="1472" t="s">
        <v>3461</v>
      </c>
      <c r="I717" s="1489" t="s">
        <v>3468</v>
      </c>
      <c r="J717" s="1472" t="s">
        <v>3469</v>
      </c>
      <c r="K717" s="1472">
        <f>G717</f>
        <v>1500000</v>
      </c>
      <c r="L717" s="1483"/>
      <c r="M717" s="428"/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504"/>
      <c r="C718" s="1464"/>
      <c r="D718" s="1480"/>
      <c r="E718" s="44"/>
      <c r="F718" s="1465"/>
      <c r="G718" s="1459"/>
      <c r="H718" s="1459"/>
      <c r="I718" s="1474"/>
      <c r="J718" s="1468"/>
      <c r="K718" s="1459"/>
      <c r="L718" s="1483"/>
      <c r="M718" s="428"/>
      <c r="N718" s="429"/>
      <c r="O718" s="429"/>
      <c r="P718" s="429"/>
      <c r="Q718" s="429"/>
      <c r="R718" s="429"/>
    </row>
    <row r="719" spans="1:18" ht="30" customHeight="1" x14ac:dyDescent="0.2">
      <c r="A719" s="3709" t="s">
        <v>2661</v>
      </c>
      <c r="B719" s="3710"/>
      <c r="C719" s="1084"/>
      <c r="D719" s="311">
        <v>74145173000</v>
      </c>
      <c r="E719" s="1048"/>
      <c r="F719" s="1020"/>
      <c r="G719" s="1020"/>
      <c r="H719" s="1020"/>
      <c r="I719" s="1036"/>
      <c r="J719" s="24"/>
      <c r="K719" s="1020"/>
      <c r="L719" s="1020"/>
      <c r="M719" s="1052"/>
    </row>
  </sheetData>
  <mergeCells count="957">
    <mergeCell ref="M56:M57"/>
    <mergeCell ref="M206:M207"/>
    <mergeCell ref="A101:A102"/>
    <mergeCell ref="B101:B102"/>
    <mergeCell ref="C101:C102"/>
    <mergeCell ref="D101:D102"/>
    <mergeCell ref="E101:E102"/>
    <mergeCell ref="F101:F102"/>
    <mergeCell ref="K101:K102"/>
    <mergeCell ref="L101:L102"/>
    <mergeCell ref="M101:M102"/>
    <mergeCell ref="D121:D122"/>
    <mergeCell ref="E121:E122"/>
    <mergeCell ref="F121:F122"/>
    <mergeCell ref="D111:D112"/>
    <mergeCell ref="E111:E112"/>
    <mergeCell ref="F111:F112"/>
    <mergeCell ref="K111:K112"/>
    <mergeCell ref="C121:C122"/>
    <mergeCell ref="E94:E100"/>
    <mergeCell ref="A180:A181"/>
    <mergeCell ref="B204:B205"/>
    <mergeCell ref="C180:C181"/>
    <mergeCell ref="C194:C197"/>
    <mergeCell ref="D205:F205"/>
    <mergeCell ref="F195:F196"/>
    <mergeCell ref="F171:F172"/>
    <mergeCell ref="E171:E172"/>
    <mergeCell ref="D171:D172"/>
    <mergeCell ref="B177:B179"/>
    <mergeCell ref="D195:D196"/>
    <mergeCell ref="E195:E196"/>
    <mergeCell ref="F206:F207"/>
    <mergeCell ref="B180:B181"/>
    <mergeCell ref="C200:C202"/>
    <mergeCell ref="B171:B175"/>
    <mergeCell ref="A209:A210"/>
    <mergeCell ref="A206:A207"/>
    <mergeCell ref="B206:B207"/>
    <mergeCell ref="A194:A197"/>
    <mergeCell ref="B160:B163"/>
    <mergeCell ref="A171:A175"/>
    <mergeCell ref="C160:C163"/>
    <mergeCell ref="A410:A411"/>
    <mergeCell ref="C434:C438"/>
    <mergeCell ref="B217:B218"/>
    <mergeCell ref="A219:A221"/>
    <mergeCell ref="A217:A218"/>
    <mergeCell ref="A223:A225"/>
    <mergeCell ref="B223:B225"/>
    <mergeCell ref="C358:C359"/>
    <mergeCell ref="A327:A328"/>
    <mergeCell ref="B327:B328"/>
    <mergeCell ref="A318:A323"/>
    <mergeCell ref="C223:C225"/>
    <mergeCell ref="B314:B315"/>
    <mergeCell ref="B318:B323"/>
    <mergeCell ref="A229:A230"/>
    <mergeCell ref="A268:A269"/>
    <mergeCell ref="C423:C424"/>
    <mergeCell ref="C439:C441"/>
    <mergeCell ref="A495:A496"/>
    <mergeCell ref="A439:A441"/>
    <mergeCell ref="B497:B501"/>
    <mergeCell ref="B451:B455"/>
    <mergeCell ref="B444:B445"/>
    <mergeCell ref="A423:A424"/>
    <mergeCell ref="B428:B429"/>
    <mergeCell ref="B410:B411"/>
    <mergeCell ref="B423:B424"/>
    <mergeCell ref="A428:A429"/>
    <mergeCell ref="A444:A445"/>
    <mergeCell ref="A451:A455"/>
    <mergeCell ref="B434:B438"/>
    <mergeCell ref="A434:A438"/>
    <mergeCell ref="A497:A501"/>
    <mergeCell ref="B495:B496"/>
    <mergeCell ref="A416:A420"/>
    <mergeCell ref="A463:A467"/>
    <mergeCell ref="B463:B467"/>
    <mergeCell ref="A285:A286"/>
    <mergeCell ref="A280:A282"/>
    <mergeCell ref="A706:A707"/>
    <mergeCell ref="B688:B689"/>
    <mergeCell ref="G689:K689"/>
    <mergeCell ref="G678:K678"/>
    <mergeCell ref="G676:K676"/>
    <mergeCell ref="B644:B658"/>
    <mergeCell ref="C644:C658"/>
    <mergeCell ref="G654:K654"/>
    <mergeCell ref="G645:K645"/>
    <mergeCell ref="G650:K650"/>
    <mergeCell ref="A700:A701"/>
    <mergeCell ref="B700:B701"/>
    <mergeCell ref="C700:C701"/>
    <mergeCell ref="F700:F701"/>
    <mergeCell ref="B706:B707"/>
    <mergeCell ref="G704:K704"/>
    <mergeCell ref="G702:K702"/>
    <mergeCell ref="G703:K703"/>
    <mergeCell ref="A468:A473"/>
    <mergeCell ref="G646:K646"/>
    <mergeCell ref="G697:K697"/>
    <mergeCell ref="B678:B679"/>
    <mergeCell ref="C678:C679"/>
    <mergeCell ref="D700:D701"/>
    <mergeCell ref="E700:E701"/>
    <mergeCell ref="G671:K671"/>
    <mergeCell ref="G647:K647"/>
    <mergeCell ref="A678:A679"/>
    <mergeCell ref="G655:K655"/>
    <mergeCell ref="D678:D679"/>
    <mergeCell ref="G648:K648"/>
    <mergeCell ref="E678:E679"/>
    <mergeCell ref="F678:F679"/>
    <mergeCell ref="A661:A665"/>
    <mergeCell ref="B661:B665"/>
    <mergeCell ref="C661:C665"/>
    <mergeCell ref="D658:F658"/>
    <mergeCell ref="G653:K653"/>
    <mergeCell ref="G665:K665"/>
    <mergeCell ref="I663:J663"/>
    <mergeCell ref="K663:K664"/>
    <mergeCell ref="G677:K677"/>
    <mergeCell ref="A644:A658"/>
    <mergeCell ref="A607:A611"/>
    <mergeCell ref="C607:C611"/>
    <mergeCell ref="G611:L611"/>
    <mergeCell ref="G607:L608"/>
    <mergeCell ref="D608:F610"/>
    <mergeCell ref="B636:B638"/>
    <mergeCell ref="A636:A638"/>
    <mergeCell ref="C636:C638"/>
    <mergeCell ref="G633:J633"/>
    <mergeCell ref="D623:D624"/>
    <mergeCell ref="L700:L701"/>
    <mergeCell ref="B684:B685"/>
    <mergeCell ref="C684:C685"/>
    <mergeCell ref="A684:A685"/>
    <mergeCell ref="A681:A683"/>
    <mergeCell ref="B681:B683"/>
    <mergeCell ref="C681:C683"/>
    <mergeCell ref="D683:F683"/>
    <mergeCell ref="D682:F682"/>
    <mergeCell ref="A688:A689"/>
    <mergeCell ref="D601:D602"/>
    <mergeCell ref="E601:E602"/>
    <mergeCell ref="G590:G591"/>
    <mergeCell ref="F598:F600"/>
    <mergeCell ref="K623:K624"/>
    <mergeCell ref="A640:A642"/>
    <mergeCell ref="B640:B642"/>
    <mergeCell ref="C640:C642"/>
    <mergeCell ref="D640:D642"/>
    <mergeCell ref="E640:E642"/>
    <mergeCell ref="A632:A634"/>
    <mergeCell ref="G609:K609"/>
    <mergeCell ref="B607:B611"/>
    <mergeCell ref="K601:K602"/>
    <mergeCell ref="B590:B591"/>
    <mergeCell ref="B603:B605"/>
    <mergeCell ref="F601:F602"/>
    <mergeCell ref="D590:D591"/>
    <mergeCell ref="E590:E591"/>
    <mergeCell ref="F590:F591"/>
    <mergeCell ref="C632:C634"/>
    <mergeCell ref="A623:A624"/>
    <mergeCell ref="B623:B624"/>
    <mergeCell ref="C623:C624"/>
    <mergeCell ref="K570:K571"/>
    <mergeCell ref="J495:J496"/>
    <mergeCell ref="K495:K496"/>
    <mergeCell ref="C444:C445"/>
    <mergeCell ref="B268:B269"/>
    <mergeCell ref="G268:G269"/>
    <mergeCell ref="H268:H269"/>
    <mergeCell ref="C320:C323"/>
    <mergeCell ref="B416:B420"/>
    <mergeCell ref="C410:C411"/>
    <mergeCell ref="C416:C420"/>
    <mergeCell ref="C285:C286"/>
    <mergeCell ref="D526:E526"/>
    <mergeCell ref="G526:L526"/>
    <mergeCell ref="D552:D553"/>
    <mergeCell ref="L463:L465"/>
    <mergeCell ref="L511:L512"/>
    <mergeCell ref="L468:L469"/>
    <mergeCell ref="L495:L496"/>
    <mergeCell ref="L470:L473"/>
    <mergeCell ref="L475:L476"/>
    <mergeCell ref="L444:L445"/>
    <mergeCell ref="C318:C319"/>
    <mergeCell ref="B439:B441"/>
    <mergeCell ref="A518:A526"/>
    <mergeCell ref="B518:B526"/>
    <mergeCell ref="B285:B286"/>
    <mergeCell ref="B310:B311"/>
    <mergeCell ref="B404:B408"/>
    <mergeCell ref="H416:H419"/>
    <mergeCell ref="A127:A128"/>
    <mergeCell ref="C214:C215"/>
    <mergeCell ref="K552:K553"/>
    <mergeCell ref="G424:K424"/>
    <mergeCell ref="K439:K440"/>
    <mergeCell ref="G498:K498"/>
    <mergeCell ref="C451:F454"/>
    <mergeCell ref="H428:H429"/>
    <mergeCell ref="I428:I429"/>
    <mergeCell ref="G497:K497"/>
    <mergeCell ref="K468:K469"/>
    <mergeCell ref="J475:J476"/>
    <mergeCell ref="I495:I496"/>
    <mergeCell ref="G431:J431"/>
    <mergeCell ref="D299:D300"/>
    <mergeCell ref="E299:E300"/>
    <mergeCell ref="F299:F300"/>
    <mergeCell ref="K398:K399"/>
    <mergeCell ref="B601:B602"/>
    <mergeCell ref="C601:C602"/>
    <mergeCell ref="A511:A512"/>
    <mergeCell ref="G466:K466"/>
    <mergeCell ref="D463:D466"/>
    <mergeCell ref="E463:E466"/>
    <mergeCell ref="F463:F466"/>
    <mergeCell ref="A310:A311"/>
    <mergeCell ref="G503:K503"/>
    <mergeCell ref="G507:J507"/>
    <mergeCell ref="G509:J509"/>
    <mergeCell ref="K475:K476"/>
    <mergeCell ref="D507:D508"/>
    <mergeCell ref="K511:K512"/>
    <mergeCell ref="F507:F508"/>
    <mergeCell ref="D524:E524"/>
    <mergeCell ref="K444:K445"/>
    <mergeCell ref="G542:K542"/>
    <mergeCell ref="G495:G496"/>
    <mergeCell ref="B554:B555"/>
    <mergeCell ref="K463:K465"/>
    <mergeCell ref="F556:F566"/>
    <mergeCell ref="G460:K460"/>
    <mergeCell ref="K451:K454"/>
    <mergeCell ref="M214:M215"/>
    <mergeCell ref="D219:D220"/>
    <mergeCell ref="B632:B634"/>
    <mergeCell ref="A111:A112"/>
    <mergeCell ref="L104:L105"/>
    <mergeCell ref="B121:B122"/>
    <mergeCell ref="F640:F642"/>
    <mergeCell ref="E623:E624"/>
    <mergeCell ref="F623:F624"/>
    <mergeCell ref="L552:L553"/>
    <mergeCell ref="A109:A110"/>
    <mergeCell ref="B109:B110"/>
    <mergeCell ref="C109:C110"/>
    <mergeCell ref="B127:B128"/>
    <mergeCell ref="A104:A106"/>
    <mergeCell ref="F214:F215"/>
    <mergeCell ref="G368:K368"/>
    <mergeCell ref="G410:K410"/>
    <mergeCell ref="H379:H380"/>
    <mergeCell ref="I379:I380"/>
    <mergeCell ref="L455:L456"/>
    <mergeCell ref="L507:L508"/>
    <mergeCell ref="L223:L224"/>
    <mergeCell ref="F227:F228"/>
    <mergeCell ref="L2:L3"/>
    <mergeCell ref="I89:I90"/>
    <mergeCell ref="B49:B50"/>
    <mergeCell ref="C49:C50"/>
    <mergeCell ref="M2:M3"/>
    <mergeCell ref="M43:M44"/>
    <mergeCell ref="D458:F458"/>
    <mergeCell ref="H455:H456"/>
    <mergeCell ref="I455:I456"/>
    <mergeCell ref="J455:J456"/>
    <mergeCell ref="K455:K456"/>
    <mergeCell ref="M146:Q146"/>
    <mergeCell ref="M186:M188"/>
    <mergeCell ref="G205:K205"/>
    <mergeCell ref="M194:M197"/>
    <mergeCell ref="G197:K197"/>
    <mergeCell ref="L439:L440"/>
    <mergeCell ref="K428:K429"/>
    <mergeCell ref="M127:M128"/>
    <mergeCell ref="L451:L454"/>
    <mergeCell ref="L121:L122"/>
    <mergeCell ref="G194:K194"/>
    <mergeCell ref="K200:K201"/>
    <mergeCell ref="H200:H201"/>
    <mergeCell ref="F59:F60"/>
    <mergeCell ref="A70:A72"/>
    <mergeCell ref="A82:A85"/>
    <mergeCell ref="A89:A90"/>
    <mergeCell ref="G78:L78"/>
    <mergeCell ref="G80:L81"/>
    <mergeCell ref="L52:L53"/>
    <mergeCell ref="L89:L90"/>
    <mergeCell ref="K68:K69"/>
    <mergeCell ref="L68:L69"/>
    <mergeCell ref="E78:E79"/>
    <mergeCell ref="F78:F79"/>
    <mergeCell ref="D75:D76"/>
    <mergeCell ref="E75:E76"/>
    <mergeCell ref="F86:F87"/>
    <mergeCell ref="C78:C79"/>
    <mergeCell ref="D78:D79"/>
    <mergeCell ref="A59:A60"/>
    <mergeCell ref="B59:B60"/>
    <mergeCell ref="A75:A76"/>
    <mergeCell ref="B78:B79"/>
    <mergeCell ref="A78:A79"/>
    <mergeCell ref="A2:A3"/>
    <mergeCell ref="B2:B3"/>
    <mergeCell ref="C2:C3"/>
    <mergeCell ref="D2:D3"/>
    <mergeCell ref="E2:E3"/>
    <mergeCell ref="F2:F3"/>
    <mergeCell ref="K2:K3"/>
    <mergeCell ref="A56:A57"/>
    <mergeCell ref="B56:B57"/>
    <mergeCell ref="C56:C57"/>
    <mergeCell ref="G56:K56"/>
    <mergeCell ref="G57:K57"/>
    <mergeCell ref="A40:A46"/>
    <mergeCell ref="B40:B46"/>
    <mergeCell ref="C40:C46"/>
    <mergeCell ref="B23:B24"/>
    <mergeCell ref="C23:C24"/>
    <mergeCell ref="M209:M210"/>
    <mergeCell ref="L214:L215"/>
    <mergeCell ref="K209:K210"/>
    <mergeCell ref="M154:M155"/>
    <mergeCell ref="M160:M163"/>
    <mergeCell ref="M177:M179"/>
    <mergeCell ref="K171:K172"/>
    <mergeCell ref="K214:K215"/>
    <mergeCell ref="K206:K207"/>
    <mergeCell ref="L206:L207"/>
    <mergeCell ref="L195:L196"/>
    <mergeCell ref="L157:L158"/>
    <mergeCell ref="M200:M201"/>
    <mergeCell ref="H163:K163"/>
    <mergeCell ref="L200:L201"/>
    <mergeCell ref="J200:J201"/>
    <mergeCell ref="G181:K181"/>
    <mergeCell ref="K195:K196"/>
    <mergeCell ref="L209:L210"/>
    <mergeCell ref="J160:J161"/>
    <mergeCell ref="I158:I159"/>
    <mergeCell ref="J158:J159"/>
    <mergeCell ref="I200:I201"/>
    <mergeCell ref="H189:K189"/>
    <mergeCell ref="M136:M138"/>
    <mergeCell ref="G142:J142"/>
    <mergeCell ref="C154:C155"/>
    <mergeCell ref="G154:G155"/>
    <mergeCell ref="H154:H155"/>
    <mergeCell ref="I154:I155"/>
    <mergeCell ref="J154:J155"/>
    <mergeCell ref="K154:K155"/>
    <mergeCell ref="L154:L155"/>
    <mergeCell ref="G143:J143"/>
    <mergeCell ref="K136:K140"/>
    <mergeCell ref="L136:L140"/>
    <mergeCell ref="M148:M149"/>
    <mergeCell ref="G145:K145"/>
    <mergeCell ref="G151:J151"/>
    <mergeCell ref="G152:J153"/>
    <mergeCell ref="G141:J141"/>
    <mergeCell ref="F94:F100"/>
    <mergeCell ref="D110:F110"/>
    <mergeCell ref="G150:J150"/>
    <mergeCell ref="A186:A189"/>
    <mergeCell ref="B186:B189"/>
    <mergeCell ref="C186:C189"/>
    <mergeCell ref="D45:F45"/>
    <mergeCell ref="G52:G53"/>
    <mergeCell ref="H52:H53"/>
    <mergeCell ref="H158:H159"/>
    <mergeCell ref="G46:K46"/>
    <mergeCell ref="D59:D60"/>
    <mergeCell ref="E59:E60"/>
    <mergeCell ref="D70:D73"/>
    <mergeCell ref="E70:E73"/>
    <mergeCell ref="F70:F73"/>
    <mergeCell ref="F75:F76"/>
    <mergeCell ref="H65:H66"/>
    <mergeCell ref="I65:I66"/>
    <mergeCell ref="J65:J66"/>
    <mergeCell ref="C59:C60"/>
    <mergeCell ref="C86:C88"/>
    <mergeCell ref="D86:D87"/>
    <mergeCell ref="E86:E87"/>
    <mergeCell ref="A121:A122"/>
    <mergeCell ref="K121:K122"/>
    <mergeCell ref="A94:A100"/>
    <mergeCell ref="K48:K49"/>
    <mergeCell ref="D17:D18"/>
    <mergeCell ref="E17:E18"/>
    <mergeCell ref="F17:F18"/>
    <mergeCell ref="B16:B20"/>
    <mergeCell ref="C16:C20"/>
    <mergeCell ref="G19:J20"/>
    <mergeCell ref="I52:I53"/>
    <mergeCell ref="D50:F50"/>
    <mergeCell ref="A16:A20"/>
    <mergeCell ref="C34:C38"/>
    <mergeCell ref="D43:F44"/>
    <mergeCell ref="G17:J18"/>
    <mergeCell ref="G41:K41"/>
    <mergeCell ref="J23:J24"/>
    <mergeCell ref="K23:K24"/>
    <mergeCell ref="G38:K38"/>
    <mergeCell ref="K43:K44"/>
    <mergeCell ref="B34:B38"/>
    <mergeCell ref="G30:K30"/>
    <mergeCell ref="C89:C90"/>
    <mergeCell ref="L43:L44"/>
    <mergeCell ref="L48:L49"/>
    <mergeCell ref="G58:K58"/>
    <mergeCell ref="J52:J53"/>
    <mergeCell ref="K52:K53"/>
    <mergeCell ref="B27:B30"/>
    <mergeCell ref="C27:C30"/>
    <mergeCell ref="A49:A50"/>
    <mergeCell ref="D36:F37"/>
    <mergeCell ref="A34:A38"/>
    <mergeCell ref="I127:I128"/>
    <mergeCell ref="G89:G90"/>
    <mergeCell ref="H89:H90"/>
    <mergeCell ref="L65:L66"/>
    <mergeCell ref="J89:J90"/>
    <mergeCell ref="G83:L83"/>
    <mergeCell ref="G65:G66"/>
    <mergeCell ref="I91:I93"/>
    <mergeCell ref="J91:J93"/>
    <mergeCell ref="K91:K93"/>
    <mergeCell ref="L91:L93"/>
    <mergeCell ref="H94:H95"/>
    <mergeCell ref="I94:I95"/>
    <mergeCell ref="J94:J95"/>
    <mergeCell ref="K95:K100"/>
    <mergeCell ref="K65:K66"/>
    <mergeCell ref="G82:K82"/>
    <mergeCell ref="K89:K90"/>
    <mergeCell ref="K86:K87"/>
    <mergeCell ref="L86:L87"/>
    <mergeCell ref="M511:M512"/>
    <mergeCell ref="K507:K508"/>
    <mergeCell ref="H511:H512"/>
    <mergeCell ref="I511:I512"/>
    <mergeCell ref="B70:B73"/>
    <mergeCell ref="C70:C73"/>
    <mergeCell ref="B89:B90"/>
    <mergeCell ref="B75:B76"/>
    <mergeCell ref="C75:C76"/>
    <mergeCell ref="B94:B100"/>
    <mergeCell ref="C94:C100"/>
    <mergeCell ref="B82:B85"/>
    <mergeCell ref="C82:C85"/>
    <mergeCell ref="B111:B112"/>
    <mergeCell ref="M121:M122"/>
    <mergeCell ref="G85:K85"/>
    <mergeCell ref="M104:M105"/>
    <mergeCell ref="M95:M100"/>
    <mergeCell ref="H104:H105"/>
    <mergeCell ref="I104:I105"/>
    <mergeCell ref="J104:J105"/>
    <mergeCell ref="G91:G93"/>
    <mergeCell ref="H91:H93"/>
    <mergeCell ref="D419:E419"/>
    <mergeCell ref="M111:M112"/>
    <mergeCell ref="L111:L112"/>
    <mergeCell ref="M119:M120"/>
    <mergeCell ref="J209:J210"/>
    <mergeCell ref="G179:K179"/>
    <mergeCell ref="D177:D178"/>
    <mergeCell ref="E177:E178"/>
    <mergeCell ref="F177:F178"/>
    <mergeCell ref="H160:H161"/>
    <mergeCell ref="D206:D207"/>
    <mergeCell ref="E206:E207"/>
    <mergeCell ref="M171:M172"/>
    <mergeCell ref="K186:K188"/>
    <mergeCell ref="L186:L188"/>
    <mergeCell ref="G127:G128"/>
    <mergeCell ref="H127:H128"/>
    <mergeCell ref="L148:L149"/>
    <mergeCell ref="K148:K149"/>
    <mergeCell ref="J127:J128"/>
    <mergeCell ref="K127:K128"/>
    <mergeCell ref="L127:L128"/>
    <mergeCell ref="L171:L172"/>
    <mergeCell ref="K161:K162"/>
    <mergeCell ref="I160:I161"/>
    <mergeCell ref="M52:M53"/>
    <mergeCell ref="M89:M90"/>
    <mergeCell ref="G120:K120"/>
    <mergeCell ref="A13:A14"/>
    <mergeCell ref="M65:M66"/>
    <mergeCell ref="M68:M69"/>
    <mergeCell ref="L95:L100"/>
    <mergeCell ref="B13:B14"/>
    <mergeCell ref="F80:F81"/>
    <mergeCell ref="A80:A81"/>
    <mergeCell ref="B80:B81"/>
    <mergeCell ref="C80:C81"/>
    <mergeCell ref="D80:D81"/>
    <mergeCell ref="E80:E81"/>
    <mergeCell ref="A52:A53"/>
    <mergeCell ref="B52:B53"/>
    <mergeCell ref="C52:C53"/>
    <mergeCell ref="A68:A69"/>
    <mergeCell ref="B68:B69"/>
    <mergeCell ref="C68:C69"/>
    <mergeCell ref="D68:D69"/>
    <mergeCell ref="E68:E69"/>
    <mergeCell ref="F68:F69"/>
    <mergeCell ref="A27:A30"/>
    <mergeCell ref="M13:M14"/>
    <mergeCell ref="J27:J28"/>
    <mergeCell ref="K27:K28"/>
    <mergeCell ref="L27:L28"/>
    <mergeCell ref="M27:M28"/>
    <mergeCell ref="G29:K29"/>
    <mergeCell ref="G27:G28"/>
    <mergeCell ref="H27:H28"/>
    <mergeCell ref="I27:I28"/>
    <mergeCell ref="G16:J16"/>
    <mergeCell ref="L23:L24"/>
    <mergeCell ref="H23:H24"/>
    <mergeCell ref="I23:I24"/>
    <mergeCell ref="K13:K14"/>
    <mergeCell ref="L13:L14"/>
    <mergeCell ref="A91:A93"/>
    <mergeCell ref="B91:B93"/>
    <mergeCell ref="C91:C93"/>
    <mergeCell ref="A86:A88"/>
    <mergeCell ref="B86:B88"/>
    <mergeCell ref="M507:M509"/>
    <mergeCell ref="M495:M496"/>
    <mergeCell ref="M451:M454"/>
    <mergeCell ref="G234:J234"/>
    <mergeCell ref="G418:G419"/>
    <mergeCell ref="G416:G417"/>
    <mergeCell ref="L416:L419"/>
    <mergeCell ref="G363:K363"/>
    <mergeCell ref="G286:K286"/>
    <mergeCell ref="G291:K291"/>
    <mergeCell ref="G292:K292"/>
    <mergeCell ref="G293:K293"/>
    <mergeCell ref="M299:M300"/>
    <mergeCell ref="G302:K302"/>
    <mergeCell ref="G303:K303"/>
    <mergeCell ref="G304:K304"/>
    <mergeCell ref="G314:G315"/>
    <mergeCell ref="H314:H315"/>
    <mergeCell ref="I314:I315"/>
    <mergeCell ref="M428:M429"/>
    <mergeCell ref="G379:G380"/>
    <mergeCell ref="M379:M380"/>
    <mergeCell ref="L392:L393"/>
    <mergeCell ref="M328:Q328"/>
    <mergeCell ref="M340:M341"/>
    <mergeCell ref="M342:M343"/>
    <mergeCell ref="M394:P394"/>
    <mergeCell ref="M398:M399"/>
    <mergeCell ref="M405:M406"/>
    <mergeCell ref="G420:J420"/>
    <mergeCell ref="L428:L429"/>
    <mergeCell ref="G342:G343"/>
    <mergeCell ref="H342:H343"/>
    <mergeCell ref="I342:I343"/>
    <mergeCell ref="J342:J343"/>
    <mergeCell ref="K342:K343"/>
    <mergeCell ref="L342:L343"/>
    <mergeCell ref="G398:G399"/>
    <mergeCell ref="H398:H399"/>
    <mergeCell ref="I398:I399"/>
    <mergeCell ref="J398:J399"/>
    <mergeCell ref="L398:L399"/>
    <mergeCell ref="G407:L407"/>
    <mergeCell ref="I416:I419"/>
    <mergeCell ref="J416:J419"/>
    <mergeCell ref="K416:K419"/>
    <mergeCell ref="L243:L252"/>
    <mergeCell ref="G280:G282"/>
    <mergeCell ref="M418:M419"/>
    <mergeCell ref="D288:D290"/>
    <mergeCell ref="E288:E290"/>
    <mergeCell ref="F288:F290"/>
    <mergeCell ref="L401:L402"/>
    <mergeCell ref="M401:M402"/>
    <mergeCell ref="M281:Q281"/>
    <mergeCell ref="M282:Q282"/>
    <mergeCell ref="L288:L290"/>
    <mergeCell ref="G290:K290"/>
    <mergeCell ref="L379:L380"/>
    <mergeCell ref="G392:G393"/>
    <mergeCell ref="H392:H393"/>
    <mergeCell ref="I392:I393"/>
    <mergeCell ref="J392:J393"/>
    <mergeCell ref="K392:K393"/>
    <mergeCell ref="K379:K380"/>
    <mergeCell ref="M475:M476"/>
    <mergeCell ref="G411:K411"/>
    <mergeCell ref="G435:J435"/>
    <mergeCell ref="C428:C429"/>
    <mergeCell ref="G428:G429"/>
    <mergeCell ref="M455:M456"/>
    <mergeCell ref="M470:M473"/>
    <mergeCell ref="J428:J429"/>
    <mergeCell ref="E243:E252"/>
    <mergeCell ref="I268:I269"/>
    <mergeCell ref="J268:J269"/>
    <mergeCell ref="K268:K269"/>
    <mergeCell ref="M245:M252"/>
    <mergeCell ref="M439:M440"/>
    <mergeCell ref="G439:G440"/>
    <mergeCell ref="H439:H440"/>
    <mergeCell ref="I439:I440"/>
    <mergeCell ref="J439:J440"/>
    <mergeCell ref="G437:J437"/>
    <mergeCell ref="C299:C300"/>
    <mergeCell ref="G421:K421"/>
    <mergeCell ref="G467:K467"/>
    <mergeCell ref="K470:K473"/>
    <mergeCell ref="G441:J441"/>
    <mergeCell ref="M518:M519"/>
    <mergeCell ref="D556:D566"/>
    <mergeCell ref="E556:E566"/>
    <mergeCell ref="M539:M542"/>
    <mergeCell ref="M444:M445"/>
    <mergeCell ref="G511:G512"/>
    <mergeCell ref="G475:G476"/>
    <mergeCell ref="H475:H476"/>
    <mergeCell ref="M520:M526"/>
    <mergeCell ref="G515:J515"/>
    <mergeCell ref="G520:L520"/>
    <mergeCell ref="G521:L521"/>
    <mergeCell ref="G522:L522"/>
    <mergeCell ref="M554:M555"/>
    <mergeCell ref="F552:F553"/>
    <mergeCell ref="G525:L525"/>
    <mergeCell ref="G455:G456"/>
    <mergeCell ref="J511:J512"/>
    <mergeCell ref="F468:F469"/>
    <mergeCell ref="F470:F473"/>
    <mergeCell ref="E538:F538"/>
    <mergeCell ref="D470:D473"/>
    <mergeCell ref="E507:E508"/>
    <mergeCell ref="G499:K499"/>
    <mergeCell ref="A719:B719"/>
    <mergeCell ref="G639:L639"/>
    <mergeCell ref="G670:K670"/>
    <mergeCell ref="D575:D577"/>
    <mergeCell ref="E575:E577"/>
    <mergeCell ref="F575:F577"/>
    <mergeCell ref="K575:K577"/>
    <mergeCell ref="A601:A602"/>
    <mergeCell ref="B514:B515"/>
    <mergeCell ref="C514:C515"/>
    <mergeCell ref="A575:A578"/>
    <mergeCell ref="B575:B578"/>
    <mergeCell ref="C575:C578"/>
    <mergeCell ref="C590:C591"/>
    <mergeCell ref="C550:C551"/>
    <mergeCell ref="A544:A546"/>
    <mergeCell ref="B583:B584"/>
    <mergeCell ref="L518:L519"/>
    <mergeCell ref="L539:L540"/>
    <mergeCell ref="F539:F540"/>
    <mergeCell ref="K539:K540"/>
    <mergeCell ref="A514:A515"/>
    <mergeCell ref="E550:E551"/>
    <mergeCell ref="D541:F541"/>
    <mergeCell ref="H495:H496"/>
    <mergeCell ref="C497:C501"/>
    <mergeCell ref="D497:D501"/>
    <mergeCell ref="E497:E501"/>
    <mergeCell ref="F497:F501"/>
    <mergeCell ref="C495:C496"/>
    <mergeCell ref="C463:C467"/>
    <mergeCell ref="I475:I476"/>
    <mergeCell ref="C556:C566"/>
    <mergeCell ref="C518:C526"/>
    <mergeCell ref="C503:C504"/>
    <mergeCell ref="G504:J504"/>
    <mergeCell ref="A554:A555"/>
    <mergeCell ref="B598:B600"/>
    <mergeCell ref="C598:C600"/>
    <mergeCell ref="D598:D600"/>
    <mergeCell ref="E598:E600"/>
    <mergeCell ref="D539:D540"/>
    <mergeCell ref="E539:E540"/>
    <mergeCell ref="C539:C542"/>
    <mergeCell ref="A590:A591"/>
    <mergeCell ref="A552:A553"/>
    <mergeCell ref="E552:E553"/>
    <mergeCell ref="A556:A562"/>
    <mergeCell ref="A598:A600"/>
    <mergeCell ref="D571:F571"/>
    <mergeCell ref="B550:B551"/>
    <mergeCell ref="B552:B553"/>
    <mergeCell ref="F550:F551"/>
    <mergeCell ref="B570:B572"/>
    <mergeCell ref="C570:C572"/>
    <mergeCell ref="B507:B509"/>
    <mergeCell ref="A583:A584"/>
    <mergeCell ref="C583:C584"/>
    <mergeCell ref="B491:B492"/>
    <mergeCell ref="C491:C492"/>
    <mergeCell ref="D468:D469"/>
    <mergeCell ref="E468:E469"/>
    <mergeCell ref="A484:A486"/>
    <mergeCell ref="B484:B486"/>
    <mergeCell ref="B468:B473"/>
    <mergeCell ref="C468:C473"/>
    <mergeCell ref="E470:E473"/>
    <mergeCell ref="A570:A572"/>
    <mergeCell ref="C552:C553"/>
    <mergeCell ref="C554:C555"/>
    <mergeCell ref="D550:D551"/>
    <mergeCell ref="B544:B546"/>
    <mergeCell ref="C507:C509"/>
    <mergeCell ref="A550:A551"/>
    <mergeCell ref="B511:B512"/>
    <mergeCell ref="B503:B504"/>
    <mergeCell ref="B556:B566"/>
    <mergeCell ref="A491:A492"/>
    <mergeCell ref="B539:B542"/>
    <mergeCell ref="M700:M701"/>
    <mergeCell ref="G716:K716"/>
    <mergeCell ref="G715:K715"/>
    <mergeCell ref="G649:K649"/>
    <mergeCell ref="G637:K637"/>
    <mergeCell ref="K554:K555"/>
    <mergeCell ref="G651:K651"/>
    <mergeCell ref="G652:K652"/>
    <mergeCell ref="G700:K701"/>
    <mergeCell ref="G710:K710"/>
    <mergeCell ref="G709:K709"/>
    <mergeCell ref="G636:L636"/>
    <mergeCell ref="G708:K708"/>
    <mergeCell ref="G675:K675"/>
    <mergeCell ref="G673:K673"/>
    <mergeCell ref="G674:K674"/>
    <mergeCell ref="L590:L591"/>
    <mergeCell ref="G584:K584"/>
    <mergeCell ref="G572:K572"/>
    <mergeCell ref="L556:L566"/>
    <mergeCell ref="L575:L577"/>
    <mergeCell ref="L623:L624"/>
    <mergeCell ref="K640:K642"/>
    <mergeCell ref="M699:Q699"/>
    <mergeCell ref="M552:M553"/>
    <mergeCell ref="L640:L642"/>
    <mergeCell ref="M640:M642"/>
    <mergeCell ref="L598:L599"/>
    <mergeCell ref="M575:M577"/>
    <mergeCell ref="M607:M608"/>
    <mergeCell ref="M590:M591"/>
    <mergeCell ref="M598:M599"/>
    <mergeCell ref="L554:L555"/>
    <mergeCell ref="M623:M624"/>
    <mergeCell ref="L601:L602"/>
    <mergeCell ref="L609:L610"/>
    <mergeCell ref="M661:M662"/>
    <mergeCell ref="L570:L571"/>
    <mergeCell ref="M609:M610"/>
    <mergeCell ref="M601:M602"/>
    <mergeCell ref="M570:M572"/>
    <mergeCell ref="L663:L664"/>
    <mergeCell ref="A148:A153"/>
    <mergeCell ref="C171:C175"/>
    <mergeCell ref="G713:K713"/>
    <mergeCell ref="G712:K712"/>
    <mergeCell ref="G604:K604"/>
    <mergeCell ref="G545:K545"/>
    <mergeCell ref="H590:H591"/>
    <mergeCell ref="K556:K566"/>
    <mergeCell ref="J590:J591"/>
    <mergeCell ref="G546:K546"/>
    <mergeCell ref="K598:K599"/>
    <mergeCell ref="K590:K591"/>
    <mergeCell ref="I590:I591"/>
    <mergeCell ref="A539:A542"/>
    <mergeCell ref="A507:A509"/>
    <mergeCell ref="A603:A605"/>
    <mergeCell ref="G605:K605"/>
    <mergeCell ref="C603:C605"/>
    <mergeCell ref="M227:M228"/>
    <mergeCell ref="L268:L269"/>
    <mergeCell ref="M268:Q268"/>
    <mergeCell ref="A243:A252"/>
    <mergeCell ref="M229:M230"/>
    <mergeCell ref="A227:A228"/>
    <mergeCell ref="H245:J245"/>
    <mergeCell ref="B280:B282"/>
    <mergeCell ref="C280:C282"/>
    <mergeCell ref="H280:H282"/>
    <mergeCell ref="I280:I282"/>
    <mergeCell ref="J280:J282"/>
    <mergeCell ref="K280:K282"/>
    <mergeCell ref="L280:L282"/>
    <mergeCell ref="L227:L228"/>
    <mergeCell ref="A233:A236"/>
    <mergeCell ref="A288:A293"/>
    <mergeCell ref="K288:K289"/>
    <mergeCell ref="B288:B293"/>
    <mergeCell ref="C288:C293"/>
    <mergeCell ref="B136:B143"/>
    <mergeCell ref="D94:D100"/>
    <mergeCell ref="C111:C112"/>
    <mergeCell ref="C127:C128"/>
    <mergeCell ref="A177:A179"/>
    <mergeCell ref="A214:A215"/>
    <mergeCell ref="A200:A202"/>
    <mergeCell ref="C204:C205"/>
    <mergeCell ref="B104:B106"/>
    <mergeCell ref="C104:C106"/>
    <mergeCell ref="A160:A163"/>
    <mergeCell ref="A204:A205"/>
    <mergeCell ref="B194:B197"/>
    <mergeCell ref="B200:B202"/>
    <mergeCell ref="B148:B153"/>
    <mergeCell ref="C148:C153"/>
    <mergeCell ref="C136:C143"/>
    <mergeCell ref="G104:G105"/>
    <mergeCell ref="K104:K105"/>
    <mergeCell ref="G106:K106"/>
    <mergeCell ref="A136:A140"/>
    <mergeCell ref="A157:A159"/>
    <mergeCell ref="A154:A155"/>
    <mergeCell ref="B154:B155"/>
    <mergeCell ref="B144:B145"/>
    <mergeCell ref="C144:C145"/>
    <mergeCell ref="L161:L162"/>
    <mergeCell ref="E214:E215"/>
    <mergeCell ref="B229:B230"/>
    <mergeCell ref="K229:K230"/>
    <mergeCell ref="L229:L230"/>
    <mergeCell ref="C219:C221"/>
    <mergeCell ref="G209:G210"/>
    <mergeCell ref="H209:H210"/>
    <mergeCell ref="F223:F224"/>
    <mergeCell ref="B227:B228"/>
    <mergeCell ref="C227:C228"/>
    <mergeCell ref="D227:D228"/>
    <mergeCell ref="E227:E228"/>
    <mergeCell ref="D223:D224"/>
    <mergeCell ref="E223:E224"/>
    <mergeCell ref="D214:D215"/>
    <mergeCell ref="C177:C179"/>
    <mergeCell ref="H223:H224"/>
    <mergeCell ref="I209:I210"/>
    <mergeCell ref="H173:K173"/>
    <mergeCell ref="H174:K174"/>
    <mergeCell ref="C206:C207"/>
    <mergeCell ref="D161:F162"/>
    <mergeCell ref="E219:E220"/>
    <mergeCell ref="K157:K158"/>
    <mergeCell ref="B209:B210"/>
    <mergeCell ref="B243:B252"/>
    <mergeCell ref="C243:C252"/>
    <mergeCell ref="B157:B159"/>
    <mergeCell ref="G235:J235"/>
    <mergeCell ref="G236:J236"/>
    <mergeCell ref="G237:J237"/>
    <mergeCell ref="F243:F252"/>
    <mergeCell ref="G243:J243"/>
    <mergeCell ref="D243:D252"/>
    <mergeCell ref="B219:B221"/>
    <mergeCell ref="K243:K252"/>
    <mergeCell ref="F219:F220"/>
    <mergeCell ref="G223:G224"/>
    <mergeCell ref="I223:I224"/>
    <mergeCell ref="J223:J224"/>
    <mergeCell ref="K223:K224"/>
    <mergeCell ref="B214:B215"/>
    <mergeCell ref="B233:B238"/>
    <mergeCell ref="C233:C238"/>
    <mergeCell ref="C217:C218"/>
    <mergeCell ref="K227:K228"/>
    <mergeCell ref="G221:L221"/>
    <mergeCell ref="C310:C311"/>
    <mergeCell ref="D310:D311"/>
    <mergeCell ref="E310:E311"/>
    <mergeCell ref="F310:F311"/>
    <mergeCell ref="B299:B300"/>
    <mergeCell ref="L299:L300"/>
    <mergeCell ref="A302:A305"/>
    <mergeCell ref="B302:B305"/>
    <mergeCell ref="C302:C305"/>
    <mergeCell ref="K299:K300"/>
    <mergeCell ref="M314:M315"/>
    <mergeCell ref="A316:A317"/>
    <mergeCell ref="B316:B317"/>
    <mergeCell ref="C316:C317"/>
    <mergeCell ref="D316:D317"/>
    <mergeCell ref="E316:E317"/>
    <mergeCell ref="F316:F317"/>
    <mergeCell ref="K316:K317"/>
    <mergeCell ref="L316:L317"/>
    <mergeCell ref="A314:A315"/>
    <mergeCell ref="J314:J315"/>
    <mergeCell ref="K314:K315"/>
    <mergeCell ref="L314:L315"/>
    <mergeCell ref="A299:A300"/>
    <mergeCell ref="A334:A335"/>
    <mergeCell ref="B334:B335"/>
    <mergeCell ref="C334:C335"/>
    <mergeCell ref="D334:D335"/>
    <mergeCell ref="E334:E335"/>
    <mergeCell ref="F334:F335"/>
    <mergeCell ref="G318:J319"/>
    <mergeCell ref="K318:K319"/>
    <mergeCell ref="L318:L319"/>
    <mergeCell ref="F320:F321"/>
    <mergeCell ref="G320:J320"/>
    <mergeCell ref="G321:J321"/>
    <mergeCell ref="F318:F319"/>
    <mergeCell ref="E318:E319"/>
    <mergeCell ref="D318:D319"/>
    <mergeCell ref="D320:D321"/>
    <mergeCell ref="E320:E321"/>
    <mergeCell ref="A340:A343"/>
    <mergeCell ref="B340:B343"/>
    <mergeCell ref="C340:C343"/>
    <mergeCell ref="G340:G341"/>
    <mergeCell ref="H340:H341"/>
    <mergeCell ref="I340:I341"/>
    <mergeCell ref="J340:J341"/>
    <mergeCell ref="K340:K341"/>
    <mergeCell ref="L340:L341"/>
    <mergeCell ref="B367:B368"/>
    <mergeCell ref="C379:C380"/>
    <mergeCell ref="D358:D359"/>
    <mergeCell ref="E358:E359"/>
    <mergeCell ref="F358:F359"/>
    <mergeCell ref="B358:B359"/>
    <mergeCell ref="A392:A393"/>
    <mergeCell ref="B392:B393"/>
    <mergeCell ref="C392:C393"/>
    <mergeCell ref="A379:A380"/>
    <mergeCell ref="B379:B380"/>
    <mergeCell ref="C404:C408"/>
    <mergeCell ref="G404:K404"/>
    <mergeCell ref="A404:A408"/>
    <mergeCell ref="A401:A402"/>
    <mergeCell ref="B401:B402"/>
    <mergeCell ref="C401:C402"/>
    <mergeCell ref="D401:D402"/>
    <mergeCell ref="E401:E402"/>
    <mergeCell ref="F401:F402"/>
    <mergeCell ref="K401:K402"/>
    <mergeCell ref="D408:F40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9"/>
  <sheetViews>
    <sheetView rightToLeft="1" topLeftCell="B1" zoomScale="60" zoomScaleNormal="60" workbookViewId="0">
      <pane ySplit="1" topLeftCell="A125" activePane="bottomLeft" state="frozen"/>
      <selection pane="bottomLeft" activeCell="B125" sqref="B125:B126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1824">
        <v>1</v>
      </c>
      <c r="B2" s="22" t="s">
        <v>1589</v>
      </c>
      <c r="C2" s="1832" t="s">
        <v>380</v>
      </c>
      <c r="D2" s="1829">
        <v>600000000</v>
      </c>
      <c r="E2" s="1830">
        <v>0.06</v>
      </c>
      <c r="F2" s="1829">
        <f>D2*E2</f>
        <v>36000000</v>
      </c>
      <c r="G2" s="1829">
        <v>36000000</v>
      </c>
      <c r="H2" s="1829" t="s">
        <v>3798</v>
      </c>
      <c r="I2" s="1835" t="s">
        <v>1923</v>
      </c>
      <c r="J2" s="1829">
        <f>G2</f>
        <v>36000000</v>
      </c>
      <c r="K2" s="1829">
        <f>F2-J2</f>
        <v>0</v>
      </c>
      <c r="L2" s="1828"/>
    </row>
    <row r="3" spans="1:12" ht="30" customHeight="1" x14ac:dyDescent="0.2">
      <c r="A3" s="1572">
        <v>2</v>
      </c>
      <c r="B3" s="1834" t="s">
        <v>287</v>
      </c>
      <c r="C3" s="1541"/>
      <c r="D3" s="1521">
        <v>300000000</v>
      </c>
      <c r="E3" s="1825">
        <v>0.05</v>
      </c>
      <c r="F3" s="1521">
        <f>D3*E3</f>
        <v>15000000</v>
      </c>
      <c r="G3" s="1521">
        <v>15000000</v>
      </c>
      <c r="H3" s="1521" t="s">
        <v>3696</v>
      </c>
      <c r="I3" s="24" t="s">
        <v>1887</v>
      </c>
      <c r="J3" s="1521">
        <f>G3</f>
        <v>15000000</v>
      </c>
      <c r="K3" s="1521">
        <f>F3-J3</f>
        <v>0</v>
      </c>
      <c r="L3" s="1568"/>
    </row>
    <row r="4" spans="1:12" ht="30" customHeight="1" x14ac:dyDescent="0.2">
      <c r="A4" s="1572">
        <v>3</v>
      </c>
      <c r="B4" s="22" t="s">
        <v>290</v>
      </c>
      <c r="C4" s="1541" t="s">
        <v>367</v>
      </c>
      <c r="D4" s="1521">
        <v>36000000</v>
      </c>
      <c r="E4" s="1569">
        <v>7.0000000000000007E-2</v>
      </c>
      <c r="F4" s="1521">
        <v>2500000</v>
      </c>
      <c r="G4" s="1521">
        <v>2500000</v>
      </c>
      <c r="H4" s="1521" t="s">
        <v>3696</v>
      </c>
      <c r="I4" s="28" t="s">
        <v>3708</v>
      </c>
      <c r="J4" s="1521">
        <f>G4</f>
        <v>2500000</v>
      </c>
      <c r="K4" s="1521">
        <f>F4-J4</f>
        <v>0</v>
      </c>
      <c r="L4" s="1568"/>
    </row>
    <row r="5" spans="1:12" ht="30" customHeight="1" x14ac:dyDescent="0.2">
      <c r="A5" s="3450">
        <v>4</v>
      </c>
      <c r="B5" s="3457" t="s">
        <v>315</v>
      </c>
      <c r="C5" s="3570"/>
      <c r="D5" s="1521">
        <v>535000000</v>
      </c>
      <c r="E5" s="1569">
        <v>5.7000000000000002E-2</v>
      </c>
      <c r="F5" s="1521">
        <v>30000000</v>
      </c>
      <c r="G5" s="1521">
        <v>30000000</v>
      </c>
      <c r="H5" s="1521" t="s">
        <v>3635</v>
      </c>
      <c r="I5" s="28" t="s">
        <v>1636</v>
      </c>
      <c r="J5" s="1521">
        <f>G5</f>
        <v>30000000</v>
      </c>
      <c r="K5" s="1521">
        <f>F5-J5</f>
        <v>0</v>
      </c>
      <c r="L5" s="1568"/>
    </row>
    <row r="6" spans="1:12" ht="30" customHeight="1" x14ac:dyDescent="0.2">
      <c r="A6" s="3456"/>
      <c r="B6" s="3459"/>
      <c r="C6" s="3576"/>
      <c r="D6" s="1611"/>
      <c r="E6" s="1621"/>
      <c r="F6" s="1611"/>
      <c r="G6" s="3478" t="s">
        <v>3551</v>
      </c>
      <c r="H6" s="3479"/>
      <c r="I6" s="3479"/>
      <c r="J6" s="3480"/>
      <c r="K6" s="1611"/>
      <c r="L6" s="1623"/>
    </row>
    <row r="7" spans="1:12" ht="30" customHeight="1" x14ac:dyDescent="0.2">
      <c r="A7" s="3451"/>
      <c r="B7" s="3458"/>
      <c r="C7" s="3571"/>
      <c r="D7" s="1611"/>
      <c r="E7" s="1621"/>
      <c r="F7" s="1611"/>
      <c r="G7" s="3478" t="s">
        <v>3552</v>
      </c>
      <c r="H7" s="3479"/>
      <c r="I7" s="3479"/>
      <c r="J7" s="3480"/>
      <c r="K7" s="1611"/>
      <c r="L7" s="1623"/>
    </row>
    <row r="8" spans="1:12" ht="30" customHeight="1" x14ac:dyDescent="0.2">
      <c r="A8" s="1629"/>
      <c r="B8" s="1627"/>
      <c r="C8" s="1642"/>
      <c r="D8" s="1633">
        <v>700000000</v>
      </c>
      <c r="E8" s="1652">
        <f>F8/D8</f>
        <v>6.2857142857142861E-2</v>
      </c>
      <c r="F8" s="1633">
        <v>44000000</v>
      </c>
      <c r="G8" s="3478" t="s">
        <v>3612</v>
      </c>
      <c r="H8" s="3479"/>
      <c r="I8" s="3479"/>
      <c r="J8" s="3480"/>
      <c r="K8" s="1633"/>
      <c r="L8" s="1651"/>
    </row>
    <row r="9" spans="1:12" ht="30" customHeight="1" x14ac:dyDescent="0.2">
      <c r="A9" s="1572">
        <v>5</v>
      </c>
      <c r="B9" s="22" t="s">
        <v>323</v>
      </c>
      <c r="C9" s="1541" t="s">
        <v>380</v>
      </c>
      <c r="D9" s="1521">
        <v>20000000</v>
      </c>
      <c r="E9" s="1569">
        <v>7.0000000000000007E-2</v>
      </c>
      <c r="F9" s="1521">
        <v>1400000</v>
      </c>
      <c r="G9" s="1521">
        <v>1400000</v>
      </c>
      <c r="H9" s="1521" t="s">
        <v>3696</v>
      </c>
      <c r="I9" s="28" t="s">
        <v>1952</v>
      </c>
      <c r="J9" s="1521">
        <f t="shared" ref="J9:J14" si="0">G9</f>
        <v>1400000</v>
      </c>
      <c r="K9" s="1521">
        <f t="shared" ref="K9:K14" si="1">F9-J9</f>
        <v>0</v>
      </c>
      <c r="L9" s="33" t="s">
        <v>326</v>
      </c>
    </row>
    <row r="10" spans="1:12" ht="30" customHeight="1" x14ac:dyDescent="0.2">
      <c r="A10" s="1514">
        <v>6</v>
      </c>
      <c r="B10" s="1567" t="s">
        <v>416</v>
      </c>
      <c r="C10" s="1540"/>
      <c r="D10" s="1521">
        <v>15000000</v>
      </c>
      <c r="E10" s="1569">
        <v>0.05</v>
      </c>
      <c r="F10" s="1521">
        <f t="shared" ref="F10:F16" si="2">D10*E10</f>
        <v>750000</v>
      </c>
      <c r="G10" s="1521"/>
      <c r="H10" s="1521"/>
      <c r="I10" s="28"/>
      <c r="J10" s="1521">
        <f t="shared" si="0"/>
        <v>0</v>
      </c>
      <c r="K10" s="1521">
        <f t="shared" si="1"/>
        <v>750000</v>
      </c>
      <c r="L10" s="683"/>
    </row>
    <row r="11" spans="1:12" ht="30" customHeight="1" x14ac:dyDescent="0.2">
      <c r="A11" s="1514">
        <v>7</v>
      </c>
      <c r="B11" s="1567" t="s">
        <v>104</v>
      </c>
      <c r="C11" s="1540" t="s">
        <v>916</v>
      </c>
      <c r="D11" s="1521">
        <v>45000000</v>
      </c>
      <c r="E11" s="1569">
        <v>0.05</v>
      </c>
      <c r="F11" s="1521">
        <f t="shared" si="2"/>
        <v>2250000</v>
      </c>
      <c r="G11" s="1521">
        <v>2250000</v>
      </c>
      <c r="H11" s="1521" t="s">
        <v>3553</v>
      </c>
      <c r="I11" s="30" t="s">
        <v>3556</v>
      </c>
      <c r="J11" s="1521">
        <f t="shared" si="0"/>
        <v>2250000</v>
      </c>
      <c r="K11" s="1521">
        <f t="shared" si="1"/>
        <v>0</v>
      </c>
      <c r="L11" s="786"/>
    </row>
    <row r="12" spans="1:12" ht="30" customHeight="1" x14ac:dyDescent="0.2">
      <c r="A12" s="1514">
        <v>8</v>
      </c>
      <c r="B12" s="22" t="s">
        <v>356</v>
      </c>
      <c r="C12" s="1571" t="s">
        <v>1346</v>
      </c>
      <c r="D12" s="1542">
        <v>400000000</v>
      </c>
      <c r="E12" s="1569">
        <v>4.4999999999999998E-2</v>
      </c>
      <c r="F12" s="1542">
        <f t="shared" si="2"/>
        <v>18000000</v>
      </c>
      <c r="G12" s="1542">
        <v>18000000</v>
      </c>
      <c r="H12" s="1521" t="s">
        <v>3814</v>
      </c>
      <c r="I12" s="28" t="s">
        <v>2161</v>
      </c>
      <c r="J12" s="1521">
        <f t="shared" si="0"/>
        <v>18000000</v>
      </c>
      <c r="K12" s="1542">
        <f t="shared" si="1"/>
        <v>0</v>
      </c>
      <c r="L12" s="1522"/>
    </row>
    <row r="13" spans="1:12" ht="30" customHeight="1" x14ac:dyDescent="0.2">
      <c r="A13" s="1572">
        <v>9</v>
      </c>
      <c r="B13" s="1568" t="s">
        <v>387</v>
      </c>
      <c r="C13" s="1541" t="s">
        <v>379</v>
      </c>
      <c r="D13" s="1521">
        <v>10000000</v>
      </c>
      <c r="E13" s="1518">
        <v>0.05</v>
      </c>
      <c r="F13" s="1521">
        <f t="shared" si="2"/>
        <v>500000</v>
      </c>
      <c r="G13" s="1521">
        <v>500000</v>
      </c>
      <c r="H13" s="1521" t="s">
        <v>3696</v>
      </c>
      <c r="I13" s="28" t="s">
        <v>1031</v>
      </c>
      <c r="J13" s="1521">
        <f t="shared" si="0"/>
        <v>500000</v>
      </c>
      <c r="K13" s="1521">
        <f t="shared" si="1"/>
        <v>0</v>
      </c>
      <c r="L13" s="33"/>
    </row>
    <row r="14" spans="1:12" ht="30" customHeight="1" x14ac:dyDescent="0.2">
      <c r="A14" s="1572">
        <v>10</v>
      </c>
      <c r="B14" s="1567" t="s">
        <v>1029</v>
      </c>
      <c r="C14" s="1571" t="s">
        <v>1909</v>
      </c>
      <c r="D14" s="1521">
        <v>180000000</v>
      </c>
      <c r="E14" s="1569">
        <v>7.0000000000000007E-2</v>
      </c>
      <c r="F14" s="1521">
        <f t="shared" si="2"/>
        <v>12600000.000000002</v>
      </c>
      <c r="G14" s="1521">
        <v>12600000</v>
      </c>
      <c r="H14" s="1521" t="s">
        <v>3908</v>
      </c>
      <c r="I14" s="28" t="s">
        <v>2502</v>
      </c>
      <c r="J14" s="1521">
        <f t="shared" si="0"/>
        <v>12600000</v>
      </c>
      <c r="K14" s="1521">
        <f t="shared" si="1"/>
        <v>0</v>
      </c>
      <c r="L14" s="192" t="s">
        <v>3332</v>
      </c>
    </row>
    <row r="15" spans="1:12" ht="30" customHeight="1" x14ac:dyDescent="0.2">
      <c r="A15" s="3450">
        <v>11</v>
      </c>
      <c r="B15" s="3687" t="s">
        <v>402</v>
      </c>
      <c r="C15" s="1541" t="s">
        <v>367</v>
      </c>
      <c r="D15" s="1542">
        <v>15000000</v>
      </c>
      <c r="E15" s="1569">
        <v>7.0000000000000007E-2</v>
      </c>
      <c r="F15" s="1542">
        <f t="shared" si="2"/>
        <v>1050000</v>
      </c>
      <c r="G15" s="1521">
        <v>1050000</v>
      </c>
      <c r="H15" s="1521" t="s">
        <v>3814</v>
      </c>
      <c r="I15" s="30" t="s">
        <v>3815</v>
      </c>
      <c r="J15" s="3442">
        <f>G15+G16</f>
        <v>1050000</v>
      </c>
      <c r="K15" s="3442">
        <f>(F15+F16)-J15</f>
        <v>250000</v>
      </c>
      <c r="L15" s="3466"/>
    </row>
    <row r="16" spans="1:12" ht="30" customHeight="1" x14ac:dyDescent="0.2">
      <c r="A16" s="3456"/>
      <c r="B16" s="3687"/>
      <c r="C16" s="1541" t="s">
        <v>1110</v>
      </c>
      <c r="D16" s="1542">
        <v>5000000</v>
      </c>
      <c r="E16" s="1569">
        <v>0.05</v>
      </c>
      <c r="F16" s="1542">
        <f t="shared" si="2"/>
        <v>250000</v>
      </c>
      <c r="G16" s="1521"/>
      <c r="H16" s="1521"/>
      <c r="I16" s="57"/>
      <c r="J16" s="3443"/>
      <c r="K16" s="3443"/>
      <c r="L16" s="3467"/>
    </row>
    <row r="17" spans="1:12" ht="30" customHeight="1" x14ac:dyDescent="0.2">
      <c r="A17" s="3693">
        <v>12</v>
      </c>
      <c r="B17" s="3457" t="s">
        <v>408</v>
      </c>
      <c r="C17" s="1541" t="s">
        <v>1215</v>
      </c>
      <c r="D17" s="1521">
        <v>75000000</v>
      </c>
      <c r="E17" s="1518"/>
      <c r="F17" s="1521">
        <v>3750000</v>
      </c>
      <c r="G17" s="1521">
        <v>3750000</v>
      </c>
      <c r="H17" s="1521" t="s">
        <v>3557</v>
      </c>
      <c r="I17" s="57" t="s">
        <v>410</v>
      </c>
      <c r="J17" s="1521">
        <f>G17</f>
        <v>3750000</v>
      </c>
      <c r="K17" s="1521">
        <f>F17-J17</f>
        <v>0</v>
      </c>
      <c r="L17" s="1816" t="s">
        <v>3852</v>
      </c>
    </row>
    <row r="18" spans="1:12" ht="30" customHeight="1" x14ac:dyDescent="0.2">
      <c r="A18" s="3693"/>
      <c r="B18" s="3458"/>
      <c r="C18" s="1832"/>
      <c r="D18" s="3386"/>
      <c r="E18" s="3656"/>
      <c r="F18" s="3657"/>
      <c r="G18" s="1826">
        <v>22000000</v>
      </c>
      <c r="H18" s="1826" t="s">
        <v>2733</v>
      </c>
      <c r="I18" s="1848" t="s">
        <v>3866</v>
      </c>
      <c r="J18" s="1826">
        <f>G18</f>
        <v>22000000</v>
      </c>
      <c r="K18" s="1826"/>
      <c r="L18" s="1837"/>
    </row>
    <row r="19" spans="1:12" ht="30" customHeight="1" x14ac:dyDescent="0.2">
      <c r="A19" s="3456"/>
      <c r="B19" s="3457" t="s">
        <v>429</v>
      </c>
      <c r="C19" s="3576" t="s">
        <v>367</v>
      </c>
      <c r="D19" s="1521">
        <v>80000000</v>
      </c>
      <c r="E19" s="1518">
        <v>0.06</v>
      </c>
      <c r="F19" s="1521">
        <f t="shared" ref="F19:F25" si="3">D19*E19</f>
        <v>4800000</v>
      </c>
      <c r="G19" s="3738">
        <v>11800000</v>
      </c>
      <c r="H19" s="3738" t="s">
        <v>3721</v>
      </c>
      <c r="I19" s="3738" t="s">
        <v>2066</v>
      </c>
      <c r="J19" s="3442">
        <f>G19</f>
        <v>11800000</v>
      </c>
      <c r="K19" s="3442">
        <f>(F19+F20)-J19</f>
        <v>0</v>
      </c>
      <c r="L19" s="3468" t="s">
        <v>2865</v>
      </c>
    </row>
    <row r="20" spans="1:12" ht="30" customHeight="1" x14ac:dyDescent="0.2">
      <c r="A20" s="3451"/>
      <c r="B20" s="3458"/>
      <c r="C20" s="3571"/>
      <c r="D20" s="1521">
        <v>100000000</v>
      </c>
      <c r="E20" s="1518">
        <v>7.0000000000000007E-2</v>
      </c>
      <c r="F20" s="1521">
        <f t="shared" si="3"/>
        <v>7000000.0000000009</v>
      </c>
      <c r="G20" s="3739"/>
      <c r="H20" s="3739"/>
      <c r="I20" s="3739"/>
      <c r="J20" s="3443"/>
      <c r="K20" s="3443"/>
      <c r="L20" s="3469"/>
    </row>
    <row r="21" spans="1:12" ht="30" customHeight="1" x14ac:dyDescent="0.2">
      <c r="A21" s="1516">
        <v>14</v>
      </c>
      <c r="B21" s="1513" t="s">
        <v>437</v>
      </c>
      <c r="C21" s="1541" t="s">
        <v>1355</v>
      </c>
      <c r="D21" s="1521">
        <v>150000000</v>
      </c>
      <c r="E21" s="1518">
        <v>0.04</v>
      </c>
      <c r="F21" s="1521">
        <f t="shared" si="3"/>
        <v>6000000</v>
      </c>
      <c r="G21" s="1521">
        <v>6000000</v>
      </c>
      <c r="H21" s="1521" t="s">
        <v>3721</v>
      </c>
      <c r="I21" s="69" t="s">
        <v>439</v>
      </c>
      <c r="J21" s="1521">
        <f t="shared" ref="J21:J26" si="4">G21</f>
        <v>6000000</v>
      </c>
      <c r="K21" s="1521">
        <f t="shared" ref="K21:K26" si="5">F21-J21</f>
        <v>0</v>
      </c>
      <c r="L21" s="1523"/>
    </row>
    <row r="22" spans="1:12" ht="30" customHeight="1" x14ac:dyDescent="0.2">
      <c r="A22" s="1516">
        <v>15</v>
      </c>
      <c r="B22" s="1513" t="s">
        <v>445</v>
      </c>
      <c r="C22" s="1541"/>
      <c r="D22" s="1521">
        <v>13000000</v>
      </c>
      <c r="E22" s="1518">
        <v>0.05</v>
      </c>
      <c r="F22" s="1521">
        <f t="shared" si="3"/>
        <v>650000</v>
      </c>
      <c r="G22" s="1521">
        <v>650000</v>
      </c>
      <c r="H22" s="1521" t="s">
        <v>3745</v>
      </c>
      <c r="I22" s="69" t="s">
        <v>3746</v>
      </c>
      <c r="J22" s="1521">
        <f t="shared" si="4"/>
        <v>650000</v>
      </c>
      <c r="K22" s="1521">
        <f t="shared" si="5"/>
        <v>0</v>
      </c>
      <c r="L22" s="1523"/>
    </row>
    <row r="23" spans="1:12" ht="30" customHeight="1" x14ac:dyDescent="0.2">
      <c r="A23" s="1572">
        <v>16</v>
      </c>
      <c r="B23" s="22" t="s">
        <v>498</v>
      </c>
      <c r="C23" s="1571"/>
      <c r="D23" s="1542">
        <v>80000000</v>
      </c>
      <c r="E23" s="1569">
        <v>0.04</v>
      </c>
      <c r="F23" s="1542">
        <f t="shared" si="3"/>
        <v>3200000</v>
      </c>
      <c r="G23" s="1616">
        <v>3200000</v>
      </c>
      <c r="H23" s="1616" t="s">
        <v>3570</v>
      </c>
      <c r="I23" s="1663" t="s">
        <v>2694</v>
      </c>
      <c r="J23" s="1616">
        <f t="shared" si="4"/>
        <v>3200000</v>
      </c>
      <c r="K23" s="1542">
        <f t="shared" si="5"/>
        <v>0</v>
      </c>
      <c r="L23" s="53"/>
    </row>
    <row r="24" spans="1:12" ht="30" customHeight="1" x14ac:dyDescent="0.2">
      <c r="A24" s="1516">
        <v>17</v>
      </c>
      <c r="B24" s="1513" t="s">
        <v>768</v>
      </c>
      <c r="C24" s="1541" t="s">
        <v>1344</v>
      </c>
      <c r="D24" s="1521">
        <v>100000000</v>
      </c>
      <c r="E24" s="1518">
        <v>0.06</v>
      </c>
      <c r="F24" s="1521">
        <f t="shared" si="3"/>
        <v>6000000</v>
      </c>
      <c r="G24" s="1521">
        <v>6000000</v>
      </c>
      <c r="H24" s="1521" t="s">
        <v>3830</v>
      </c>
      <c r="I24" s="69" t="s">
        <v>3343</v>
      </c>
      <c r="J24" s="1521">
        <f t="shared" si="4"/>
        <v>6000000</v>
      </c>
      <c r="K24" s="1521">
        <f t="shared" si="5"/>
        <v>0</v>
      </c>
      <c r="L24" s="1523"/>
    </row>
    <row r="25" spans="1:12" ht="30" customHeight="1" x14ac:dyDescent="0.2">
      <c r="A25" s="1516">
        <v>18</v>
      </c>
      <c r="B25" s="1513" t="s">
        <v>567</v>
      </c>
      <c r="C25" s="1541" t="s">
        <v>1355</v>
      </c>
      <c r="D25" s="1521">
        <v>50000000</v>
      </c>
      <c r="E25" s="1518">
        <v>0.05</v>
      </c>
      <c r="F25" s="1521">
        <f t="shared" si="3"/>
        <v>2500000</v>
      </c>
      <c r="G25" s="1521">
        <v>2500000</v>
      </c>
      <c r="H25" s="1521" t="s">
        <v>3733</v>
      </c>
      <c r="I25" s="69" t="s">
        <v>3109</v>
      </c>
      <c r="J25" s="1521">
        <f t="shared" si="4"/>
        <v>2500000</v>
      </c>
      <c r="K25" s="1521">
        <f t="shared" si="5"/>
        <v>0</v>
      </c>
      <c r="L25" s="1523"/>
    </row>
    <row r="26" spans="1:12" ht="30" customHeight="1" x14ac:dyDescent="0.2">
      <c r="A26" s="3450">
        <v>19</v>
      </c>
      <c r="B26" s="3687" t="s">
        <v>574</v>
      </c>
      <c r="C26" s="3686"/>
      <c r="D26" s="1774">
        <v>50000000</v>
      </c>
      <c r="E26" s="3462">
        <f>F26/(D26+D27)</f>
        <v>0.05</v>
      </c>
      <c r="F26" s="3454">
        <v>3250000</v>
      </c>
      <c r="G26" s="3442">
        <v>3250000</v>
      </c>
      <c r="H26" s="3442" t="s">
        <v>3798</v>
      </c>
      <c r="I26" s="3582" t="s">
        <v>3807</v>
      </c>
      <c r="J26" s="3442">
        <f t="shared" si="4"/>
        <v>3250000</v>
      </c>
      <c r="K26" s="3442">
        <f t="shared" si="5"/>
        <v>0</v>
      </c>
      <c r="L26" s="1788" t="s">
        <v>2121</v>
      </c>
    </row>
    <row r="27" spans="1:12" ht="30" customHeight="1" x14ac:dyDescent="0.2">
      <c r="A27" s="3456"/>
      <c r="B27" s="3687"/>
      <c r="C27" s="3686"/>
      <c r="D27" s="1774">
        <v>15000000</v>
      </c>
      <c r="E27" s="3463"/>
      <c r="F27" s="3455"/>
      <c r="G27" s="3443"/>
      <c r="H27" s="3443"/>
      <c r="I27" s="3583"/>
      <c r="J27" s="3443"/>
      <c r="K27" s="3443"/>
      <c r="L27" s="1788" t="s">
        <v>3047</v>
      </c>
    </row>
    <row r="28" spans="1:12" ht="30" customHeight="1" x14ac:dyDescent="0.2">
      <c r="A28" s="1516">
        <v>20</v>
      </c>
      <c r="B28" s="1513" t="s">
        <v>621</v>
      </c>
      <c r="C28" s="1541"/>
      <c r="D28" s="1521">
        <v>32000000</v>
      </c>
      <c r="E28" s="1518">
        <v>0.05</v>
      </c>
      <c r="F28" s="1521">
        <v>1600000</v>
      </c>
      <c r="G28" s="3442"/>
      <c r="H28" s="3442"/>
      <c r="I28" s="3582"/>
      <c r="J28" s="3442">
        <f>G28</f>
        <v>0</v>
      </c>
      <c r="K28" s="3442">
        <f>(F28+F29)-J28</f>
        <v>2050000</v>
      </c>
      <c r="L28" s="3607"/>
    </row>
    <row r="29" spans="1:12" ht="30" customHeight="1" x14ac:dyDescent="0.2">
      <c r="A29" s="1516">
        <v>21</v>
      </c>
      <c r="B29" s="1513" t="s">
        <v>1639</v>
      </c>
      <c r="C29" s="1541"/>
      <c r="D29" s="1521">
        <v>10000000</v>
      </c>
      <c r="E29" s="1518">
        <v>4.4999999999999998E-2</v>
      </c>
      <c r="F29" s="1521">
        <f>D29*E29</f>
        <v>450000</v>
      </c>
      <c r="G29" s="3443"/>
      <c r="H29" s="3443"/>
      <c r="I29" s="3583"/>
      <c r="J29" s="3443"/>
      <c r="K29" s="3443"/>
      <c r="L29" s="3609"/>
    </row>
    <row r="30" spans="1:12" ht="30" customHeight="1" x14ac:dyDescent="0.2">
      <c r="A30" s="1516">
        <v>22</v>
      </c>
      <c r="B30" s="22" t="s">
        <v>674</v>
      </c>
      <c r="C30" s="1571" t="s">
        <v>1342</v>
      </c>
      <c r="D30" s="1521">
        <v>300000000</v>
      </c>
      <c r="E30" s="1518">
        <v>0.05</v>
      </c>
      <c r="F30" s="1521">
        <f>D30*E30</f>
        <v>15000000</v>
      </c>
      <c r="G30" s="1521">
        <v>15000000</v>
      </c>
      <c r="H30" s="1521" t="s">
        <v>3830</v>
      </c>
      <c r="I30" s="69" t="s">
        <v>2294</v>
      </c>
      <c r="J30" s="1542">
        <f>G30</f>
        <v>15000000</v>
      </c>
      <c r="K30" s="1542">
        <f>F30-J30</f>
        <v>0</v>
      </c>
      <c r="L30" s="53"/>
    </row>
    <row r="31" spans="1:12" ht="30" customHeight="1" x14ac:dyDescent="0.2">
      <c r="A31" s="1081">
        <v>23</v>
      </c>
      <c r="B31" s="22" t="s">
        <v>2247</v>
      </c>
      <c r="C31" s="1754" t="s">
        <v>2130</v>
      </c>
      <c r="D31" s="1521">
        <v>150000000</v>
      </c>
      <c r="E31" s="1518">
        <v>7.0000000000000007E-2</v>
      </c>
      <c r="F31" s="1521">
        <f>D31*E31</f>
        <v>10500000.000000002</v>
      </c>
      <c r="G31" s="1807">
        <v>10500000</v>
      </c>
      <c r="H31" s="1810" t="s">
        <v>3830</v>
      </c>
      <c r="I31" s="69" t="s">
        <v>3842</v>
      </c>
      <c r="J31" s="1811">
        <f>G31</f>
        <v>10500000</v>
      </c>
      <c r="K31" s="1542">
        <f>F31-G31</f>
        <v>0</v>
      </c>
      <c r="L31" s="683"/>
    </row>
    <row r="32" spans="1:12" ht="30" customHeight="1" x14ac:dyDescent="0.2">
      <c r="A32" s="1081"/>
      <c r="B32" s="22" t="s">
        <v>3756</v>
      </c>
      <c r="C32" s="1754" t="s">
        <v>2130</v>
      </c>
      <c r="D32" s="1732">
        <v>70000000</v>
      </c>
      <c r="E32" s="1733">
        <v>0.06</v>
      </c>
      <c r="F32" s="1732">
        <f>D32*E32</f>
        <v>4200000</v>
      </c>
      <c r="G32" s="1807">
        <v>950000</v>
      </c>
      <c r="H32" s="1810" t="s">
        <v>3830</v>
      </c>
      <c r="I32" s="69" t="s">
        <v>3843</v>
      </c>
      <c r="J32" s="1811">
        <f>G32</f>
        <v>950000</v>
      </c>
      <c r="K32" s="1732">
        <v>0</v>
      </c>
      <c r="L32" s="33" t="s">
        <v>3844</v>
      </c>
    </row>
    <row r="33" spans="1:14" ht="30" customHeight="1" x14ac:dyDescent="0.2">
      <c r="A33" s="1516">
        <v>25</v>
      </c>
      <c r="B33" s="1513" t="s">
        <v>738</v>
      </c>
      <c r="C33" s="1541" t="s">
        <v>1351</v>
      </c>
      <c r="D33" s="1521">
        <v>35000000</v>
      </c>
      <c r="E33" s="1518">
        <v>5.8000000000000003E-2</v>
      </c>
      <c r="F33" s="1521">
        <v>2000000</v>
      </c>
      <c r="G33" s="1521">
        <v>2000000</v>
      </c>
      <c r="H33" s="1535" t="s">
        <v>1232</v>
      </c>
      <c r="I33" s="69" t="s">
        <v>2314</v>
      </c>
      <c r="J33" s="1521">
        <f>G33</f>
        <v>2000000</v>
      </c>
      <c r="K33" s="1521">
        <f>F33-G33</f>
        <v>0</v>
      </c>
      <c r="L33" s="1527"/>
    </row>
    <row r="34" spans="1:14" ht="30" customHeight="1" x14ac:dyDescent="0.2">
      <c r="A34" s="3693">
        <v>26</v>
      </c>
      <c r="B34" s="3894" t="s">
        <v>828</v>
      </c>
      <c r="C34" s="3686" t="s">
        <v>1817</v>
      </c>
      <c r="D34" s="1771">
        <v>500000000</v>
      </c>
      <c r="E34" s="479">
        <v>4.4999999999999998E-2</v>
      </c>
      <c r="F34" s="1771">
        <f t="shared" ref="F34:F44" si="6">D34*E34</f>
        <v>22500000</v>
      </c>
      <c r="G34" s="247">
        <v>22500000</v>
      </c>
      <c r="H34" s="1542" t="s">
        <v>3621</v>
      </c>
      <c r="I34" s="685" t="s">
        <v>3291</v>
      </c>
      <c r="J34" s="1548">
        <f>G34</f>
        <v>22500000</v>
      </c>
      <c r="K34" s="1542">
        <f t="shared" ref="K34:K44" si="7">F34-J34</f>
        <v>0</v>
      </c>
      <c r="L34" s="683"/>
    </row>
    <row r="35" spans="1:14" ht="30" customHeight="1" x14ac:dyDescent="0.2">
      <c r="A35" s="3693"/>
      <c r="B35" s="3894"/>
      <c r="C35" s="3686"/>
      <c r="D35" s="1778">
        <v>386000000</v>
      </c>
      <c r="E35" s="1781">
        <v>0.05</v>
      </c>
      <c r="F35" s="1778">
        <f t="shared" si="6"/>
        <v>19300000</v>
      </c>
      <c r="G35" s="247">
        <v>36000000</v>
      </c>
      <c r="H35" s="1643" t="s">
        <v>3599</v>
      </c>
      <c r="I35" s="685" t="s">
        <v>3606</v>
      </c>
      <c r="J35" s="1645">
        <f t="shared" ref="J35" si="8">G35</f>
        <v>36000000</v>
      </c>
      <c r="K35" s="1542">
        <f t="shared" si="7"/>
        <v>-16700000</v>
      </c>
      <c r="L35" s="192" t="s">
        <v>3607</v>
      </c>
    </row>
    <row r="36" spans="1:14" ht="30" customHeight="1" x14ac:dyDescent="0.2">
      <c r="A36" s="3693"/>
      <c r="B36" s="3894"/>
      <c r="C36" s="3686"/>
      <c r="D36" s="1771">
        <v>350000000</v>
      </c>
      <c r="E36" s="479">
        <v>0.05</v>
      </c>
      <c r="F36" s="1771">
        <f t="shared" si="6"/>
        <v>17500000</v>
      </c>
      <c r="G36" s="247"/>
      <c r="H36" s="1643"/>
      <c r="I36" s="685"/>
      <c r="J36" s="1645"/>
      <c r="K36" s="1631"/>
      <c r="L36" s="192"/>
    </row>
    <row r="37" spans="1:14" ht="30" customHeight="1" x14ac:dyDescent="0.2">
      <c r="A37" s="3450"/>
      <c r="B37" s="3839" t="s">
        <v>828</v>
      </c>
      <c r="C37" s="3570" t="s">
        <v>1817</v>
      </c>
      <c r="D37" s="3521" t="s">
        <v>3865</v>
      </c>
      <c r="E37" s="3613"/>
      <c r="F37" s="3522"/>
      <c r="G37" s="247">
        <v>37500000</v>
      </c>
      <c r="H37" s="1829" t="s">
        <v>2733</v>
      </c>
      <c r="I37" s="685" t="s">
        <v>3291</v>
      </c>
      <c r="J37" s="3659">
        <f>G37+G38</f>
        <v>57500000</v>
      </c>
      <c r="K37" s="3442">
        <f>57500000-J37</f>
        <v>0</v>
      </c>
      <c r="L37" s="192"/>
    </row>
    <row r="38" spans="1:14" ht="30" customHeight="1" x14ac:dyDescent="0.2">
      <c r="A38" s="3451"/>
      <c r="B38" s="3840"/>
      <c r="C38" s="3571"/>
      <c r="D38" s="3523"/>
      <c r="E38" s="3614"/>
      <c r="F38" s="3524"/>
      <c r="G38" s="247">
        <v>20000000</v>
      </c>
      <c r="H38" s="1829" t="s">
        <v>2603</v>
      </c>
      <c r="I38" s="685" t="s">
        <v>3606</v>
      </c>
      <c r="J38" s="3661"/>
      <c r="K38" s="3443"/>
      <c r="L38" s="192"/>
    </row>
    <row r="39" spans="1:14" ht="30" customHeight="1" x14ac:dyDescent="0.2">
      <c r="A39" s="1773"/>
      <c r="B39" s="1846" t="s">
        <v>828</v>
      </c>
      <c r="C39" s="1779" t="s">
        <v>367</v>
      </c>
      <c r="D39" s="1839">
        <v>700000000</v>
      </c>
      <c r="E39" s="1847">
        <v>0.05</v>
      </c>
      <c r="F39" s="1839">
        <f t="shared" si="6"/>
        <v>35000000</v>
      </c>
      <c r="G39" s="3863" t="s">
        <v>3824</v>
      </c>
      <c r="H39" s="3864"/>
      <c r="I39" s="3864"/>
      <c r="J39" s="3865"/>
      <c r="K39" s="1826"/>
      <c r="L39" s="192"/>
    </row>
    <row r="40" spans="1:14" ht="30" customHeight="1" x14ac:dyDescent="0.2">
      <c r="A40" s="1514">
        <v>27</v>
      </c>
      <c r="B40" s="1567" t="s">
        <v>832</v>
      </c>
      <c r="C40" s="1540" t="s">
        <v>1354</v>
      </c>
      <c r="D40" s="1519">
        <v>500000000</v>
      </c>
      <c r="E40" s="1517">
        <v>7.0000000000000007E-2</v>
      </c>
      <c r="F40" s="1519">
        <f t="shared" si="6"/>
        <v>35000000</v>
      </c>
      <c r="G40" s="1520">
        <v>35000000</v>
      </c>
      <c r="H40" s="1573" t="s">
        <v>3850</v>
      </c>
      <c r="I40" s="1591" t="s">
        <v>2420</v>
      </c>
      <c r="J40" s="1519">
        <f t="shared" ref="J40:J45" si="9">G40</f>
        <v>35000000</v>
      </c>
      <c r="K40" s="1519">
        <f t="shared" si="7"/>
        <v>0</v>
      </c>
      <c r="L40" s="1522"/>
    </row>
    <row r="41" spans="1:14" ht="30" customHeight="1" x14ac:dyDescent="0.2">
      <c r="A41" s="1572"/>
      <c r="B41" s="22" t="s">
        <v>3505</v>
      </c>
      <c r="C41" s="1571" t="s">
        <v>1354</v>
      </c>
      <c r="D41" s="1542">
        <v>700000000</v>
      </c>
      <c r="E41" s="1569">
        <v>0.06</v>
      </c>
      <c r="F41" s="1542">
        <f t="shared" si="6"/>
        <v>42000000</v>
      </c>
      <c r="G41" s="1542">
        <v>40000000</v>
      </c>
      <c r="H41" s="1542" t="s">
        <v>3850</v>
      </c>
      <c r="I41" s="1542" t="s">
        <v>846</v>
      </c>
      <c r="J41" s="1542">
        <f t="shared" si="9"/>
        <v>40000000</v>
      </c>
      <c r="K41" s="1542">
        <f t="shared" si="7"/>
        <v>2000000</v>
      </c>
      <c r="L41" s="1527" t="s">
        <v>3446</v>
      </c>
    </row>
    <row r="42" spans="1:14" ht="30" customHeight="1" x14ac:dyDescent="0.2">
      <c r="A42" s="1516">
        <v>29</v>
      </c>
      <c r="B42" s="1570" t="s">
        <v>865</v>
      </c>
      <c r="C42" s="1571" t="s">
        <v>1378</v>
      </c>
      <c r="D42" s="1521">
        <v>42000000</v>
      </c>
      <c r="E42" s="1518">
        <v>7.0000000000000007E-2</v>
      </c>
      <c r="F42" s="1521">
        <f t="shared" si="6"/>
        <v>2940000.0000000005</v>
      </c>
      <c r="G42" s="1521">
        <v>2940000</v>
      </c>
      <c r="H42" s="1535" t="s">
        <v>1232</v>
      </c>
      <c r="I42" s="69" t="s">
        <v>3325</v>
      </c>
      <c r="J42" s="1521">
        <f t="shared" si="9"/>
        <v>2940000</v>
      </c>
      <c r="K42" s="1521">
        <f t="shared" si="7"/>
        <v>0</v>
      </c>
      <c r="L42" s="1527"/>
    </row>
    <row r="43" spans="1:14" ht="30" customHeight="1" x14ac:dyDescent="0.2">
      <c r="A43" s="1516">
        <v>30</v>
      </c>
      <c r="B43" s="1513" t="s">
        <v>870</v>
      </c>
      <c r="C43" s="1541" t="s">
        <v>1138</v>
      </c>
      <c r="D43" s="1521">
        <v>20000000</v>
      </c>
      <c r="E43" s="1518">
        <v>0.04</v>
      </c>
      <c r="F43" s="1521">
        <f t="shared" si="6"/>
        <v>800000</v>
      </c>
      <c r="G43" s="1521">
        <v>800000</v>
      </c>
      <c r="H43" s="1535" t="s">
        <v>3869</v>
      </c>
      <c r="I43" s="69" t="s">
        <v>3240</v>
      </c>
      <c r="J43" s="1521">
        <f t="shared" si="9"/>
        <v>800000</v>
      </c>
      <c r="K43" s="1521">
        <f t="shared" si="7"/>
        <v>0</v>
      </c>
      <c r="L43" s="683"/>
    </row>
    <row r="44" spans="1:14" ht="30" customHeight="1" x14ac:dyDescent="0.2">
      <c r="A44" s="1514">
        <v>31</v>
      </c>
      <c r="B44" s="1567" t="s">
        <v>944</v>
      </c>
      <c r="C44" s="1540"/>
      <c r="D44" s="1542">
        <v>100000000</v>
      </c>
      <c r="E44" s="1569">
        <v>7.0000000000000007E-2</v>
      </c>
      <c r="F44" s="1542">
        <f t="shared" si="6"/>
        <v>7000000.0000000009</v>
      </c>
      <c r="G44" s="1521">
        <v>7000000</v>
      </c>
      <c r="H44" s="1535" t="s">
        <v>1232</v>
      </c>
      <c r="I44" s="69" t="s">
        <v>3330</v>
      </c>
      <c r="J44" s="1519">
        <f t="shared" si="9"/>
        <v>7000000</v>
      </c>
      <c r="K44" s="1519">
        <f t="shared" si="7"/>
        <v>0</v>
      </c>
      <c r="L44" s="1522"/>
    </row>
    <row r="45" spans="1:14" ht="30" customHeight="1" x14ac:dyDescent="0.2">
      <c r="A45" s="3693">
        <v>32</v>
      </c>
      <c r="B45" s="3457" t="s">
        <v>1011</v>
      </c>
      <c r="C45" s="3570" t="s">
        <v>1378</v>
      </c>
      <c r="D45" s="1521">
        <v>100000000</v>
      </c>
      <c r="E45" s="1518">
        <v>0.05</v>
      </c>
      <c r="F45" s="1521">
        <f t="shared" ref="F45:F47" si="10">D45*E45</f>
        <v>5000000</v>
      </c>
      <c r="G45" s="3442">
        <v>7450000</v>
      </c>
      <c r="H45" s="3521" t="s">
        <v>1232</v>
      </c>
      <c r="I45" s="3866" t="s">
        <v>2507</v>
      </c>
      <c r="J45" s="3442">
        <f t="shared" si="9"/>
        <v>7450000</v>
      </c>
      <c r="K45" s="3442">
        <f>(F45+F46)-J45</f>
        <v>0</v>
      </c>
      <c r="L45" s="3468"/>
    </row>
    <row r="46" spans="1:14" ht="30" customHeight="1" x14ac:dyDescent="0.2">
      <c r="A46" s="3693"/>
      <c r="B46" s="3459"/>
      <c r="C46" s="3576"/>
      <c r="D46" s="1521">
        <v>35000000</v>
      </c>
      <c r="E46" s="1518">
        <v>7.0000000000000007E-2</v>
      </c>
      <c r="F46" s="1521">
        <f t="shared" si="10"/>
        <v>2450000.0000000005</v>
      </c>
      <c r="G46" s="3443"/>
      <c r="H46" s="3691"/>
      <c r="I46" s="3866"/>
      <c r="J46" s="3461"/>
      <c r="K46" s="3461"/>
      <c r="L46" s="3469"/>
    </row>
    <row r="47" spans="1:14" ht="30" customHeight="1" x14ac:dyDescent="0.2">
      <c r="A47" s="1817"/>
      <c r="B47" s="3459"/>
      <c r="C47" s="3576"/>
      <c r="D47" s="3442">
        <v>20000000</v>
      </c>
      <c r="E47" s="3444">
        <v>7.0000000000000007E-2</v>
      </c>
      <c r="F47" s="3442">
        <f t="shared" si="10"/>
        <v>1400000.0000000002</v>
      </c>
      <c r="G47" s="3442">
        <v>800000</v>
      </c>
      <c r="H47" s="3523"/>
      <c r="I47" s="3866"/>
      <c r="J47" s="3443"/>
      <c r="K47" s="3443"/>
      <c r="L47" s="3478" t="s">
        <v>3858</v>
      </c>
      <c r="M47" s="3479"/>
      <c r="N47" s="3480"/>
    </row>
    <row r="48" spans="1:14" ht="30" customHeight="1" x14ac:dyDescent="0.2">
      <c r="A48" s="1817"/>
      <c r="B48" s="3459"/>
      <c r="C48" s="3576"/>
      <c r="D48" s="3461"/>
      <c r="E48" s="3474"/>
      <c r="F48" s="3461"/>
      <c r="G48" s="3461"/>
      <c r="H48" s="3521" t="s">
        <v>3890</v>
      </c>
      <c r="I48" s="3613"/>
      <c r="J48" s="3522"/>
      <c r="K48" s="3442">
        <v>0</v>
      </c>
      <c r="L48" s="3478" t="s">
        <v>3859</v>
      </c>
      <c r="M48" s="3479"/>
      <c r="N48" s="3480"/>
    </row>
    <row r="49" spans="1:14" ht="30" customHeight="1" x14ac:dyDescent="0.2">
      <c r="A49" s="1817"/>
      <c r="B49" s="3458"/>
      <c r="C49" s="3571"/>
      <c r="D49" s="3443"/>
      <c r="E49" s="3445"/>
      <c r="F49" s="3443"/>
      <c r="G49" s="3443"/>
      <c r="H49" s="3523"/>
      <c r="I49" s="3614"/>
      <c r="J49" s="3524"/>
      <c r="K49" s="3443"/>
      <c r="L49" s="3478" t="s">
        <v>3859</v>
      </c>
      <c r="M49" s="3479"/>
      <c r="N49" s="3480"/>
    </row>
    <row r="50" spans="1:14" ht="30" customHeight="1" x14ac:dyDescent="0.2">
      <c r="A50" s="1516">
        <v>33</v>
      </c>
      <c r="B50" s="1570" t="s">
        <v>1022</v>
      </c>
      <c r="C50" s="1541" t="s">
        <v>1342</v>
      </c>
      <c r="D50" s="1521">
        <v>63580000</v>
      </c>
      <c r="E50" s="1518">
        <v>7.0000000000000007E-2</v>
      </c>
      <c r="F50" s="1521">
        <v>4450000</v>
      </c>
      <c r="G50" s="1521">
        <v>4450000</v>
      </c>
      <c r="H50" s="1521" t="s">
        <v>3798</v>
      </c>
      <c r="I50" s="69" t="s">
        <v>3888</v>
      </c>
      <c r="J50" s="1521">
        <f>G50</f>
        <v>4450000</v>
      </c>
      <c r="K50" s="1521">
        <f t="shared" ref="K50:K58" si="11">F50-J50</f>
        <v>0</v>
      </c>
      <c r="L50" s="1527" t="s">
        <v>3889</v>
      </c>
    </row>
    <row r="51" spans="1:14" ht="30" customHeight="1" x14ac:dyDescent="0.2">
      <c r="A51" s="1516">
        <v>34</v>
      </c>
      <c r="B51" s="1512" t="s">
        <v>1141</v>
      </c>
      <c r="C51" s="1541"/>
      <c r="D51" s="1521">
        <v>20000000</v>
      </c>
      <c r="E51" s="1518">
        <v>0.04</v>
      </c>
      <c r="F51" s="1521">
        <f>D51*E51</f>
        <v>800000</v>
      </c>
      <c r="G51" s="1521">
        <v>800000</v>
      </c>
      <c r="H51" s="1521" t="s">
        <v>1232</v>
      </c>
      <c r="I51" s="69" t="s">
        <v>1143</v>
      </c>
      <c r="J51" s="1521">
        <f>G51</f>
        <v>800000</v>
      </c>
      <c r="K51" s="1521">
        <f t="shared" si="11"/>
        <v>0</v>
      </c>
      <c r="L51" s="1527"/>
    </row>
    <row r="52" spans="1:14" ht="30" customHeight="1" x14ac:dyDescent="0.2">
      <c r="A52" s="1572">
        <v>35</v>
      </c>
      <c r="B52" s="67" t="s">
        <v>1188</v>
      </c>
      <c r="C52" s="1571" t="s">
        <v>1175</v>
      </c>
      <c r="D52" s="1542">
        <v>175000000</v>
      </c>
      <c r="E52" s="1569">
        <v>0.06</v>
      </c>
      <c r="F52" s="1542">
        <f>D52*E52</f>
        <v>10500000</v>
      </c>
      <c r="G52" s="2094">
        <v>10500000</v>
      </c>
      <c r="H52" s="2094" t="s">
        <v>4082</v>
      </c>
      <c r="I52" s="2094" t="s">
        <v>4088</v>
      </c>
      <c r="J52" s="2094">
        <f>G52</f>
        <v>10500000</v>
      </c>
      <c r="K52" s="1521">
        <f t="shared" si="11"/>
        <v>0</v>
      </c>
      <c r="L52" s="103"/>
    </row>
    <row r="53" spans="1:14" ht="30" customHeight="1" x14ac:dyDescent="0.2">
      <c r="A53" s="1516"/>
      <c r="B53" s="2102" t="s">
        <v>3399</v>
      </c>
      <c r="C53" s="1541" t="s">
        <v>1175</v>
      </c>
      <c r="D53" s="1521">
        <v>100000000</v>
      </c>
      <c r="E53" s="1518">
        <v>0.04</v>
      </c>
      <c r="F53" s="1521">
        <f>D53*E53</f>
        <v>4000000</v>
      </c>
      <c r="G53" s="2101">
        <v>3330000</v>
      </c>
      <c r="H53" s="2101" t="s">
        <v>4082</v>
      </c>
      <c r="I53" s="2101" t="s">
        <v>4087</v>
      </c>
      <c r="J53" s="2101">
        <f>G53</f>
        <v>3330000</v>
      </c>
      <c r="K53" s="2099">
        <f t="shared" si="11"/>
        <v>670000</v>
      </c>
      <c r="L53" s="900" t="s">
        <v>3400</v>
      </c>
    </row>
    <row r="54" spans="1:14" ht="30" customHeight="1" x14ac:dyDescent="0.2">
      <c r="A54" s="1081">
        <v>36</v>
      </c>
      <c r="B54" s="22" t="s">
        <v>3506</v>
      </c>
      <c r="C54" s="1571" t="s">
        <v>1112</v>
      </c>
      <c r="D54" s="1542">
        <v>50000000</v>
      </c>
      <c r="E54" s="1569">
        <v>7.0000000000000007E-2</v>
      </c>
      <c r="F54" s="1542">
        <f>D54*E54</f>
        <v>3500000.0000000005</v>
      </c>
      <c r="G54" s="1542">
        <v>3500000</v>
      </c>
      <c r="H54" s="1542" t="s">
        <v>4024</v>
      </c>
      <c r="I54" s="1592" t="s">
        <v>4026</v>
      </c>
      <c r="J54" s="1542">
        <f>G54</f>
        <v>3500000</v>
      </c>
      <c r="K54" s="1542">
        <f t="shared" si="11"/>
        <v>0</v>
      </c>
      <c r="L54" s="1527"/>
    </row>
    <row r="55" spans="1:14" ht="30" customHeight="1" x14ac:dyDescent="0.2">
      <c r="A55" s="1516">
        <v>38</v>
      </c>
      <c r="B55" s="1511" t="s">
        <v>1302</v>
      </c>
      <c r="C55" s="1541"/>
      <c r="D55" s="315"/>
      <c r="E55" s="316"/>
      <c r="F55" s="315"/>
      <c r="G55" s="1521"/>
      <c r="H55" s="1521"/>
      <c r="I55" s="69"/>
      <c r="J55" s="1521"/>
      <c r="K55" s="1531">
        <f t="shared" si="11"/>
        <v>0</v>
      </c>
      <c r="L55" s="1527"/>
    </row>
    <row r="56" spans="1:14" ht="30" customHeight="1" x14ac:dyDescent="0.2">
      <c r="A56" s="1516">
        <v>39</v>
      </c>
      <c r="B56" s="1511" t="s">
        <v>1261</v>
      </c>
      <c r="C56" s="1541"/>
      <c r="D56" s="315"/>
      <c r="E56" s="316"/>
      <c r="F56" s="315"/>
      <c r="G56" s="1521"/>
      <c r="H56" s="1521"/>
      <c r="I56" s="69"/>
      <c r="J56" s="1521"/>
      <c r="K56" s="1531">
        <f t="shared" si="11"/>
        <v>0</v>
      </c>
      <c r="L56" s="1527"/>
    </row>
    <row r="57" spans="1:14" ht="30" customHeight="1" x14ac:dyDescent="0.2">
      <c r="A57" s="1516">
        <v>40</v>
      </c>
      <c r="B57" s="1511" t="s">
        <v>1314</v>
      </c>
      <c r="C57" s="1541" t="s">
        <v>1344</v>
      </c>
      <c r="D57" s="1585">
        <v>16000000</v>
      </c>
      <c r="E57" s="317">
        <v>0.05</v>
      </c>
      <c r="F57" s="1585">
        <f>D57*E57</f>
        <v>800000</v>
      </c>
      <c r="G57" s="1521">
        <v>800000</v>
      </c>
      <c r="H57" s="1521" t="s">
        <v>3850</v>
      </c>
      <c r="I57" s="69" t="s">
        <v>1317</v>
      </c>
      <c r="J57" s="1521">
        <f>G57</f>
        <v>800000</v>
      </c>
      <c r="K57" s="1521">
        <f t="shared" si="11"/>
        <v>0</v>
      </c>
      <c r="L57" s="1527"/>
    </row>
    <row r="58" spans="1:14" ht="30" customHeight="1" x14ac:dyDescent="0.2">
      <c r="A58" s="1516">
        <v>41</v>
      </c>
      <c r="B58" s="1511" t="s">
        <v>1337</v>
      </c>
      <c r="C58" s="1541"/>
      <c r="D58" s="315"/>
      <c r="E58" s="316"/>
      <c r="F58" s="315"/>
      <c r="G58" s="1521"/>
      <c r="H58" s="1521"/>
      <c r="I58" s="69"/>
      <c r="J58" s="1521"/>
      <c r="K58" s="1531">
        <f t="shared" si="11"/>
        <v>0</v>
      </c>
      <c r="L58" s="1527"/>
    </row>
    <row r="59" spans="1:14" ht="30" customHeight="1" x14ac:dyDescent="0.2">
      <c r="A59" s="1516">
        <v>42</v>
      </c>
      <c r="B59" s="1567" t="s">
        <v>186</v>
      </c>
      <c r="C59" s="1541"/>
      <c r="D59" s="1521">
        <v>60000000</v>
      </c>
      <c r="E59" s="1569">
        <v>0.05</v>
      </c>
      <c r="F59" s="1521">
        <f t="shared" ref="F59:F167" si="12">D59*E59</f>
        <v>3000000</v>
      </c>
      <c r="G59" s="3442">
        <v>3500000</v>
      </c>
      <c r="H59" s="3442" t="s">
        <v>3553</v>
      </c>
      <c r="I59" s="3589" t="s">
        <v>263</v>
      </c>
      <c r="J59" s="3442">
        <f>G59</f>
        <v>3500000</v>
      </c>
      <c r="K59" s="3442">
        <f>(F59+F60)-J59</f>
        <v>0</v>
      </c>
      <c r="L59" s="3525"/>
    </row>
    <row r="60" spans="1:14" ht="30" customHeight="1" x14ac:dyDescent="0.2">
      <c r="A60" s="1516">
        <v>43</v>
      </c>
      <c r="B60" s="1570" t="s">
        <v>1109</v>
      </c>
      <c r="C60" s="1541"/>
      <c r="D60" s="1521">
        <v>10000000</v>
      </c>
      <c r="E60" s="1569">
        <v>0.05</v>
      </c>
      <c r="F60" s="1521">
        <f>D60*E60</f>
        <v>500000</v>
      </c>
      <c r="G60" s="3443"/>
      <c r="H60" s="3443"/>
      <c r="I60" s="3591"/>
      <c r="J60" s="3443"/>
      <c r="K60" s="3443"/>
      <c r="L60" s="3526"/>
    </row>
    <row r="61" spans="1:14" ht="30" customHeight="1" x14ac:dyDescent="0.2">
      <c r="A61" s="1516">
        <v>44</v>
      </c>
      <c r="B61" s="1570" t="s">
        <v>187</v>
      </c>
      <c r="C61" s="1541" t="s">
        <v>916</v>
      </c>
      <c r="D61" s="1521">
        <v>150000000</v>
      </c>
      <c r="E61" s="1569">
        <v>0.05</v>
      </c>
      <c r="F61" s="1521">
        <f t="shared" si="12"/>
        <v>7500000</v>
      </c>
      <c r="G61" s="1521">
        <v>7500000</v>
      </c>
      <c r="H61" s="1521" t="s">
        <v>3498</v>
      </c>
      <c r="I61" s="1542" t="s">
        <v>1411</v>
      </c>
      <c r="J61" s="1521">
        <f>G61</f>
        <v>7500000</v>
      </c>
      <c r="K61" s="1521">
        <f>F61-J61</f>
        <v>0</v>
      </c>
      <c r="L61" s="1570"/>
    </row>
    <row r="62" spans="1:14" ht="30" customHeight="1" x14ac:dyDescent="0.2">
      <c r="A62" s="3450">
        <v>45</v>
      </c>
      <c r="B62" s="3457" t="s">
        <v>188</v>
      </c>
      <c r="C62" s="3570" t="s">
        <v>1350</v>
      </c>
      <c r="D62" s="3442">
        <v>1190000000</v>
      </c>
      <c r="E62" s="3444">
        <v>7.0000000000000007E-2</v>
      </c>
      <c r="F62" s="3442">
        <f t="shared" si="12"/>
        <v>83300000.000000015</v>
      </c>
      <c r="G62" s="1521">
        <v>50000000</v>
      </c>
      <c r="H62" s="1521" t="s">
        <v>3563</v>
      </c>
      <c r="I62" s="24" t="s">
        <v>2830</v>
      </c>
      <c r="J62" s="3442">
        <f>G62+G63</f>
        <v>83300000</v>
      </c>
      <c r="K62" s="3442">
        <f>F62-J62</f>
        <v>0</v>
      </c>
      <c r="L62" s="3525"/>
    </row>
    <row r="63" spans="1:14" ht="30" customHeight="1" x14ac:dyDescent="0.2">
      <c r="A63" s="3451"/>
      <c r="B63" s="3458"/>
      <c r="C63" s="3571"/>
      <c r="D63" s="3443"/>
      <c r="E63" s="3445"/>
      <c r="F63" s="3443"/>
      <c r="G63" s="1611">
        <v>33300000</v>
      </c>
      <c r="H63" s="1611" t="s">
        <v>3599</v>
      </c>
      <c r="I63" s="24" t="s">
        <v>2830</v>
      </c>
      <c r="J63" s="3443"/>
      <c r="K63" s="3443"/>
      <c r="L63" s="3526"/>
    </row>
    <row r="64" spans="1:14" ht="30" customHeight="1" x14ac:dyDescent="0.2">
      <c r="A64" s="3450">
        <v>46</v>
      </c>
      <c r="B64" s="3457" t="s">
        <v>189</v>
      </c>
      <c r="C64" s="3570" t="s">
        <v>1112</v>
      </c>
      <c r="D64" s="3442">
        <v>1200000000</v>
      </c>
      <c r="E64" s="3444">
        <v>0.08</v>
      </c>
      <c r="F64" s="3442">
        <f>D64*E64</f>
        <v>96000000</v>
      </c>
      <c r="G64" s="1521">
        <v>50000000</v>
      </c>
      <c r="H64" s="1521" t="s">
        <v>2603</v>
      </c>
      <c r="I64" s="24" t="s">
        <v>1106</v>
      </c>
      <c r="J64" s="3442">
        <f>G64+G65</f>
        <v>100000000</v>
      </c>
      <c r="K64" s="3442">
        <f>F64-J64</f>
        <v>-4000000</v>
      </c>
      <c r="L64" s="431"/>
    </row>
    <row r="65" spans="1:12" ht="30" customHeight="1" x14ac:dyDescent="0.2">
      <c r="A65" s="3456"/>
      <c r="B65" s="3459"/>
      <c r="C65" s="3576"/>
      <c r="D65" s="3461"/>
      <c r="E65" s="3474"/>
      <c r="F65" s="3461"/>
      <c r="G65" s="1521">
        <v>50000000</v>
      </c>
      <c r="H65" s="1521" t="s">
        <v>3643</v>
      </c>
      <c r="I65" s="24" t="s">
        <v>1106</v>
      </c>
      <c r="J65" s="3443"/>
      <c r="K65" s="3443"/>
      <c r="L65" s="1550"/>
    </row>
    <row r="66" spans="1:12" ht="30" customHeight="1" x14ac:dyDescent="0.2">
      <c r="A66" s="3456"/>
      <c r="B66" s="3459"/>
      <c r="C66" s="3576"/>
      <c r="D66" s="3461"/>
      <c r="E66" s="3474"/>
      <c r="F66" s="3461"/>
      <c r="G66" s="3325" t="s">
        <v>4100</v>
      </c>
      <c r="H66" s="3340"/>
      <c r="I66" s="3340"/>
      <c r="J66" s="3340"/>
      <c r="K66" s="3341"/>
      <c r="L66" s="1550"/>
    </row>
    <row r="67" spans="1:12" ht="30" customHeight="1" x14ac:dyDescent="0.2">
      <c r="A67" s="3456"/>
      <c r="B67" s="3459"/>
      <c r="C67" s="3571"/>
      <c r="D67" s="3443"/>
      <c r="E67" s="3445"/>
      <c r="F67" s="3443"/>
      <c r="G67" s="2099">
        <v>5000000</v>
      </c>
      <c r="H67" s="2099" t="s">
        <v>4082</v>
      </c>
      <c r="I67" s="61" t="s">
        <v>4099</v>
      </c>
      <c r="J67" s="2099">
        <f>G67</f>
        <v>5000000</v>
      </c>
      <c r="K67" s="2099"/>
      <c r="L67" s="2111" t="s">
        <v>2205</v>
      </c>
    </row>
    <row r="68" spans="1:12" ht="30" customHeight="1" x14ac:dyDescent="0.2">
      <c r="A68" s="3451"/>
      <c r="B68" s="3458"/>
      <c r="C68" s="1964"/>
      <c r="D68" s="1958">
        <v>1000000000</v>
      </c>
      <c r="E68" s="1956"/>
      <c r="F68" s="1958"/>
      <c r="G68" s="3478" t="s">
        <v>4033</v>
      </c>
      <c r="H68" s="3479"/>
      <c r="I68" s="3479"/>
      <c r="J68" s="3480"/>
      <c r="K68" s="1958"/>
      <c r="L68" s="1969"/>
    </row>
    <row r="69" spans="1:12" ht="30" customHeight="1" x14ac:dyDescent="0.2">
      <c r="A69" s="1514">
        <v>47</v>
      </c>
      <c r="B69" s="1567" t="s">
        <v>190</v>
      </c>
      <c r="C69" s="1571" t="s">
        <v>1110</v>
      </c>
      <c r="D69" s="1521">
        <v>20000000</v>
      </c>
      <c r="E69" s="1518">
        <v>0.05</v>
      </c>
      <c r="F69" s="1521">
        <f t="shared" si="12"/>
        <v>1000000</v>
      </c>
      <c r="G69" s="1521">
        <v>1000000</v>
      </c>
      <c r="H69" s="1521" t="s">
        <v>3498</v>
      </c>
      <c r="I69" s="1543" t="s">
        <v>1078</v>
      </c>
      <c r="J69" s="1521">
        <f>G69</f>
        <v>1000000</v>
      </c>
      <c r="K69" s="1521">
        <f>F69-J69</f>
        <v>0</v>
      </c>
      <c r="L69" s="1537"/>
    </row>
    <row r="70" spans="1:12" ht="30" customHeight="1" x14ac:dyDescent="0.2">
      <c r="A70" s="1572">
        <v>48</v>
      </c>
      <c r="B70" s="1570" t="s">
        <v>1708</v>
      </c>
      <c r="C70" s="1571" t="s">
        <v>1112</v>
      </c>
      <c r="D70" s="1542">
        <v>100000000</v>
      </c>
      <c r="E70" s="1569">
        <v>0.05</v>
      </c>
      <c r="F70" s="1542">
        <f t="shared" si="12"/>
        <v>5000000</v>
      </c>
      <c r="G70" s="1521">
        <v>5000000</v>
      </c>
      <c r="H70" s="1521" t="s">
        <v>4031</v>
      </c>
      <c r="I70" s="24" t="s">
        <v>4048</v>
      </c>
      <c r="J70" s="1521">
        <f>G70</f>
        <v>5000000</v>
      </c>
      <c r="K70" s="1521">
        <f>F70-J70</f>
        <v>0</v>
      </c>
      <c r="L70" s="103"/>
    </row>
    <row r="71" spans="1:12" ht="30" customHeight="1" x14ac:dyDescent="0.2">
      <c r="A71" s="1516">
        <v>49</v>
      </c>
      <c r="B71" s="1513" t="s">
        <v>192</v>
      </c>
      <c r="C71" s="1541" t="s">
        <v>1350</v>
      </c>
      <c r="D71" s="1521">
        <v>230000000</v>
      </c>
      <c r="E71" s="1518">
        <v>0.05</v>
      </c>
      <c r="F71" s="1521">
        <f t="shared" si="12"/>
        <v>11500000</v>
      </c>
      <c r="G71" s="1521">
        <v>11500000</v>
      </c>
      <c r="H71" s="1521" t="s">
        <v>3553</v>
      </c>
      <c r="I71" s="24" t="s">
        <v>1082</v>
      </c>
      <c r="J71" s="1521">
        <f>G71</f>
        <v>11500000</v>
      </c>
      <c r="K71" s="1521">
        <f>F71-J71</f>
        <v>0</v>
      </c>
      <c r="L71" s="1570"/>
    </row>
    <row r="72" spans="1:12" ht="30" customHeight="1" x14ac:dyDescent="0.2">
      <c r="A72" s="3450">
        <v>50</v>
      </c>
      <c r="B72" s="3457" t="s">
        <v>193</v>
      </c>
      <c r="C72" s="3570" t="s">
        <v>916</v>
      </c>
      <c r="D72" s="3442">
        <v>350000000</v>
      </c>
      <c r="E72" s="3444">
        <v>0.05</v>
      </c>
      <c r="F72" s="3442">
        <f t="shared" si="12"/>
        <v>17500000</v>
      </c>
      <c r="G72" s="3879" t="s">
        <v>3507</v>
      </c>
      <c r="H72" s="3880"/>
      <c r="I72" s="3880"/>
      <c r="J72" s="3880"/>
      <c r="K72" s="1662"/>
      <c r="L72" s="103"/>
    </row>
    <row r="73" spans="1:12" ht="30" customHeight="1" x14ac:dyDescent="0.2">
      <c r="A73" s="3456"/>
      <c r="B73" s="3459"/>
      <c r="C73" s="3576"/>
      <c r="D73" s="3461"/>
      <c r="E73" s="3474"/>
      <c r="F73" s="3461"/>
      <c r="G73" s="1727">
        <v>20000000</v>
      </c>
      <c r="H73" s="1727" t="s">
        <v>3721</v>
      </c>
      <c r="I73" s="24" t="s">
        <v>3202</v>
      </c>
      <c r="J73" s="3442">
        <f>G73+G74</f>
        <v>25000000</v>
      </c>
      <c r="K73" s="1727"/>
      <c r="L73" s="1729"/>
    </row>
    <row r="74" spans="1:12" ht="30" customHeight="1" x14ac:dyDescent="0.2">
      <c r="A74" s="3451"/>
      <c r="B74" s="3458"/>
      <c r="C74" s="3571"/>
      <c r="D74" s="3443"/>
      <c r="E74" s="3445"/>
      <c r="F74" s="3443"/>
      <c r="G74" s="1727">
        <v>5000000</v>
      </c>
      <c r="H74" s="1727" t="s">
        <v>3733</v>
      </c>
      <c r="I74" s="24" t="s">
        <v>3734</v>
      </c>
      <c r="J74" s="3443"/>
      <c r="K74" s="1727"/>
      <c r="L74" s="1729"/>
    </row>
    <row r="75" spans="1:12" ht="30" customHeight="1" x14ac:dyDescent="0.2">
      <c r="A75" s="426">
        <v>51</v>
      </c>
      <c r="B75" s="1567" t="s">
        <v>194</v>
      </c>
      <c r="C75" s="1540" t="s">
        <v>916</v>
      </c>
      <c r="D75" s="1542">
        <v>260000000</v>
      </c>
      <c r="E75" s="1569">
        <f>F75/D75</f>
        <v>5.5769230769230772E-2</v>
      </c>
      <c r="F75" s="1542">
        <v>14500000</v>
      </c>
      <c r="G75" s="1643">
        <v>14500000</v>
      </c>
      <c r="H75" s="1643" t="s">
        <v>3563</v>
      </c>
      <c r="I75" s="1643" t="s">
        <v>3636</v>
      </c>
      <c r="J75" s="1643">
        <f>G75</f>
        <v>14500000</v>
      </c>
      <c r="K75" s="1643">
        <f>F75-J75</f>
        <v>0</v>
      </c>
      <c r="L75" s="1511"/>
    </row>
    <row r="76" spans="1:12" ht="30" customHeight="1" x14ac:dyDescent="0.2">
      <c r="A76" s="3450">
        <v>52</v>
      </c>
      <c r="B76" s="3457" t="s">
        <v>195</v>
      </c>
      <c r="C76" s="3570" t="s">
        <v>1352</v>
      </c>
      <c r="D76" s="1521">
        <v>80000000</v>
      </c>
      <c r="E76" s="1569">
        <v>7.0000000000000007E-2</v>
      </c>
      <c r="F76" s="1521">
        <f>D76*E76</f>
        <v>5600000.0000000009</v>
      </c>
      <c r="G76" s="3442">
        <v>5950000</v>
      </c>
      <c r="H76" s="3442" t="s">
        <v>3668</v>
      </c>
      <c r="I76" s="3452" t="s">
        <v>2674</v>
      </c>
      <c r="J76" s="3442">
        <f>G76</f>
        <v>5950000</v>
      </c>
      <c r="K76" s="3442">
        <f>F76-J76</f>
        <v>-349999.99999999907</v>
      </c>
      <c r="L76" s="813" t="s">
        <v>2845</v>
      </c>
    </row>
    <row r="77" spans="1:12" ht="30" customHeight="1" x14ac:dyDescent="0.2">
      <c r="A77" s="3456"/>
      <c r="B77" s="3459"/>
      <c r="C77" s="3576"/>
      <c r="D77" s="1521">
        <v>10000000</v>
      </c>
      <c r="E77" s="1569">
        <v>7.0000000000000007E-2</v>
      </c>
      <c r="F77" s="1521">
        <f>D77*E77</f>
        <v>700000.00000000012</v>
      </c>
      <c r="G77" s="3443"/>
      <c r="H77" s="3443"/>
      <c r="I77" s="3453"/>
      <c r="J77" s="3443"/>
      <c r="K77" s="3443"/>
      <c r="L77" s="813" t="s">
        <v>3508</v>
      </c>
    </row>
    <row r="78" spans="1:12" ht="30" customHeight="1" x14ac:dyDescent="0.2">
      <c r="A78" s="3456"/>
      <c r="B78" s="3459"/>
      <c r="C78" s="3576"/>
      <c r="D78" s="1946">
        <v>10000000</v>
      </c>
      <c r="E78" s="1942"/>
      <c r="F78" s="1946"/>
      <c r="G78" s="3815" t="s">
        <v>4014</v>
      </c>
      <c r="H78" s="3815"/>
      <c r="I78" s="3815"/>
      <c r="J78" s="3815"/>
      <c r="K78" s="3815"/>
      <c r="L78" s="813"/>
    </row>
    <row r="79" spans="1:12" ht="30" customHeight="1" x14ac:dyDescent="0.2">
      <c r="A79" s="3451"/>
      <c r="B79" s="3458"/>
      <c r="C79" s="3571"/>
      <c r="D79" s="1943">
        <v>10000000</v>
      </c>
      <c r="E79" s="1942"/>
      <c r="F79" s="1943"/>
      <c r="G79" s="3815" t="s">
        <v>4011</v>
      </c>
      <c r="H79" s="3815"/>
      <c r="I79" s="3815"/>
      <c r="J79" s="3815"/>
      <c r="K79" s="3815"/>
      <c r="L79" s="813"/>
    </row>
    <row r="80" spans="1:12" ht="30" customHeight="1" x14ac:dyDescent="0.2">
      <c r="A80" s="3450">
        <v>53</v>
      </c>
      <c r="B80" s="3525" t="s">
        <v>196</v>
      </c>
      <c r="C80" s="3570" t="s">
        <v>1349</v>
      </c>
      <c r="D80" s="3442">
        <v>350000000</v>
      </c>
      <c r="E80" s="3444">
        <v>7.0000000000000007E-2</v>
      </c>
      <c r="F80" s="3442">
        <f t="shared" si="12"/>
        <v>24500000.000000004</v>
      </c>
      <c r="G80" s="1542">
        <v>22500000</v>
      </c>
      <c r="H80" s="1519" t="s">
        <v>3830</v>
      </c>
      <c r="I80" s="1539" t="s">
        <v>1923</v>
      </c>
      <c r="J80" s="3442">
        <f>G80+G81</f>
        <v>26500000</v>
      </c>
      <c r="K80" s="3442">
        <f>F80-J80</f>
        <v>-1999999.9999999963</v>
      </c>
      <c r="L80" s="3495" t="s">
        <v>3863</v>
      </c>
    </row>
    <row r="81" spans="1:12" ht="30" customHeight="1" x14ac:dyDescent="0.2">
      <c r="A81" s="3456"/>
      <c r="B81" s="3643"/>
      <c r="C81" s="3576"/>
      <c r="D81" s="3443"/>
      <c r="E81" s="3445"/>
      <c r="F81" s="3443"/>
      <c r="G81" s="1542">
        <v>4000000</v>
      </c>
      <c r="H81" s="1519" t="s">
        <v>3869</v>
      </c>
      <c r="I81" s="1539" t="s">
        <v>1923</v>
      </c>
      <c r="J81" s="3443"/>
      <c r="K81" s="3443"/>
      <c r="L81" s="3855"/>
    </row>
    <row r="82" spans="1:12" ht="30" customHeight="1" x14ac:dyDescent="0.2">
      <c r="A82" s="3451"/>
      <c r="B82" s="3526"/>
      <c r="C82" s="3571"/>
      <c r="D82" s="1827">
        <v>500000000</v>
      </c>
      <c r="E82" s="1825">
        <v>7.0000000000000007E-2</v>
      </c>
      <c r="F82" s="1827">
        <f>D82*E82</f>
        <v>35000000</v>
      </c>
      <c r="G82" s="3478" t="s">
        <v>3868</v>
      </c>
      <c r="H82" s="3479"/>
      <c r="I82" s="3479"/>
      <c r="J82" s="3480"/>
      <c r="K82" s="1826"/>
      <c r="L82" s="3496"/>
    </row>
    <row r="83" spans="1:12" ht="30" customHeight="1" x14ac:dyDescent="0.2">
      <c r="A83" s="3450">
        <v>54</v>
      </c>
      <c r="B83" s="3457" t="s">
        <v>1090</v>
      </c>
      <c r="C83" s="3570"/>
      <c r="D83" s="1521">
        <v>35000000</v>
      </c>
      <c r="E83" s="1518">
        <v>7.1999999999999995E-2</v>
      </c>
      <c r="F83" s="1521">
        <v>2500000</v>
      </c>
      <c r="G83" s="3738">
        <v>3500000</v>
      </c>
      <c r="H83" s="3738" t="s">
        <v>3498</v>
      </c>
      <c r="I83" s="3740" t="s">
        <v>3548</v>
      </c>
      <c r="J83" s="3738">
        <f>G83</f>
        <v>3500000</v>
      </c>
      <c r="K83" s="3738">
        <f>(F83+F84)-J83</f>
        <v>0</v>
      </c>
      <c r="L83" s="3525"/>
    </row>
    <row r="84" spans="1:12" ht="30" customHeight="1" x14ac:dyDescent="0.2">
      <c r="A84" s="3456"/>
      <c r="B84" s="3458"/>
      <c r="C84" s="3571"/>
      <c r="D84" s="1521">
        <v>13000000</v>
      </c>
      <c r="E84" s="1569">
        <v>7.6999999999999999E-2</v>
      </c>
      <c r="F84" s="1521">
        <v>1000000</v>
      </c>
      <c r="G84" s="3739"/>
      <c r="H84" s="3739"/>
      <c r="I84" s="3741"/>
      <c r="J84" s="3739"/>
      <c r="K84" s="3739"/>
      <c r="L84" s="3526"/>
    </row>
    <row r="85" spans="1:12" ht="30" customHeight="1" x14ac:dyDescent="0.2">
      <c r="A85" s="3450">
        <v>55</v>
      </c>
      <c r="B85" s="3457" t="s">
        <v>1295</v>
      </c>
      <c r="C85" s="3570" t="s">
        <v>1350</v>
      </c>
      <c r="D85" s="1542">
        <v>175000000</v>
      </c>
      <c r="E85" s="1569">
        <v>0.52</v>
      </c>
      <c r="F85" s="1542">
        <v>9000000</v>
      </c>
      <c r="G85" s="3575">
        <v>18250000</v>
      </c>
      <c r="H85" s="3575" t="s">
        <v>3563</v>
      </c>
      <c r="I85" s="3452" t="s">
        <v>1093</v>
      </c>
      <c r="J85" s="3575">
        <f>G85</f>
        <v>18250000</v>
      </c>
      <c r="K85" s="3575">
        <f>(F85+F86+F87)-J85</f>
        <v>0</v>
      </c>
      <c r="L85" s="192" t="s">
        <v>2051</v>
      </c>
    </row>
    <row r="86" spans="1:12" ht="30" customHeight="1" x14ac:dyDescent="0.2">
      <c r="A86" s="3456"/>
      <c r="B86" s="3459"/>
      <c r="C86" s="3576"/>
      <c r="D86" s="1519">
        <f>85000000+20000000</f>
        <v>105000000</v>
      </c>
      <c r="E86" s="1517">
        <v>7.0000000000000007E-2</v>
      </c>
      <c r="F86" s="1519">
        <v>7500000</v>
      </c>
      <c r="G86" s="3575"/>
      <c r="H86" s="3575"/>
      <c r="I86" s="3653"/>
      <c r="J86" s="3575"/>
      <c r="K86" s="3575"/>
      <c r="L86" s="192" t="s">
        <v>2052</v>
      </c>
    </row>
    <row r="87" spans="1:12" ht="30" customHeight="1" x14ac:dyDescent="0.2">
      <c r="A87" s="3451"/>
      <c r="B87" s="3458"/>
      <c r="C87" s="3571"/>
      <c r="D87" s="1542">
        <v>35000000</v>
      </c>
      <c r="E87" s="1569">
        <v>0.05</v>
      </c>
      <c r="F87" s="1542">
        <f>D87*E87</f>
        <v>1750000</v>
      </c>
      <c r="G87" s="3575"/>
      <c r="H87" s="3575"/>
      <c r="I87" s="3453"/>
      <c r="J87" s="3575"/>
      <c r="K87" s="3575"/>
      <c r="L87" s="1527" t="s">
        <v>2653</v>
      </c>
    </row>
    <row r="88" spans="1:12" ht="30" customHeight="1" x14ac:dyDescent="0.2">
      <c r="A88" s="3450">
        <v>56</v>
      </c>
      <c r="B88" s="3457" t="s">
        <v>36</v>
      </c>
      <c r="C88" s="3570" t="s">
        <v>1350</v>
      </c>
      <c r="D88" s="3442">
        <v>3284000000</v>
      </c>
      <c r="E88" s="3444">
        <v>7.0000000000000007E-2</v>
      </c>
      <c r="F88" s="3442">
        <v>229880000</v>
      </c>
      <c r="G88" s="1542">
        <v>50000000</v>
      </c>
      <c r="H88" s="1542" t="s">
        <v>3635</v>
      </c>
      <c r="I88" s="1650" t="s">
        <v>696</v>
      </c>
      <c r="J88" s="3442">
        <f>G88+G89+G90</f>
        <v>105000000</v>
      </c>
      <c r="K88" s="3442">
        <f>F88-J88</f>
        <v>124880000</v>
      </c>
      <c r="L88" s="3468" t="s">
        <v>3509</v>
      </c>
    </row>
    <row r="89" spans="1:12" ht="30" customHeight="1" x14ac:dyDescent="0.2">
      <c r="A89" s="3456"/>
      <c r="B89" s="3459"/>
      <c r="C89" s="3576"/>
      <c r="D89" s="3461"/>
      <c r="E89" s="3474"/>
      <c r="F89" s="3461"/>
      <c r="G89" s="1521">
        <v>50000000</v>
      </c>
      <c r="H89" s="1542" t="s">
        <v>3576</v>
      </c>
      <c r="I89" s="1566" t="s">
        <v>696</v>
      </c>
      <c r="J89" s="3461"/>
      <c r="K89" s="3461"/>
      <c r="L89" s="3606"/>
    </row>
    <row r="90" spans="1:12" ht="30" customHeight="1" x14ac:dyDescent="0.2">
      <c r="A90" s="3456"/>
      <c r="B90" s="3459"/>
      <c r="C90" s="3576"/>
      <c r="D90" s="3461"/>
      <c r="E90" s="3474"/>
      <c r="F90" s="3461"/>
      <c r="G90" s="1521">
        <v>5000000</v>
      </c>
      <c r="H90" s="1521"/>
      <c r="I90" s="24"/>
      <c r="J90" s="3461"/>
      <c r="K90" s="3461"/>
      <c r="L90" s="3606"/>
    </row>
    <row r="91" spans="1:12" ht="30" customHeight="1" x14ac:dyDescent="0.2">
      <c r="A91" s="3456"/>
      <c r="B91" s="3459"/>
      <c r="C91" s="3576"/>
      <c r="D91" s="3461"/>
      <c r="E91" s="3474"/>
      <c r="F91" s="3461"/>
      <c r="G91" s="3521" t="s">
        <v>3983</v>
      </c>
      <c r="H91" s="3613"/>
      <c r="I91" s="3522"/>
      <c r="J91" s="3461"/>
      <c r="K91" s="3461"/>
      <c r="L91" s="192" t="s">
        <v>3982</v>
      </c>
    </row>
    <row r="92" spans="1:12" ht="30" customHeight="1" x14ac:dyDescent="0.2">
      <c r="A92" s="3456"/>
      <c r="B92" s="3459"/>
      <c r="C92" s="3576"/>
      <c r="D92" s="3461"/>
      <c r="E92" s="3474"/>
      <c r="F92" s="3461"/>
      <c r="G92" s="3691"/>
      <c r="H92" s="3355"/>
      <c r="I92" s="3692"/>
      <c r="J92" s="3461"/>
      <c r="K92" s="3461"/>
      <c r="L92" s="1665" t="s">
        <v>3977</v>
      </c>
    </row>
    <row r="93" spans="1:12" ht="30" customHeight="1" x14ac:dyDescent="0.2">
      <c r="A93" s="3456"/>
      <c r="B93" s="3459"/>
      <c r="C93" s="3576"/>
      <c r="D93" s="3461"/>
      <c r="E93" s="3474"/>
      <c r="F93" s="3461"/>
      <c r="G93" s="3691"/>
      <c r="H93" s="3355"/>
      <c r="I93" s="3692"/>
      <c r="J93" s="3461"/>
      <c r="K93" s="3461"/>
      <c r="L93" s="1665" t="s">
        <v>3978</v>
      </c>
    </row>
    <row r="94" spans="1:12" ht="30" customHeight="1" x14ac:dyDescent="0.2">
      <c r="A94" s="3456"/>
      <c r="B94" s="3459"/>
      <c r="C94" s="3576"/>
      <c r="D94" s="3461"/>
      <c r="E94" s="3474"/>
      <c r="F94" s="3461"/>
      <c r="G94" s="3523"/>
      <c r="H94" s="3614"/>
      <c r="I94" s="3524"/>
      <c r="J94" s="3443"/>
      <c r="K94" s="3443"/>
      <c r="L94" s="1666" t="s">
        <v>3979</v>
      </c>
    </row>
    <row r="95" spans="1:12" ht="30" customHeight="1" x14ac:dyDescent="0.2">
      <c r="A95" s="3456"/>
      <c r="B95" s="3459"/>
      <c r="C95" s="3576"/>
      <c r="D95" s="1957"/>
      <c r="E95" s="1955"/>
      <c r="F95" s="1957"/>
      <c r="G95" s="3325" t="s">
        <v>4047</v>
      </c>
      <c r="H95" s="3340"/>
      <c r="I95" s="3341"/>
      <c r="J95" s="1957"/>
      <c r="K95" s="1957"/>
      <c r="L95" s="1665"/>
    </row>
    <row r="96" spans="1:12" ht="30" customHeight="1" x14ac:dyDescent="0.2">
      <c r="A96" s="3456"/>
      <c r="B96" s="3459"/>
      <c r="C96" s="3571"/>
      <c r="D96" s="1957"/>
      <c r="E96" s="1955"/>
      <c r="F96" s="1957"/>
      <c r="G96" s="1968">
        <v>5000000</v>
      </c>
      <c r="H96" s="1968" t="s">
        <v>4031</v>
      </c>
      <c r="I96" s="1968" t="s">
        <v>696</v>
      </c>
      <c r="J96" s="1957"/>
      <c r="K96" s="1957"/>
      <c r="L96" s="1665" t="s">
        <v>3473</v>
      </c>
    </row>
    <row r="97" spans="1:12" ht="30" customHeight="1" x14ac:dyDescent="0.2">
      <c r="A97" s="3451"/>
      <c r="B97" s="3458"/>
      <c r="C97" s="1904" t="s">
        <v>1378</v>
      </c>
      <c r="D97" s="1962">
        <f>983000000+K88+F98-70000</f>
        <v>1130000000</v>
      </c>
      <c r="E97" s="1903">
        <v>0.08</v>
      </c>
      <c r="F97" s="1901">
        <f>D97*E97</f>
        <v>90400000</v>
      </c>
      <c r="G97" s="1894"/>
      <c r="H97" s="1894"/>
      <c r="I97" s="24"/>
      <c r="J97" s="1893"/>
      <c r="K97" s="1893"/>
      <c r="L97" s="1665" t="s">
        <v>3981</v>
      </c>
    </row>
    <row r="98" spans="1:12" ht="30" customHeight="1" x14ac:dyDescent="0.2">
      <c r="A98" s="3450">
        <v>57</v>
      </c>
      <c r="B98" s="3457" t="s">
        <v>1107</v>
      </c>
      <c r="C98" s="3570" t="s">
        <v>1353</v>
      </c>
      <c r="D98" s="3442">
        <v>317000000</v>
      </c>
      <c r="E98" s="3444">
        <v>7.0000000000000007E-2</v>
      </c>
      <c r="F98" s="3442">
        <f>D98*E98</f>
        <v>22190000.000000004</v>
      </c>
      <c r="G98" s="3521" t="s">
        <v>3980</v>
      </c>
      <c r="H98" s="3613"/>
      <c r="I98" s="3522"/>
      <c r="J98" s="3442"/>
      <c r="K98" s="3442"/>
      <c r="L98" s="3618" t="s">
        <v>3509</v>
      </c>
    </row>
    <row r="99" spans="1:12" ht="30" customHeight="1" x14ac:dyDescent="0.2">
      <c r="A99" s="3451"/>
      <c r="B99" s="3458"/>
      <c r="C99" s="3571"/>
      <c r="D99" s="3443"/>
      <c r="E99" s="3445"/>
      <c r="F99" s="3443"/>
      <c r="G99" s="3523"/>
      <c r="H99" s="3614"/>
      <c r="I99" s="3524"/>
      <c r="J99" s="3443"/>
      <c r="K99" s="3443"/>
      <c r="L99" s="3619"/>
    </row>
    <row r="100" spans="1:12" ht="30" customHeight="1" x14ac:dyDescent="0.2">
      <c r="A100" s="1514">
        <v>58</v>
      </c>
      <c r="B100" s="1570" t="s">
        <v>1094</v>
      </c>
      <c r="C100" s="1541" t="s">
        <v>916</v>
      </c>
      <c r="D100" s="1521">
        <v>11000000</v>
      </c>
      <c r="E100" s="1569">
        <v>5.5E-2</v>
      </c>
      <c r="F100" s="1521">
        <v>600000</v>
      </c>
      <c r="G100" s="1521">
        <v>600000</v>
      </c>
      <c r="H100" s="1521" t="s">
        <v>3498</v>
      </c>
      <c r="I100" s="1582" t="s">
        <v>1096</v>
      </c>
      <c r="J100" s="1521">
        <f>G100</f>
        <v>600000</v>
      </c>
      <c r="K100" s="1521">
        <f>F100-J100</f>
        <v>0</v>
      </c>
      <c r="L100" s="1570"/>
    </row>
    <row r="101" spans="1:12" ht="30" customHeight="1" x14ac:dyDescent="0.2">
      <c r="A101" s="3450"/>
      <c r="B101" s="3457" t="s">
        <v>197</v>
      </c>
      <c r="C101" s="3570" t="s">
        <v>1350</v>
      </c>
      <c r="D101" s="1521">
        <v>90000000</v>
      </c>
      <c r="E101" s="1569">
        <v>0.05</v>
      </c>
      <c r="F101" s="1521">
        <f t="shared" si="12"/>
        <v>4500000</v>
      </c>
      <c r="G101" s="3867" t="s">
        <v>3491</v>
      </c>
      <c r="H101" s="3868"/>
      <c r="I101" s="3868"/>
      <c r="J101" s="3869"/>
      <c r="K101" s="3442">
        <f>(F101+F102)-J101</f>
        <v>5200000</v>
      </c>
      <c r="L101" s="3468" t="s">
        <v>3509</v>
      </c>
    </row>
    <row r="102" spans="1:12" ht="30" customHeight="1" x14ac:dyDescent="0.2">
      <c r="A102" s="3456"/>
      <c r="B102" s="3459"/>
      <c r="C102" s="3576"/>
      <c r="D102" s="1521">
        <v>10000000</v>
      </c>
      <c r="E102" s="1569">
        <v>7.0000000000000007E-2</v>
      </c>
      <c r="F102" s="1521">
        <f t="shared" si="12"/>
        <v>700000.00000000012</v>
      </c>
      <c r="G102" s="3870"/>
      <c r="H102" s="3871"/>
      <c r="I102" s="3871"/>
      <c r="J102" s="3872"/>
      <c r="K102" s="3443"/>
      <c r="L102" s="3606"/>
    </row>
    <row r="103" spans="1:12" ht="30" customHeight="1" x14ac:dyDescent="0.2">
      <c r="A103" s="3451"/>
      <c r="B103" s="3458"/>
      <c r="C103" s="3571"/>
      <c r="D103" s="1521">
        <v>15000000</v>
      </c>
      <c r="E103" s="1569">
        <v>7.0000000000000007E-2</v>
      </c>
      <c r="F103" s="2369">
        <f t="shared" si="12"/>
        <v>1050000</v>
      </c>
      <c r="G103" s="3873"/>
      <c r="H103" s="3874"/>
      <c r="I103" s="3874"/>
      <c r="J103" s="3875"/>
      <c r="K103" s="1521"/>
      <c r="L103" s="3469"/>
    </row>
    <row r="104" spans="1:12" ht="30" customHeight="1" x14ac:dyDescent="0.2">
      <c r="A104" s="1572">
        <v>60</v>
      </c>
      <c r="B104" s="1570" t="s">
        <v>1591</v>
      </c>
      <c r="C104" s="1541"/>
      <c r="D104" s="1531"/>
      <c r="E104" s="44"/>
      <c r="F104" s="1531">
        <f t="shared" si="12"/>
        <v>0</v>
      </c>
      <c r="G104" s="1521">
        <v>10000000</v>
      </c>
      <c r="H104" s="1521" t="s">
        <v>3498</v>
      </c>
      <c r="I104" s="24" t="s">
        <v>1923</v>
      </c>
      <c r="J104" s="1521">
        <f>G104</f>
        <v>10000000</v>
      </c>
      <c r="K104" s="1531">
        <f>F104-J104</f>
        <v>-10000000</v>
      </c>
      <c r="L104" s="1570" t="s">
        <v>2650</v>
      </c>
    </row>
    <row r="105" spans="1:12" ht="30" customHeight="1" x14ac:dyDescent="0.2">
      <c r="A105" s="1516">
        <v>61</v>
      </c>
      <c r="B105" s="1570" t="s">
        <v>199</v>
      </c>
      <c r="C105" s="1541"/>
      <c r="D105" s="1521">
        <v>100000000</v>
      </c>
      <c r="E105" s="1569">
        <v>7.0000000000000007E-2</v>
      </c>
      <c r="F105" s="1521">
        <f t="shared" si="12"/>
        <v>7000000.0000000009</v>
      </c>
      <c r="G105" s="1521">
        <v>7000000</v>
      </c>
      <c r="H105" s="1521" t="s">
        <v>3599</v>
      </c>
      <c r="I105" s="24" t="s">
        <v>3602</v>
      </c>
      <c r="J105" s="1521">
        <f>G105</f>
        <v>7000000</v>
      </c>
      <c r="K105" s="1521">
        <f>F105-J105</f>
        <v>0</v>
      </c>
      <c r="L105" s="1570"/>
    </row>
    <row r="106" spans="1:12" ht="30" customHeight="1" x14ac:dyDescent="0.2">
      <c r="A106" s="426">
        <v>62</v>
      </c>
      <c r="B106" s="1567" t="s">
        <v>200</v>
      </c>
      <c r="C106" s="1540"/>
      <c r="D106" s="1542">
        <v>125000000</v>
      </c>
      <c r="E106" s="1569">
        <v>5.1999999999999998E-2</v>
      </c>
      <c r="F106" s="1542">
        <f t="shared" si="12"/>
        <v>6500000</v>
      </c>
      <c r="G106" s="1542">
        <v>3300000</v>
      </c>
      <c r="H106" s="1542" t="s">
        <v>4024</v>
      </c>
      <c r="I106" s="1968" t="s">
        <v>1299</v>
      </c>
      <c r="J106" s="1542">
        <f>G106</f>
        <v>3300000</v>
      </c>
      <c r="K106" s="1542">
        <f>F106-J106</f>
        <v>3200000</v>
      </c>
      <c r="L106" s="103"/>
    </row>
    <row r="107" spans="1:12" ht="30" customHeight="1" x14ac:dyDescent="0.2">
      <c r="A107" s="3450">
        <v>63</v>
      </c>
      <c r="B107" s="3457" t="s">
        <v>201</v>
      </c>
      <c r="C107" s="3570" t="s">
        <v>916</v>
      </c>
      <c r="D107" s="1542">
        <v>1600000000</v>
      </c>
      <c r="E107" s="1569">
        <v>6.5000000000000002E-2</v>
      </c>
      <c r="F107" s="1542">
        <f>D107*E107</f>
        <v>104000000</v>
      </c>
      <c r="G107" s="1542">
        <v>4000000</v>
      </c>
      <c r="H107" s="1542" t="s">
        <v>3498</v>
      </c>
      <c r="I107" s="1542" t="s">
        <v>2716</v>
      </c>
      <c r="J107" s="1542">
        <f>G107</f>
        <v>4000000</v>
      </c>
      <c r="K107" s="1542"/>
      <c r="L107" s="3468" t="s">
        <v>3510</v>
      </c>
    </row>
    <row r="108" spans="1:12" ht="30" customHeight="1" x14ac:dyDescent="0.2">
      <c r="A108" s="3456"/>
      <c r="B108" s="3459"/>
      <c r="C108" s="3576"/>
      <c r="D108" s="1542"/>
      <c r="E108" s="1569"/>
      <c r="F108" s="1542"/>
      <c r="G108" s="3876" t="s">
        <v>3511</v>
      </c>
      <c r="H108" s="3877"/>
      <c r="I108" s="3877"/>
      <c r="J108" s="3878"/>
      <c r="K108" s="1521"/>
      <c r="L108" s="3469"/>
    </row>
    <row r="109" spans="1:12" ht="30" customHeight="1" x14ac:dyDescent="0.2">
      <c r="A109" s="3451"/>
      <c r="B109" s="3458"/>
      <c r="C109" s="3571"/>
      <c r="D109" s="1930">
        <v>1700000000</v>
      </c>
      <c r="E109" s="1929">
        <v>6.5000000000000002E-2</v>
      </c>
      <c r="F109" s="1930">
        <f>D109*E109</f>
        <v>110500000</v>
      </c>
      <c r="G109" s="1948"/>
      <c r="H109" s="1949"/>
      <c r="I109" s="1949"/>
      <c r="J109" s="1950"/>
      <c r="K109" s="1930"/>
      <c r="L109" s="1931"/>
    </row>
    <row r="110" spans="1:12" ht="30" customHeight="1" x14ac:dyDescent="0.2">
      <c r="A110" s="1572">
        <v>64</v>
      </c>
      <c r="B110" s="1513" t="s">
        <v>1408</v>
      </c>
      <c r="C110" s="1541" t="s">
        <v>916</v>
      </c>
      <c r="D110" s="1521">
        <v>200000000</v>
      </c>
      <c r="E110" s="1518">
        <v>5.0999999999999997E-2</v>
      </c>
      <c r="F110" s="1521">
        <f t="shared" si="12"/>
        <v>10200000</v>
      </c>
      <c r="G110" s="1521">
        <v>10200000</v>
      </c>
      <c r="H110" s="1521" t="s">
        <v>3498</v>
      </c>
      <c r="I110" s="24" t="s">
        <v>1407</v>
      </c>
      <c r="J110" s="1521">
        <f>G110</f>
        <v>10200000</v>
      </c>
      <c r="K110" s="1521">
        <f>F110-J110</f>
        <v>0</v>
      </c>
      <c r="L110" s="103" t="s">
        <v>1409</v>
      </c>
    </row>
    <row r="111" spans="1:12" ht="30" customHeight="1" x14ac:dyDescent="0.2">
      <c r="A111" s="1516">
        <v>65</v>
      </c>
      <c r="B111" s="1570" t="s">
        <v>203</v>
      </c>
      <c r="C111" s="1541"/>
      <c r="D111" s="1521">
        <v>500000000</v>
      </c>
      <c r="E111" s="1569">
        <v>0.04</v>
      </c>
      <c r="F111" s="1521">
        <f t="shared" si="12"/>
        <v>20000000</v>
      </c>
      <c r="G111" s="1521"/>
      <c r="H111" s="1521"/>
      <c r="I111" s="24"/>
      <c r="J111" s="1521"/>
      <c r="K111" s="1521">
        <f>F111-J111</f>
        <v>20000000</v>
      </c>
      <c r="L111" s="1570" t="s">
        <v>1615</v>
      </c>
    </row>
    <row r="112" spans="1:12" ht="30" customHeight="1" x14ac:dyDescent="0.2">
      <c r="A112" s="426">
        <v>66</v>
      </c>
      <c r="B112" s="1567" t="s">
        <v>204</v>
      </c>
      <c r="C112" s="1571" t="s">
        <v>916</v>
      </c>
      <c r="D112" s="3119">
        <v>252000000</v>
      </c>
      <c r="E112" s="3137">
        <v>5.1999999999999998E-2</v>
      </c>
      <c r="F112" s="3119">
        <v>13140000</v>
      </c>
      <c r="G112" s="3119">
        <v>13140000</v>
      </c>
      <c r="H112" s="3119" t="s">
        <v>3635</v>
      </c>
      <c r="I112" s="3136" t="s">
        <v>3637</v>
      </c>
      <c r="J112" s="3119">
        <f>G112</f>
        <v>13140000</v>
      </c>
      <c r="K112" s="3119">
        <f>F112-J112</f>
        <v>0</v>
      </c>
      <c r="L112" s="103"/>
    </row>
    <row r="113" spans="1:12" ht="30" customHeight="1" x14ac:dyDescent="0.2">
      <c r="A113" s="3450">
        <v>68</v>
      </c>
      <c r="B113" s="3457" t="s">
        <v>205</v>
      </c>
      <c r="C113" s="3570" t="s">
        <v>1350</v>
      </c>
      <c r="D113" s="3442">
        <v>150000000</v>
      </c>
      <c r="E113" s="3444">
        <v>0.05</v>
      </c>
      <c r="F113" s="3442">
        <f t="shared" si="12"/>
        <v>7500000</v>
      </c>
      <c r="G113" s="1521">
        <v>750000</v>
      </c>
      <c r="H113" s="1521" t="s">
        <v>3498</v>
      </c>
      <c r="I113" s="70" t="s">
        <v>2672</v>
      </c>
      <c r="J113" s="3442">
        <f>G113+G114</f>
        <v>7500000</v>
      </c>
      <c r="K113" s="3442">
        <f>F113-J113</f>
        <v>0</v>
      </c>
      <c r="L113" s="3525"/>
    </row>
    <row r="114" spans="1:12" ht="30" customHeight="1" x14ac:dyDescent="0.2">
      <c r="A114" s="3451"/>
      <c r="B114" s="3458"/>
      <c r="C114" s="3571"/>
      <c r="D114" s="3443"/>
      <c r="E114" s="3445"/>
      <c r="F114" s="3443"/>
      <c r="G114" s="1611">
        <v>6750000</v>
      </c>
      <c r="H114" s="1611" t="s">
        <v>3498</v>
      </c>
      <c r="I114" s="70" t="s">
        <v>2672</v>
      </c>
      <c r="J114" s="3443"/>
      <c r="K114" s="3443"/>
      <c r="L114" s="3526"/>
    </row>
    <row r="115" spans="1:12" ht="30" customHeight="1" x14ac:dyDescent="0.2">
      <c r="A115" s="1514">
        <v>69</v>
      </c>
      <c r="B115" s="1567" t="s">
        <v>206</v>
      </c>
      <c r="C115" s="1571" t="s">
        <v>916</v>
      </c>
      <c r="D115" s="1542">
        <v>280000000</v>
      </c>
      <c r="E115" s="1569">
        <f>F115/D115</f>
        <v>7.0000000000000007E-2</v>
      </c>
      <c r="F115" s="1542">
        <v>19600000</v>
      </c>
      <c r="G115" s="1542">
        <v>19600000</v>
      </c>
      <c r="H115" s="1542" t="s">
        <v>3553</v>
      </c>
      <c r="I115" s="1566" t="s">
        <v>963</v>
      </c>
      <c r="J115" s="1542">
        <f>G115</f>
        <v>19600000</v>
      </c>
      <c r="K115" s="1542">
        <f>F115-J115</f>
        <v>0</v>
      </c>
      <c r="L115" s="1559"/>
    </row>
    <row r="116" spans="1:12" ht="30" customHeight="1" x14ac:dyDescent="0.2">
      <c r="A116" s="3450">
        <v>70</v>
      </c>
      <c r="B116" s="3457" t="s">
        <v>207</v>
      </c>
      <c r="C116" s="3570" t="s">
        <v>916</v>
      </c>
      <c r="D116" s="3442">
        <v>100000000</v>
      </c>
      <c r="E116" s="3444">
        <v>0.04</v>
      </c>
      <c r="F116" s="3442">
        <f t="shared" si="12"/>
        <v>4000000</v>
      </c>
      <c r="G116" s="1521">
        <v>400000</v>
      </c>
      <c r="H116" s="1521" t="s">
        <v>3498</v>
      </c>
      <c r="I116" s="1547" t="s">
        <v>3541</v>
      </c>
      <c r="J116" s="3442">
        <f>G116+G117</f>
        <v>4000000</v>
      </c>
      <c r="K116" s="3442">
        <f>F116-J116</f>
        <v>0</v>
      </c>
      <c r="L116" s="3525"/>
    </row>
    <row r="117" spans="1:12" ht="30" customHeight="1" x14ac:dyDescent="0.2">
      <c r="A117" s="3451"/>
      <c r="B117" s="3458"/>
      <c r="C117" s="3571"/>
      <c r="D117" s="3443"/>
      <c r="E117" s="3445"/>
      <c r="F117" s="3443"/>
      <c r="G117" s="1611">
        <v>3600000</v>
      </c>
      <c r="H117" s="1611" t="s">
        <v>3498</v>
      </c>
      <c r="I117" s="1617" t="s">
        <v>3541</v>
      </c>
      <c r="J117" s="3443"/>
      <c r="K117" s="3443"/>
      <c r="L117" s="3526"/>
    </row>
    <row r="118" spans="1:12" ht="30" customHeight="1" x14ac:dyDescent="0.2">
      <c r="A118" s="1514"/>
      <c r="B118" s="3457" t="s">
        <v>208</v>
      </c>
      <c r="C118" s="3570" t="s">
        <v>916</v>
      </c>
      <c r="D118" s="1521">
        <v>30000000</v>
      </c>
      <c r="E118" s="1518">
        <v>0.05</v>
      </c>
      <c r="F118" s="1521">
        <f t="shared" si="12"/>
        <v>1500000</v>
      </c>
      <c r="G118" s="1616">
        <v>1500000</v>
      </c>
      <c r="H118" s="1616" t="s">
        <v>3498</v>
      </c>
      <c r="I118" s="1616" t="s">
        <v>1479</v>
      </c>
      <c r="J118" s="1616">
        <f>G118</f>
        <v>1500000</v>
      </c>
      <c r="K118" s="1611">
        <f>F118-J118</f>
        <v>0</v>
      </c>
      <c r="L118" s="1523"/>
    </row>
    <row r="119" spans="1:12" ht="30" customHeight="1" x14ac:dyDescent="0.2">
      <c r="A119" s="2403"/>
      <c r="B119" s="3458"/>
      <c r="C119" s="3571"/>
      <c r="D119" s="2406">
        <v>10000000</v>
      </c>
      <c r="E119" s="2404">
        <v>0.05</v>
      </c>
      <c r="F119" s="2406">
        <f>D119*E119</f>
        <v>500000</v>
      </c>
      <c r="G119" s="2407"/>
      <c r="H119" s="2407"/>
      <c r="I119" s="2408"/>
      <c r="J119" s="2405"/>
      <c r="K119" s="2406"/>
      <c r="L119" s="2409" t="s">
        <v>4413</v>
      </c>
    </row>
    <row r="120" spans="1:12" ht="30" customHeight="1" x14ac:dyDescent="0.2">
      <c r="A120" s="3450">
        <v>72</v>
      </c>
      <c r="B120" s="3457" t="s">
        <v>1053</v>
      </c>
      <c r="C120" s="3570" t="s">
        <v>1817</v>
      </c>
      <c r="D120" s="3442">
        <v>1685000000</v>
      </c>
      <c r="E120" s="3444">
        <v>0.06</v>
      </c>
      <c r="F120" s="3442">
        <f t="shared" si="12"/>
        <v>101100000</v>
      </c>
      <c r="G120" s="1521">
        <v>50000000</v>
      </c>
      <c r="H120" s="1521" t="s">
        <v>3733</v>
      </c>
      <c r="I120" s="24" t="s">
        <v>3202</v>
      </c>
      <c r="J120" s="3442">
        <f>G120+G121</f>
        <v>100000000</v>
      </c>
      <c r="K120" s="3442">
        <f>F120-J120</f>
        <v>1100000</v>
      </c>
      <c r="L120" s="3607" t="s">
        <v>3473</v>
      </c>
    </row>
    <row r="121" spans="1:12" ht="30" customHeight="1" x14ac:dyDescent="0.2">
      <c r="A121" s="3451"/>
      <c r="B121" s="3458"/>
      <c r="C121" s="3571"/>
      <c r="D121" s="3443"/>
      <c r="E121" s="3445"/>
      <c r="F121" s="3443"/>
      <c r="G121" s="1521">
        <v>50000000</v>
      </c>
      <c r="H121" s="1521" t="s">
        <v>3798</v>
      </c>
      <c r="I121" s="24" t="s">
        <v>3202</v>
      </c>
      <c r="J121" s="3443"/>
      <c r="K121" s="3443"/>
      <c r="L121" s="3609"/>
    </row>
    <row r="122" spans="1:12" ht="30" customHeight="1" x14ac:dyDescent="0.2">
      <c r="A122" s="1516">
        <v>73</v>
      </c>
      <c r="B122" s="1570" t="s">
        <v>209</v>
      </c>
      <c r="C122" s="1541" t="s">
        <v>1348</v>
      </c>
      <c r="D122" s="1521">
        <v>20000000</v>
      </c>
      <c r="E122" s="1569">
        <v>0.05</v>
      </c>
      <c r="F122" s="1521">
        <f t="shared" si="12"/>
        <v>1000000</v>
      </c>
      <c r="G122" s="1521">
        <v>1000000</v>
      </c>
      <c r="H122" s="1521" t="s">
        <v>3570</v>
      </c>
      <c r="I122" s="24" t="s">
        <v>973</v>
      </c>
      <c r="J122" s="1521">
        <f t="shared" ref="J122:J127" si="13">G122</f>
        <v>1000000</v>
      </c>
      <c r="K122" s="1521">
        <f>F122-J122</f>
        <v>0</v>
      </c>
      <c r="L122" s="1570"/>
    </row>
    <row r="123" spans="1:12" ht="30" customHeight="1" x14ac:dyDescent="0.2">
      <c r="A123" s="1572">
        <v>74</v>
      </c>
      <c r="B123" s="1570" t="s">
        <v>210</v>
      </c>
      <c r="C123" s="1541" t="s">
        <v>916</v>
      </c>
      <c r="D123" s="1521">
        <v>125000000</v>
      </c>
      <c r="E123" s="1569">
        <v>0.04</v>
      </c>
      <c r="F123" s="1521">
        <f t="shared" si="12"/>
        <v>5000000</v>
      </c>
      <c r="G123" s="1521">
        <v>5000000</v>
      </c>
      <c r="H123" s="1521" t="s">
        <v>3570</v>
      </c>
      <c r="I123" s="24" t="s">
        <v>3574</v>
      </c>
      <c r="J123" s="1521">
        <f t="shared" si="13"/>
        <v>5000000</v>
      </c>
      <c r="K123" s="1521">
        <f>F123-J123</f>
        <v>0</v>
      </c>
      <c r="L123" s="1570"/>
    </row>
    <row r="124" spans="1:12" ht="30" customHeight="1" x14ac:dyDescent="0.2">
      <c r="A124" s="1516">
        <v>75</v>
      </c>
      <c r="B124" s="1570" t="s">
        <v>211</v>
      </c>
      <c r="C124" s="1541" t="s">
        <v>916</v>
      </c>
      <c r="D124" s="1521">
        <v>50000000</v>
      </c>
      <c r="E124" s="1569">
        <v>0.05</v>
      </c>
      <c r="F124" s="1521">
        <f t="shared" si="12"/>
        <v>2500000</v>
      </c>
      <c r="G124" s="1521">
        <v>2500000</v>
      </c>
      <c r="H124" s="1521" t="s">
        <v>3563</v>
      </c>
      <c r="I124" s="24" t="s">
        <v>977</v>
      </c>
      <c r="J124" s="1521">
        <f t="shared" si="13"/>
        <v>2500000</v>
      </c>
      <c r="K124" s="1521">
        <f>F124-J124</f>
        <v>0</v>
      </c>
      <c r="L124" s="1570"/>
    </row>
    <row r="125" spans="1:12" ht="30" customHeight="1" x14ac:dyDescent="0.2">
      <c r="A125" s="3450">
        <v>76</v>
      </c>
      <c r="B125" s="3457" t="s">
        <v>3598</v>
      </c>
      <c r="C125" s="3570" t="s">
        <v>1348</v>
      </c>
      <c r="D125" s="3442">
        <v>100000000</v>
      </c>
      <c r="E125" s="3444">
        <v>0.05</v>
      </c>
      <c r="F125" s="3442">
        <f t="shared" si="12"/>
        <v>5000000</v>
      </c>
      <c r="G125" s="1521">
        <v>5000000</v>
      </c>
      <c r="H125" s="1521" t="s">
        <v>3599</v>
      </c>
      <c r="I125" s="24" t="s">
        <v>1631</v>
      </c>
      <c r="J125" s="1521">
        <f t="shared" si="13"/>
        <v>5000000</v>
      </c>
      <c r="K125" s="1521">
        <f>F125-J125</f>
        <v>0</v>
      </c>
      <c r="L125" s="192" t="s">
        <v>3473</v>
      </c>
    </row>
    <row r="126" spans="1:12" ht="30" customHeight="1" x14ac:dyDescent="0.2">
      <c r="A126" s="3451"/>
      <c r="B126" s="3458"/>
      <c r="C126" s="3571"/>
      <c r="D126" s="3443"/>
      <c r="E126" s="3445"/>
      <c r="F126" s="3443"/>
      <c r="G126" s="2097">
        <v>5000000</v>
      </c>
      <c r="H126" s="2097" t="s">
        <v>4082</v>
      </c>
      <c r="I126" s="427" t="s">
        <v>1631</v>
      </c>
      <c r="J126" s="2097">
        <f t="shared" si="13"/>
        <v>5000000</v>
      </c>
      <c r="K126" s="2098">
        <f>F126-J126</f>
        <v>-5000000</v>
      </c>
      <c r="L126" s="192" t="s">
        <v>4092</v>
      </c>
    </row>
    <row r="127" spans="1:12" ht="30" customHeight="1" x14ac:dyDescent="0.2">
      <c r="A127" s="3450">
        <v>77</v>
      </c>
      <c r="B127" s="3457" t="s">
        <v>213</v>
      </c>
      <c r="C127" s="3570" t="s">
        <v>1816</v>
      </c>
      <c r="D127" s="1521">
        <v>30000000</v>
      </c>
      <c r="E127" s="1569">
        <v>7.0000000000000007E-2</v>
      </c>
      <c r="F127" s="1521">
        <f t="shared" si="12"/>
        <v>2100000</v>
      </c>
      <c r="G127" s="3442">
        <v>3675000</v>
      </c>
      <c r="H127" s="3442" t="s">
        <v>3576</v>
      </c>
      <c r="I127" s="3542" t="s">
        <v>981</v>
      </c>
      <c r="J127" s="3442">
        <f t="shared" si="13"/>
        <v>3675000</v>
      </c>
      <c r="K127" s="3442">
        <f>(F127+F128)-J127</f>
        <v>0</v>
      </c>
      <c r="L127" s="3468"/>
    </row>
    <row r="128" spans="1:12" ht="30" customHeight="1" x14ac:dyDescent="0.2">
      <c r="A128" s="3451"/>
      <c r="B128" s="3458"/>
      <c r="C128" s="3571"/>
      <c r="D128" s="1521">
        <v>35000000</v>
      </c>
      <c r="E128" s="1569">
        <v>4.4999999999999998E-2</v>
      </c>
      <c r="F128" s="1521">
        <f t="shared" si="12"/>
        <v>1575000</v>
      </c>
      <c r="G128" s="3443"/>
      <c r="H128" s="3443"/>
      <c r="I128" s="3543"/>
      <c r="J128" s="3443"/>
      <c r="K128" s="3443"/>
      <c r="L128" s="3469"/>
    </row>
    <row r="129" spans="1:16" ht="30" customHeight="1" x14ac:dyDescent="0.2">
      <c r="A129" s="1572">
        <v>78</v>
      </c>
      <c r="B129" s="1570" t="s">
        <v>214</v>
      </c>
      <c r="C129" s="1541"/>
      <c r="D129" s="1531"/>
      <c r="E129" s="44"/>
      <c r="F129" s="1531">
        <f t="shared" si="12"/>
        <v>0</v>
      </c>
      <c r="G129" s="1521">
        <v>1900000</v>
      </c>
      <c r="H129" s="1521" t="s">
        <v>3557</v>
      </c>
      <c r="I129" s="1582" t="s">
        <v>984</v>
      </c>
      <c r="J129" s="1521">
        <f t="shared" ref="J129:J135" si="14">G129</f>
        <v>1900000</v>
      </c>
      <c r="K129" s="1531">
        <f t="shared" ref="K129:K135" si="15">F129-J129</f>
        <v>-1900000</v>
      </c>
      <c r="L129" s="1570"/>
    </row>
    <row r="130" spans="1:16" ht="30" customHeight="1" x14ac:dyDescent="0.2">
      <c r="A130" s="1572">
        <v>79</v>
      </c>
      <c r="B130" s="1570" t="s">
        <v>215</v>
      </c>
      <c r="C130" s="1541" t="s">
        <v>916</v>
      </c>
      <c r="D130" s="1521">
        <v>15000000</v>
      </c>
      <c r="E130" s="1569">
        <v>4.4999999999999998E-2</v>
      </c>
      <c r="F130" s="1521">
        <f t="shared" si="12"/>
        <v>675000</v>
      </c>
      <c r="G130" s="1521">
        <v>675000</v>
      </c>
      <c r="H130" s="1521" t="s">
        <v>3498</v>
      </c>
      <c r="I130" s="24" t="s">
        <v>1875</v>
      </c>
      <c r="J130" s="1521">
        <f t="shared" si="14"/>
        <v>675000</v>
      </c>
      <c r="K130" s="1521">
        <f t="shared" si="15"/>
        <v>0</v>
      </c>
      <c r="L130" s="1570"/>
    </row>
    <row r="131" spans="1:16" ht="30" customHeight="1" x14ac:dyDescent="0.2">
      <c r="A131" s="1572">
        <v>80</v>
      </c>
      <c r="B131" s="1570" t="s">
        <v>185</v>
      </c>
      <c r="C131" s="1541" t="s">
        <v>1348</v>
      </c>
      <c r="D131" s="1521">
        <v>145000000</v>
      </c>
      <c r="E131" s="1569">
        <v>4.4999999999999998E-2</v>
      </c>
      <c r="F131" s="1521">
        <v>6775000</v>
      </c>
      <c r="G131" s="1521">
        <v>6775000</v>
      </c>
      <c r="H131" s="1521" t="s">
        <v>3563</v>
      </c>
      <c r="I131" s="1542" t="s">
        <v>2703</v>
      </c>
      <c r="J131" s="1521">
        <f t="shared" si="14"/>
        <v>6775000</v>
      </c>
      <c r="K131" s="1521">
        <f t="shared" si="15"/>
        <v>0</v>
      </c>
      <c r="L131" s="1570"/>
    </row>
    <row r="132" spans="1:16" ht="30" customHeight="1" x14ac:dyDescent="0.2">
      <c r="A132" s="1572">
        <v>81</v>
      </c>
      <c r="B132" s="1570" t="s">
        <v>216</v>
      </c>
      <c r="C132" s="1541"/>
      <c r="D132" s="1521">
        <v>5000000</v>
      </c>
      <c r="E132" s="1569">
        <v>0.04</v>
      </c>
      <c r="F132" s="1521">
        <f t="shared" si="12"/>
        <v>200000</v>
      </c>
      <c r="G132" s="1521">
        <v>200000</v>
      </c>
      <c r="H132" s="1521" t="s">
        <v>3570</v>
      </c>
      <c r="I132" s="24" t="s">
        <v>1435</v>
      </c>
      <c r="J132" s="1521">
        <f t="shared" si="14"/>
        <v>200000</v>
      </c>
      <c r="K132" s="1521">
        <f t="shared" si="15"/>
        <v>0</v>
      </c>
      <c r="L132" s="1570"/>
    </row>
    <row r="133" spans="1:16" ht="30" customHeight="1" x14ac:dyDescent="0.2">
      <c r="A133" s="1572">
        <v>82</v>
      </c>
      <c r="B133" s="1570" t="s">
        <v>217</v>
      </c>
      <c r="C133" s="1541"/>
      <c r="D133" s="1521">
        <v>16000000</v>
      </c>
      <c r="E133" s="1569">
        <v>0.05</v>
      </c>
      <c r="F133" s="1521">
        <f t="shared" si="12"/>
        <v>800000</v>
      </c>
      <c r="G133" s="1521">
        <v>800000</v>
      </c>
      <c r="H133" s="1521" t="s">
        <v>3553</v>
      </c>
      <c r="I133" s="1582" t="s">
        <v>993</v>
      </c>
      <c r="J133" s="1521">
        <f t="shared" si="14"/>
        <v>800000</v>
      </c>
      <c r="K133" s="1521">
        <f t="shared" si="15"/>
        <v>0</v>
      </c>
      <c r="L133" s="1570"/>
    </row>
    <row r="134" spans="1:16" ht="30" customHeight="1" x14ac:dyDescent="0.2">
      <c r="A134" s="1572">
        <v>83</v>
      </c>
      <c r="B134" s="1570" t="s">
        <v>218</v>
      </c>
      <c r="C134" s="1541" t="s">
        <v>1110</v>
      </c>
      <c r="D134" s="1521">
        <v>160000000</v>
      </c>
      <c r="E134" s="1569">
        <v>0.05</v>
      </c>
      <c r="F134" s="1521">
        <f>D134*E134</f>
        <v>8000000</v>
      </c>
      <c r="G134" s="1521">
        <v>8000000</v>
      </c>
      <c r="H134" s="1521" t="s">
        <v>3553</v>
      </c>
      <c r="I134" s="1542" t="s">
        <v>1788</v>
      </c>
      <c r="J134" s="1521">
        <f t="shared" si="14"/>
        <v>8000000</v>
      </c>
      <c r="K134" s="1521">
        <f t="shared" si="15"/>
        <v>0</v>
      </c>
      <c r="L134" s="1570"/>
    </row>
    <row r="135" spans="1:16" ht="30" customHeight="1" x14ac:dyDescent="0.2">
      <c r="A135" s="1572">
        <v>84</v>
      </c>
      <c r="B135" s="1570" t="s">
        <v>219</v>
      </c>
      <c r="C135" s="1541"/>
      <c r="D135" s="1521">
        <v>400000000</v>
      </c>
      <c r="E135" s="1569">
        <v>6.0999999999999999E-2</v>
      </c>
      <c r="F135" s="1521">
        <f t="shared" si="12"/>
        <v>24400000</v>
      </c>
      <c r="G135" s="1521">
        <v>24400000</v>
      </c>
      <c r="H135" s="1521" t="s">
        <v>3570</v>
      </c>
      <c r="I135" s="1582" t="s">
        <v>1646</v>
      </c>
      <c r="J135" s="1521">
        <f t="shared" si="14"/>
        <v>24400000</v>
      </c>
      <c r="K135" s="1521">
        <f t="shared" si="15"/>
        <v>0</v>
      </c>
      <c r="L135" s="1570"/>
    </row>
    <row r="136" spans="1:16" ht="30" customHeight="1" x14ac:dyDescent="0.2">
      <c r="A136" s="3450"/>
      <c r="B136" s="3457" t="s">
        <v>1004</v>
      </c>
      <c r="C136" s="3570" t="s">
        <v>916</v>
      </c>
      <c r="D136" s="3897">
        <v>850000000</v>
      </c>
      <c r="E136" s="3895">
        <f>F136/D136</f>
        <v>6.1647058823529409E-2</v>
      </c>
      <c r="F136" s="3897">
        <v>52400000</v>
      </c>
      <c r="G136" s="247">
        <v>40000000</v>
      </c>
      <c r="H136" s="1685" t="s">
        <v>3576</v>
      </c>
      <c r="I136" s="1685" t="s">
        <v>3651</v>
      </c>
      <c r="J136" s="3442">
        <f>G136+G137</f>
        <v>52400000</v>
      </c>
      <c r="K136" s="3442">
        <f>F136-J136</f>
        <v>0</v>
      </c>
      <c r="L136" s="3570"/>
    </row>
    <row r="137" spans="1:16" ht="30" customHeight="1" x14ac:dyDescent="0.2">
      <c r="A137" s="3451"/>
      <c r="B137" s="3458"/>
      <c r="C137" s="3571"/>
      <c r="D137" s="3898"/>
      <c r="E137" s="3896"/>
      <c r="F137" s="3898"/>
      <c r="G137" s="7">
        <v>12400000</v>
      </c>
      <c r="H137" s="7" t="s">
        <v>3668</v>
      </c>
      <c r="I137" s="1701" t="s">
        <v>2674</v>
      </c>
      <c r="J137" s="3443"/>
      <c r="K137" s="3443"/>
      <c r="L137" s="3571"/>
    </row>
    <row r="138" spans="1:16" ht="30" customHeight="1" x14ac:dyDescent="0.2">
      <c r="A138" s="3450">
        <v>86</v>
      </c>
      <c r="B138" s="3457" t="s">
        <v>220</v>
      </c>
      <c r="C138" s="3570" t="s">
        <v>916</v>
      </c>
      <c r="D138" s="1605">
        <v>108000000</v>
      </c>
      <c r="E138" s="1608">
        <v>0.05</v>
      </c>
      <c r="F138" s="1605">
        <f t="shared" si="12"/>
        <v>5400000</v>
      </c>
      <c r="G138" s="1605">
        <v>2400000</v>
      </c>
      <c r="H138" s="1605" t="s">
        <v>3563</v>
      </c>
      <c r="I138" s="1607" t="s">
        <v>1001</v>
      </c>
      <c r="J138" s="1607">
        <f>G138</f>
        <v>2400000</v>
      </c>
      <c r="K138" s="1607">
        <f>F138-J138</f>
        <v>3000000</v>
      </c>
      <c r="L138" s="1513" t="s">
        <v>3534</v>
      </c>
    </row>
    <row r="139" spans="1:16" ht="30" customHeight="1" x14ac:dyDescent="0.2">
      <c r="A139" s="3451"/>
      <c r="B139" s="3458"/>
      <c r="C139" s="3571"/>
      <c r="D139" s="1930">
        <v>111000000</v>
      </c>
      <c r="E139" s="1935">
        <v>0.05</v>
      </c>
      <c r="F139" s="1930">
        <f t="shared" si="12"/>
        <v>5550000</v>
      </c>
      <c r="G139" s="1930"/>
      <c r="H139" s="1930"/>
      <c r="I139" s="1933"/>
      <c r="J139" s="1930"/>
      <c r="K139" s="1930"/>
      <c r="L139" s="1625"/>
    </row>
    <row r="140" spans="1:16" ht="30" customHeight="1" x14ac:dyDescent="0.2">
      <c r="A140" s="1516"/>
      <c r="B140" s="1513" t="s">
        <v>177</v>
      </c>
      <c r="C140" s="1541"/>
      <c r="D140" s="1521">
        <v>723000000</v>
      </c>
      <c r="E140" s="1569">
        <f>F140/D140</f>
        <v>6.5560165975103737E-2</v>
      </c>
      <c r="F140" s="1521">
        <v>47400000</v>
      </c>
      <c r="G140" s="1521">
        <v>47400000</v>
      </c>
      <c r="H140" s="1521" t="s">
        <v>3576</v>
      </c>
      <c r="I140" s="21" t="s">
        <v>3196</v>
      </c>
      <c r="J140" s="1521">
        <f>G140</f>
        <v>47400000</v>
      </c>
      <c r="K140" s="1521">
        <f>F140-J140</f>
        <v>0</v>
      </c>
      <c r="L140" s="3640" t="s">
        <v>2490</v>
      </c>
      <c r="M140" s="3641"/>
      <c r="N140" s="3641"/>
      <c r="O140" s="3641"/>
      <c r="P140" s="3642"/>
    </row>
    <row r="141" spans="1:16" ht="30" customHeight="1" x14ac:dyDescent="0.2">
      <c r="A141" s="1572">
        <v>88</v>
      </c>
      <c r="B141" s="1570" t="s">
        <v>221</v>
      </c>
      <c r="C141" s="1541" t="s">
        <v>1350</v>
      </c>
      <c r="D141" s="1521">
        <v>45000000</v>
      </c>
      <c r="E141" s="1569">
        <v>0.04</v>
      </c>
      <c r="F141" s="1521">
        <v>2050000</v>
      </c>
      <c r="G141" s="1521">
        <v>2050000</v>
      </c>
      <c r="H141" s="1521" t="s">
        <v>3498</v>
      </c>
      <c r="I141" s="21" t="s">
        <v>779</v>
      </c>
      <c r="J141" s="1521">
        <f>G141</f>
        <v>2050000</v>
      </c>
      <c r="K141" s="1521">
        <f>F141-J141</f>
        <v>0</v>
      </c>
      <c r="L141" s="1570"/>
    </row>
    <row r="142" spans="1:16" ht="30" customHeight="1" x14ac:dyDescent="0.2">
      <c r="A142" s="3450">
        <v>89</v>
      </c>
      <c r="B142" s="3457" t="s">
        <v>222</v>
      </c>
      <c r="C142" s="3570" t="s">
        <v>1348</v>
      </c>
      <c r="D142" s="1510">
        <v>93000000</v>
      </c>
      <c r="E142" s="1569">
        <v>7.0000000000000007E-2</v>
      </c>
      <c r="F142" s="1542">
        <v>6500000</v>
      </c>
      <c r="G142" s="1590"/>
      <c r="H142" s="1590"/>
      <c r="I142" s="1590"/>
      <c r="J142" s="1520"/>
      <c r="K142" s="1520"/>
      <c r="L142" s="192" t="s">
        <v>3509</v>
      </c>
    </row>
    <row r="143" spans="1:16" ht="30" customHeight="1" x14ac:dyDescent="0.2">
      <c r="A143" s="3451"/>
      <c r="B143" s="3458"/>
      <c r="C143" s="3571"/>
      <c r="D143" s="1510">
        <v>450000000</v>
      </c>
      <c r="E143" s="1569">
        <v>0.05</v>
      </c>
      <c r="F143" s="1521">
        <f>D143*E143</f>
        <v>22500000</v>
      </c>
      <c r="G143" s="1590"/>
      <c r="H143" s="1590"/>
      <c r="I143" s="1590"/>
      <c r="J143" s="1520"/>
      <c r="K143" s="1520"/>
      <c r="L143" s="33" t="s">
        <v>3454</v>
      </c>
    </row>
    <row r="144" spans="1:16" ht="30" customHeight="1" x14ac:dyDescent="0.2">
      <c r="A144" s="3450">
        <v>90</v>
      </c>
      <c r="B144" s="3457" t="s">
        <v>223</v>
      </c>
      <c r="C144" s="3570" t="s">
        <v>1215</v>
      </c>
      <c r="D144" s="1521">
        <v>130000000</v>
      </c>
      <c r="E144" s="1569">
        <v>7.0000000000000007E-2</v>
      </c>
      <c r="F144" s="1521">
        <f>D144*E144</f>
        <v>9100000</v>
      </c>
      <c r="G144" s="3442">
        <v>14460000</v>
      </c>
      <c r="H144" s="3442" t="s">
        <v>3570</v>
      </c>
      <c r="I144" s="3452" t="s">
        <v>1921</v>
      </c>
      <c r="J144" s="3442">
        <f>G144</f>
        <v>14460000</v>
      </c>
      <c r="K144" s="3442">
        <f>(F144+F145)-J144</f>
        <v>0</v>
      </c>
      <c r="L144" s="3525"/>
    </row>
    <row r="145" spans="1:12" ht="30" customHeight="1" x14ac:dyDescent="0.2">
      <c r="A145" s="3451"/>
      <c r="B145" s="3458"/>
      <c r="C145" s="3571"/>
      <c r="D145" s="1521">
        <v>100000000</v>
      </c>
      <c r="E145" s="1569">
        <v>5.3999999999999999E-2</v>
      </c>
      <c r="F145" s="1521">
        <v>5360000</v>
      </c>
      <c r="G145" s="3443"/>
      <c r="H145" s="3443"/>
      <c r="I145" s="3453"/>
      <c r="J145" s="3443"/>
      <c r="K145" s="3443"/>
      <c r="L145" s="3526"/>
    </row>
    <row r="146" spans="1:12" ht="30" customHeight="1" x14ac:dyDescent="0.2">
      <c r="A146" s="3450">
        <v>91</v>
      </c>
      <c r="B146" s="3457" t="s">
        <v>224</v>
      </c>
      <c r="C146" s="3570"/>
      <c r="D146" s="1521">
        <v>50000000</v>
      </c>
      <c r="E146" s="1569">
        <v>0.05</v>
      </c>
      <c r="F146" s="1521">
        <f t="shared" si="12"/>
        <v>2500000</v>
      </c>
      <c r="G146" s="1521">
        <v>2500000</v>
      </c>
      <c r="H146" s="1521" t="s">
        <v>3621</v>
      </c>
      <c r="I146" s="21" t="s">
        <v>787</v>
      </c>
      <c r="J146" s="1521">
        <f>G146</f>
        <v>2500000</v>
      </c>
      <c r="K146" s="1521">
        <f>F146-J146</f>
        <v>0</v>
      </c>
      <c r="L146" s="3525"/>
    </row>
    <row r="147" spans="1:12" ht="30" customHeight="1" x14ac:dyDescent="0.2">
      <c r="A147" s="3451"/>
      <c r="B147" s="3458"/>
      <c r="C147" s="3571"/>
      <c r="D147" s="1774">
        <v>80000000</v>
      </c>
      <c r="E147" s="479">
        <v>0.05</v>
      </c>
      <c r="F147" s="1774">
        <f>D147*E147</f>
        <v>4000000</v>
      </c>
      <c r="G147" s="3600" t="s">
        <v>4054</v>
      </c>
      <c r="H147" s="3601"/>
      <c r="I147" s="3601"/>
      <c r="J147" s="3602"/>
      <c r="K147" s="1772"/>
      <c r="L147" s="3526"/>
    </row>
    <row r="148" spans="1:12" ht="30" customHeight="1" x14ac:dyDescent="0.2">
      <c r="A148" s="3450">
        <v>92</v>
      </c>
      <c r="B148" s="3525" t="s">
        <v>770</v>
      </c>
      <c r="C148" s="1571" t="s">
        <v>916</v>
      </c>
      <c r="D148" s="1542">
        <v>450000000</v>
      </c>
      <c r="E148" s="1569">
        <v>5.5E-2</v>
      </c>
      <c r="F148" s="1542">
        <v>24400000</v>
      </c>
      <c r="G148" s="1542">
        <v>24400000</v>
      </c>
      <c r="H148" s="1542" t="s">
        <v>3563</v>
      </c>
      <c r="I148" s="1566" t="s">
        <v>3144</v>
      </c>
      <c r="J148" s="1542">
        <f>G148</f>
        <v>24400000</v>
      </c>
      <c r="K148" s="1542">
        <f>F148-J148</f>
        <v>0</v>
      </c>
      <c r="L148" s="1567"/>
    </row>
    <row r="149" spans="1:12" ht="30" customHeight="1" x14ac:dyDescent="0.2">
      <c r="A149" s="3456"/>
      <c r="B149" s="3643"/>
      <c r="C149" s="3570" t="s">
        <v>1342</v>
      </c>
      <c r="D149" s="1521">
        <v>273000000</v>
      </c>
      <c r="E149" s="1518">
        <f>F149/D149</f>
        <v>5.4615384615384614E-2</v>
      </c>
      <c r="F149" s="1521">
        <v>14910000</v>
      </c>
      <c r="G149" s="3325" t="s">
        <v>3741</v>
      </c>
      <c r="H149" s="3340"/>
      <c r="I149" s="3340"/>
      <c r="J149" s="3341"/>
      <c r="K149" s="1542"/>
      <c r="L149" s="192" t="s">
        <v>3743</v>
      </c>
    </row>
    <row r="150" spans="1:12" ht="30" customHeight="1" x14ac:dyDescent="0.2">
      <c r="A150" s="3451"/>
      <c r="B150" s="3526"/>
      <c r="C150" s="3571"/>
      <c r="D150" s="1737">
        <v>100000000</v>
      </c>
      <c r="E150" s="1736">
        <v>0.05</v>
      </c>
      <c r="F150" s="1735">
        <f>D150*E150</f>
        <v>5000000</v>
      </c>
      <c r="G150" s="1732"/>
      <c r="H150" s="7"/>
      <c r="I150" s="567"/>
      <c r="J150" s="1731"/>
      <c r="K150" s="1731"/>
      <c r="L150" s="192" t="s">
        <v>3742</v>
      </c>
    </row>
    <row r="151" spans="1:12" ht="30" customHeight="1" x14ac:dyDescent="0.2">
      <c r="A151" s="3450"/>
      <c r="B151" s="3457" t="s">
        <v>225</v>
      </c>
      <c r="C151" s="3570"/>
      <c r="D151" s="3521" t="s">
        <v>3610</v>
      </c>
      <c r="E151" s="3613"/>
      <c r="F151" s="3522"/>
      <c r="G151" s="1633">
        <v>50000000</v>
      </c>
      <c r="H151" s="1633" t="s">
        <v>3576</v>
      </c>
      <c r="I151" s="1641" t="s">
        <v>3577</v>
      </c>
      <c r="J151" s="3442">
        <f>G151+G152</f>
        <v>100000000</v>
      </c>
      <c r="K151" s="3442">
        <f>100000000-J151</f>
        <v>0</v>
      </c>
      <c r="L151" s="3570"/>
    </row>
    <row r="152" spans="1:12" ht="30" customHeight="1" x14ac:dyDescent="0.2">
      <c r="A152" s="3456"/>
      <c r="B152" s="3459"/>
      <c r="C152" s="3576"/>
      <c r="D152" s="3523"/>
      <c r="E152" s="3614"/>
      <c r="F152" s="3524"/>
      <c r="G152" s="1633">
        <v>50000000</v>
      </c>
      <c r="H152" s="1633" t="s">
        <v>3599</v>
      </c>
      <c r="I152" s="24" t="s">
        <v>3577</v>
      </c>
      <c r="J152" s="3443"/>
      <c r="K152" s="3443"/>
      <c r="L152" s="3576"/>
    </row>
    <row r="153" spans="1:12" ht="30" customHeight="1" x14ac:dyDescent="0.2">
      <c r="A153" s="3451"/>
      <c r="B153" s="3458"/>
      <c r="C153" s="3571"/>
      <c r="D153" s="1633">
        <v>50000000</v>
      </c>
      <c r="E153" s="1643"/>
      <c r="F153" s="1633"/>
      <c r="G153" s="3478" t="s">
        <v>3611</v>
      </c>
      <c r="H153" s="3479"/>
      <c r="I153" s="3479"/>
      <c r="J153" s="3480"/>
      <c r="K153" s="1633"/>
      <c r="L153" s="3571"/>
    </row>
    <row r="154" spans="1:12" ht="30" customHeight="1" x14ac:dyDescent="0.2">
      <c r="A154" s="1572">
        <v>94</v>
      </c>
      <c r="B154" s="1570" t="s">
        <v>1182</v>
      </c>
      <c r="C154" s="1541"/>
      <c r="D154" s="1521">
        <v>25000000</v>
      </c>
      <c r="E154" s="1569">
        <v>0.04</v>
      </c>
      <c r="F154" s="1521">
        <f>D154*E154</f>
        <v>1000000</v>
      </c>
      <c r="G154" s="1521">
        <v>1000000</v>
      </c>
      <c r="H154" s="1521" t="s">
        <v>3599</v>
      </c>
      <c r="I154" s="24" t="s">
        <v>1184</v>
      </c>
      <c r="J154" s="1521">
        <f>G154</f>
        <v>1000000</v>
      </c>
      <c r="K154" s="1521">
        <f>F154-J154</f>
        <v>0</v>
      </c>
      <c r="L154" s="1570"/>
    </row>
    <row r="155" spans="1:12" ht="30" customHeight="1" x14ac:dyDescent="0.2">
      <c r="A155" s="3450">
        <v>95</v>
      </c>
      <c r="B155" s="3457" t="s">
        <v>226</v>
      </c>
      <c r="C155" s="3570"/>
      <c r="D155" s="3442">
        <v>350000000</v>
      </c>
      <c r="E155" s="3444">
        <v>0.05</v>
      </c>
      <c r="F155" s="3442">
        <f>D155*E155</f>
        <v>17500000</v>
      </c>
      <c r="G155" s="1521">
        <v>12500000</v>
      </c>
      <c r="H155" s="1521" t="s">
        <v>3563</v>
      </c>
      <c r="I155" s="24" t="s">
        <v>3567</v>
      </c>
      <c r="J155" s="1770">
        <f>G155</f>
        <v>12500000</v>
      </c>
      <c r="K155" s="1770">
        <f>F155-J155</f>
        <v>5000000</v>
      </c>
      <c r="L155" s="3627" t="s">
        <v>1672</v>
      </c>
    </row>
    <row r="156" spans="1:12" ht="30" customHeight="1" x14ac:dyDescent="0.2">
      <c r="A156" s="3456"/>
      <c r="B156" s="3459"/>
      <c r="C156" s="3576"/>
      <c r="D156" s="3443"/>
      <c r="E156" s="3445"/>
      <c r="F156" s="3443"/>
      <c r="G156" s="3615" t="s">
        <v>3806</v>
      </c>
      <c r="H156" s="3616"/>
      <c r="I156" s="3616"/>
      <c r="J156" s="3617"/>
      <c r="K156" s="7"/>
      <c r="L156" s="3668"/>
    </row>
    <row r="157" spans="1:12" ht="30" customHeight="1" x14ac:dyDescent="0.2">
      <c r="A157" s="3451"/>
      <c r="B157" s="3458"/>
      <c r="C157" s="3571"/>
      <c r="D157" s="1767">
        <v>355000000</v>
      </c>
      <c r="E157" s="1765">
        <v>0.05</v>
      </c>
      <c r="F157" s="1767">
        <f>D157*E157</f>
        <v>17750000</v>
      </c>
      <c r="G157" s="1767"/>
      <c r="H157" s="1767"/>
      <c r="I157" s="24"/>
      <c r="J157" s="1770"/>
      <c r="K157" s="7"/>
      <c r="L157" s="3628"/>
    </row>
    <row r="158" spans="1:12" ht="30" customHeight="1" x14ac:dyDescent="0.2">
      <c r="A158" s="1572">
        <v>96</v>
      </c>
      <c r="B158" s="1570" t="s">
        <v>227</v>
      </c>
      <c r="C158" s="1541"/>
      <c r="D158" s="1521">
        <v>70000000</v>
      </c>
      <c r="E158" s="1569">
        <v>0.05</v>
      </c>
      <c r="F158" s="1521">
        <f>D158*E158</f>
        <v>3500000</v>
      </c>
      <c r="G158" s="1521">
        <v>3500000</v>
      </c>
      <c r="H158" s="1521" t="s">
        <v>3570</v>
      </c>
      <c r="I158" s="1542" t="s">
        <v>1512</v>
      </c>
      <c r="J158" s="1521">
        <f>F158</f>
        <v>3500000</v>
      </c>
      <c r="K158" s="1521">
        <f>F158-J158</f>
        <v>0</v>
      </c>
      <c r="L158" s="1570"/>
    </row>
    <row r="159" spans="1:12" ht="30" customHeight="1" x14ac:dyDescent="0.2">
      <c r="A159" s="1572">
        <v>97</v>
      </c>
      <c r="B159" s="1570" t="s">
        <v>228</v>
      </c>
      <c r="C159" s="1541"/>
      <c r="D159" s="1521">
        <v>100000000</v>
      </c>
      <c r="E159" s="1569">
        <v>0.04</v>
      </c>
      <c r="F159" s="1611">
        <f t="shared" ref="F159:F160" si="16">D159*E159</f>
        <v>4000000</v>
      </c>
      <c r="G159" s="1521"/>
      <c r="H159" s="1521"/>
      <c r="I159" s="24"/>
      <c r="J159" s="1521"/>
      <c r="K159" s="1521">
        <f>F159-J159</f>
        <v>4000000</v>
      </c>
      <c r="L159" s="1570"/>
    </row>
    <row r="160" spans="1:12" ht="30" customHeight="1" x14ac:dyDescent="0.2">
      <c r="A160" s="1572">
        <v>98</v>
      </c>
      <c r="B160" s="1570" t="s">
        <v>229</v>
      </c>
      <c r="C160" s="1541"/>
      <c r="D160" s="1521">
        <v>20000000</v>
      </c>
      <c r="E160" s="1569">
        <v>0.05</v>
      </c>
      <c r="F160" s="1611">
        <f t="shared" si="16"/>
        <v>1000000</v>
      </c>
      <c r="G160" s="1521">
        <v>1000000</v>
      </c>
      <c r="H160" s="1521" t="s">
        <v>3621</v>
      </c>
      <c r="I160" s="1542" t="s">
        <v>812</v>
      </c>
      <c r="J160" s="1521">
        <f>G160</f>
        <v>1000000</v>
      </c>
      <c r="K160" s="1521">
        <f>F160-J160</f>
        <v>0</v>
      </c>
      <c r="L160" s="1570"/>
    </row>
    <row r="161" spans="1:12" ht="30" customHeight="1" x14ac:dyDescent="0.2">
      <c r="A161" s="1572">
        <v>99</v>
      </c>
      <c r="B161" s="1570" t="s">
        <v>230</v>
      </c>
      <c r="C161" s="1541" t="s">
        <v>1352</v>
      </c>
      <c r="D161" s="1521">
        <v>100000000</v>
      </c>
      <c r="E161" s="1569">
        <v>0.04</v>
      </c>
      <c r="F161" s="1521">
        <f>D161*E161</f>
        <v>4000000</v>
      </c>
      <c r="G161" s="1521">
        <v>4000000</v>
      </c>
      <c r="H161" s="1521" t="s">
        <v>3498</v>
      </c>
      <c r="I161" s="1582" t="s">
        <v>3539</v>
      </c>
      <c r="J161" s="1521">
        <f>G161</f>
        <v>4000000</v>
      </c>
      <c r="K161" s="1521">
        <f>F161-J161</f>
        <v>0</v>
      </c>
      <c r="L161" s="1570"/>
    </row>
    <row r="162" spans="1:12" ht="30" customHeight="1" x14ac:dyDescent="0.2">
      <c r="A162" s="1572">
        <v>100</v>
      </c>
      <c r="B162" s="1570" t="s">
        <v>231</v>
      </c>
      <c r="C162" s="1541" t="s">
        <v>401</v>
      </c>
      <c r="D162" s="1521">
        <v>101000000</v>
      </c>
      <c r="E162" s="1569">
        <v>5.0999999999999997E-2</v>
      </c>
      <c r="F162" s="1611">
        <v>5100000</v>
      </c>
      <c r="G162" s="1521">
        <v>5100000</v>
      </c>
      <c r="H162" s="1521" t="s">
        <v>3599</v>
      </c>
      <c r="I162" s="24" t="s">
        <v>2994</v>
      </c>
      <c r="J162" s="1521">
        <f>G162</f>
        <v>5100000</v>
      </c>
      <c r="K162" s="1521">
        <f>F162-J162</f>
        <v>0</v>
      </c>
      <c r="L162" s="1570"/>
    </row>
    <row r="163" spans="1:12" ht="30" customHeight="1" x14ac:dyDescent="0.2">
      <c r="A163" s="3450"/>
      <c r="B163" s="3457" t="s">
        <v>180</v>
      </c>
      <c r="C163" s="3570" t="s">
        <v>1110</v>
      </c>
      <c r="D163" s="1542">
        <v>13000000</v>
      </c>
      <c r="E163" s="2107">
        <v>0.06</v>
      </c>
      <c r="F163" s="2098">
        <f>D163*E163</f>
        <v>780000</v>
      </c>
      <c r="G163" s="3442">
        <v>6000000</v>
      </c>
      <c r="H163" s="3442" t="s">
        <v>4082</v>
      </c>
      <c r="I163" s="3442" t="s">
        <v>3481</v>
      </c>
      <c r="J163" s="3442">
        <f>G163</f>
        <v>6000000</v>
      </c>
      <c r="K163" s="3442">
        <f>(F163+F164+F165)-J163</f>
        <v>0</v>
      </c>
      <c r="L163" s="1564" t="s">
        <v>3438</v>
      </c>
    </row>
    <row r="164" spans="1:12" ht="30" customHeight="1" x14ac:dyDescent="0.2">
      <c r="A164" s="3451"/>
      <c r="B164" s="3459"/>
      <c r="C164" s="3576"/>
      <c r="D164" s="2094">
        <v>80000000</v>
      </c>
      <c r="E164" s="2107">
        <v>0.06</v>
      </c>
      <c r="F164" s="2098">
        <f>D164*E164</f>
        <v>4800000</v>
      </c>
      <c r="G164" s="3461"/>
      <c r="H164" s="3461"/>
      <c r="I164" s="3461"/>
      <c r="J164" s="3461"/>
      <c r="K164" s="3461"/>
      <c r="L164" s="1564" t="s">
        <v>3480</v>
      </c>
    </row>
    <row r="165" spans="1:12" ht="30" customHeight="1" x14ac:dyDescent="0.2">
      <c r="A165" s="1515"/>
      <c r="B165" s="3458"/>
      <c r="C165" s="3571"/>
      <c r="D165" s="2097">
        <v>7000000</v>
      </c>
      <c r="E165" s="2095">
        <v>0.06</v>
      </c>
      <c r="F165" s="2097">
        <f t="shared" si="12"/>
        <v>420000</v>
      </c>
      <c r="G165" s="3443"/>
      <c r="H165" s="3443"/>
      <c r="I165" s="3443"/>
      <c r="J165" s="3443"/>
      <c r="K165" s="3443"/>
      <c r="L165" s="1624"/>
    </row>
    <row r="166" spans="1:12" s="1593" customFormat="1" ht="30" customHeight="1" x14ac:dyDescent="0.2">
      <c r="A166" s="1572"/>
      <c r="B166" s="22" t="s">
        <v>233</v>
      </c>
      <c r="C166" s="1571" t="s">
        <v>1215</v>
      </c>
      <c r="D166" s="1542">
        <v>37000000</v>
      </c>
      <c r="E166" s="1569">
        <v>5.5E-2</v>
      </c>
      <c r="F166" s="1542">
        <v>2000000</v>
      </c>
      <c r="G166" s="1542">
        <v>2000000</v>
      </c>
      <c r="H166" s="1542" t="s">
        <v>3563</v>
      </c>
      <c r="I166" s="1542" t="s">
        <v>1644</v>
      </c>
      <c r="J166" s="1542">
        <f>G166</f>
        <v>2000000</v>
      </c>
      <c r="K166" s="1542">
        <f>F166-J166</f>
        <v>0</v>
      </c>
      <c r="L166" s="168" t="s">
        <v>3512</v>
      </c>
    </row>
    <row r="167" spans="1:12" ht="30" customHeight="1" x14ac:dyDescent="0.2">
      <c r="A167" s="1516">
        <v>104</v>
      </c>
      <c r="B167" s="1513" t="s">
        <v>234</v>
      </c>
      <c r="C167" s="1541" t="s">
        <v>1215</v>
      </c>
      <c r="D167" s="1521">
        <v>20000000</v>
      </c>
      <c r="E167" s="1518">
        <v>0.05</v>
      </c>
      <c r="F167" s="1521">
        <f t="shared" si="12"/>
        <v>1000000</v>
      </c>
      <c r="G167" s="1521">
        <v>1000000</v>
      </c>
      <c r="H167" s="1521" t="s">
        <v>3570</v>
      </c>
      <c r="I167" s="24" t="s">
        <v>3573</v>
      </c>
      <c r="J167" s="1521">
        <f>G167</f>
        <v>1000000</v>
      </c>
      <c r="K167" s="1521">
        <f>F167-J167</f>
        <v>0</v>
      </c>
      <c r="L167" s="1513"/>
    </row>
    <row r="168" spans="1:12" ht="30" customHeight="1" x14ac:dyDescent="0.2">
      <c r="A168" s="3450">
        <v>105</v>
      </c>
      <c r="B168" s="3677" t="s">
        <v>235</v>
      </c>
      <c r="C168" s="3570"/>
      <c r="D168" s="3505"/>
      <c r="E168" s="3507"/>
      <c r="F168" s="3505">
        <f t="shared" ref="F168:F205" si="17">D168*E168</f>
        <v>0</v>
      </c>
      <c r="G168" s="1521">
        <v>1900000</v>
      </c>
      <c r="H168" s="1521" t="s">
        <v>3553</v>
      </c>
      <c r="I168" s="24" t="s">
        <v>795</v>
      </c>
      <c r="J168" s="1521">
        <f>G168</f>
        <v>1900000</v>
      </c>
      <c r="K168" s="1531">
        <f>F168-J168</f>
        <v>-1900000</v>
      </c>
      <c r="L168" s="1570"/>
    </row>
    <row r="169" spans="1:12" ht="30" customHeight="1" x14ac:dyDescent="0.2">
      <c r="A169" s="3451"/>
      <c r="B169" s="3679"/>
      <c r="C169" s="3571"/>
      <c r="D169" s="3506"/>
      <c r="E169" s="3508"/>
      <c r="F169" s="3506"/>
      <c r="G169" s="1695">
        <v>2000000</v>
      </c>
      <c r="H169" s="1695" t="s">
        <v>3684</v>
      </c>
      <c r="I169" s="24" t="s">
        <v>3685</v>
      </c>
      <c r="J169" s="1695">
        <f>G169</f>
        <v>2000000</v>
      </c>
      <c r="K169" s="1699"/>
      <c r="L169" s="103" t="s">
        <v>3686</v>
      </c>
    </row>
    <row r="170" spans="1:12" ht="30" customHeight="1" x14ac:dyDescent="0.2">
      <c r="A170" s="3450">
        <v>106</v>
      </c>
      <c r="B170" s="3457" t="s">
        <v>236</v>
      </c>
      <c r="C170" s="3570"/>
      <c r="D170" s="1521">
        <v>100000000</v>
      </c>
      <c r="E170" s="1569">
        <v>0.04</v>
      </c>
      <c r="F170" s="1521">
        <f t="shared" si="17"/>
        <v>4000000</v>
      </c>
      <c r="G170" s="1521">
        <v>4000000</v>
      </c>
      <c r="H170" s="1521" t="s">
        <v>3668</v>
      </c>
      <c r="I170" s="1542" t="s">
        <v>797</v>
      </c>
      <c r="J170" s="1521">
        <f>F170</f>
        <v>4000000</v>
      </c>
      <c r="K170" s="1521">
        <f>F170-J170</f>
        <v>0</v>
      </c>
      <c r="L170" s="1570"/>
    </row>
    <row r="171" spans="1:12" ht="30" customHeight="1" x14ac:dyDescent="0.2">
      <c r="A171" s="3451"/>
      <c r="B171" s="3458"/>
      <c r="C171" s="3571"/>
      <c r="D171" s="1596">
        <v>180000000</v>
      </c>
      <c r="E171" s="1598">
        <v>0.05</v>
      </c>
      <c r="F171" s="1596">
        <f>D171*E171</f>
        <v>9000000</v>
      </c>
      <c r="G171" s="3891" t="s">
        <v>3827</v>
      </c>
      <c r="H171" s="3892"/>
      <c r="I171" s="3892"/>
      <c r="J171" s="3893"/>
      <c r="K171" s="1772"/>
      <c r="L171" s="1784"/>
    </row>
    <row r="172" spans="1:12" ht="30" customHeight="1" x14ac:dyDescent="0.2">
      <c r="A172" s="1572">
        <v>107</v>
      </c>
      <c r="B172" s="1570" t="s">
        <v>237</v>
      </c>
      <c r="C172" s="1541"/>
      <c r="D172" s="1521">
        <v>65000000</v>
      </c>
      <c r="E172" s="1569">
        <v>3.4000000000000002E-2</v>
      </c>
      <c r="F172" s="1521">
        <v>2200000</v>
      </c>
      <c r="G172" s="1521">
        <v>2200000</v>
      </c>
      <c r="H172" s="1521" t="s">
        <v>3563</v>
      </c>
      <c r="I172" s="1542" t="s">
        <v>821</v>
      </c>
      <c r="J172" s="1521">
        <f>G172</f>
        <v>2200000</v>
      </c>
      <c r="K172" s="1521">
        <f>F172-J172</f>
        <v>0</v>
      </c>
      <c r="L172" s="1570"/>
    </row>
    <row r="173" spans="1:12" ht="30" customHeight="1" x14ac:dyDescent="0.2">
      <c r="A173" s="3450">
        <v>108</v>
      </c>
      <c r="B173" s="3457" t="s">
        <v>238</v>
      </c>
      <c r="C173" s="3570"/>
      <c r="D173" s="3442">
        <v>1430000000</v>
      </c>
      <c r="E173" s="3444">
        <v>5.5E-2</v>
      </c>
      <c r="F173" s="3442">
        <f t="shared" si="17"/>
        <v>78650000</v>
      </c>
      <c r="G173" s="1881">
        <v>50000000</v>
      </c>
      <c r="H173" s="1881" t="s">
        <v>3576</v>
      </c>
      <c r="I173" s="24" t="s">
        <v>1763</v>
      </c>
      <c r="J173" s="3442">
        <f>G173+G174+G175</f>
        <v>78650000</v>
      </c>
      <c r="K173" s="3442">
        <f>F173-J173</f>
        <v>0</v>
      </c>
      <c r="L173" s="3627"/>
    </row>
    <row r="174" spans="1:12" ht="30" customHeight="1" x14ac:dyDescent="0.2">
      <c r="A174" s="3456"/>
      <c r="B174" s="3459"/>
      <c r="C174" s="3576"/>
      <c r="D174" s="3461"/>
      <c r="E174" s="3474"/>
      <c r="F174" s="3461"/>
      <c r="G174" s="1881">
        <v>20000000</v>
      </c>
      <c r="H174" s="1881" t="s">
        <v>3621</v>
      </c>
      <c r="I174" s="24" t="s">
        <v>1763</v>
      </c>
      <c r="J174" s="3461"/>
      <c r="K174" s="3461"/>
      <c r="L174" s="3668"/>
    </row>
    <row r="175" spans="1:12" ht="30" customHeight="1" x14ac:dyDescent="0.2">
      <c r="A175" s="3451"/>
      <c r="B175" s="3458"/>
      <c r="C175" s="3571"/>
      <c r="D175" s="3443"/>
      <c r="E175" s="3445"/>
      <c r="F175" s="3443"/>
      <c r="G175" s="1881">
        <v>8650000</v>
      </c>
      <c r="H175" s="1881" t="s">
        <v>3668</v>
      </c>
      <c r="I175" s="24" t="s">
        <v>1763</v>
      </c>
      <c r="J175" s="3443"/>
      <c r="K175" s="3443"/>
      <c r="L175" s="3628"/>
    </row>
    <row r="176" spans="1:12" ht="30" customHeight="1" x14ac:dyDescent="0.2">
      <c r="A176" s="1572">
        <v>109</v>
      </c>
      <c r="B176" s="1570" t="s">
        <v>239</v>
      </c>
      <c r="C176" s="1541"/>
      <c r="D176" s="1521">
        <v>1000000000</v>
      </c>
      <c r="E176" s="1569">
        <v>0.05</v>
      </c>
      <c r="F176" s="1521">
        <f t="shared" si="17"/>
        <v>50000000</v>
      </c>
      <c r="G176" s="1521">
        <v>50000000</v>
      </c>
      <c r="H176" s="1521" t="s">
        <v>3570</v>
      </c>
      <c r="I176" s="24" t="s">
        <v>3571</v>
      </c>
      <c r="J176" s="1521">
        <f>G176</f>
        <v>50000000</v>
      </c>
      <c r="K176" s="1521">
        <f>F176-J176</f>
        <v>0</v>
      </c>
      <c r="L176" s="1570"/>
    </row>
    <row r="177" spans="1:12" ht="30" customHeight="1" x14ac:dyDescent="0.2">
      <c r="A177" s="1572">
        <v>110</v>
      </c>
      <c r="B177" s="1567" t="s">
        <v>1960</v>
      </c>
      <c r="C177" s="1540" t="s">
        <v>1347</v>
      </c>
      <c r="D177" s="1521">
        <v>14000000</v>
      </c>
      <c r="E177" s="1569">
        <v>4.2999999999999997E-2</v>
      </c>
      <c r="F177" s="1521">
        <v>600000</v>
      </c>
      <c r="G177" s="1521">
        <v>600000</v>
      </c>
      <c r="H177" s="1521" t="s">
        <v>3696</v>
      </c>
      <c r="I177" s="24" t="s">
        <v>1972</v>
      </c>
      <c r="J177" s="1542">
        <f>G177</f>
        <v>600000</v>
      </c>
      <c r="K177" s="1542">
        <f>F177-J177</f>
        <v>0</v>
      </c>
      <c r="L177" s="22"/>
    </row>
    <row r="178" spans="1:12" ht="30" customHeight="1" x14ac:dyDescent="0.2">
      <c r="A178" s="3450">
        <v>111</v>
      </c>
      <c r="B178" s="3457" t="s">
        <v>240</v>
      </c>
      <c r="C178" s="3570" t="s">
        <v>401</v>
      </c>
      <c r="D178" s="1521">
        <v>20000000</v>
      </c>
      <c r="E178" s="1569">
        <v>4.4999999999999998E-2</v>
      </c>
      <c r="F178" s="1521">
        <f>D178*E178</f>
        <v>900000</v>
      </c>
      <c r="G178" s="1521">
        <v>900000</v>
      </c>
      <c r="H178" s="1521" t="s">
        <v>3563</v>
      </c>
      <c r="I178" s="24" t="s">
        <v>563</v>
      </c>
      <c r="J178" s="1542">
        <f>G178</f>
        <v>900000</v>
      </c>
      <c r="K178" s="1542">
        <f>F178-J178</f>
        <v>0</v>
      </c>
      <c r="L178" s="22"/>
    </row>
    <row r="179" spans="1:12" ht="30" customHeight="1" x14ac:dyDescent="0.2">
      <c r="A179" s="3451"/>
      <c r="B179" s="3458"/>
      <c r="C179" s="3571"/>
      <c r="D179" s="1633">
        <v>30000000</v>
      </c>
      <c r="E179" s="1652">
        <v>0.05</v>
      </c>
      <c r="F179" s="1633">
        <f>D179*E179</f>
        <v>1500000</v>
      </c>
      <c r="G179" s="3478" t="s">
        <v>3586</v>
      </c>
      <c r="H179" s="3479"/>
      <c r="I179" s="3479"/>
      <c r="J179" s="3480"/>
      <c r="K179" s="1633"/>
      <c r="L179" s="22"/>
    </row>
    <row r="180" spans="1:12" ht="30" customHeight="1" x14ac:dyDescent="0.2">
      <c r="A180" s="1572">
        <v>112</v>
      </c>
      <c r="B180" s="1570" t="s">
        <v>241</v>
      </c>
      <c r="C180" s="1571"/>
      <c r="D180" s="1521">
        <v>40000000</v>
      </c>
      <c r="E180" s="1569">
        <v>0.05</v>
      </c>
      <c r="F180" s="1521">
        <f t="shared" si="17"/>
        <v>2000000</v>
      </c>
      <c r="G180" s="1521">
        <v>2000000</v>
      </c>
      <c r="H180" s="1521" t="s">
        <v>3599</v>
      </c>
      <c r="I180" s="1582" t="s">
        <v>3601</v>
      </c>
      <c r="J180" s="1521">
        <f>G180</f>
        <v>2000000</v>
      </c>
      <c r="K180" s="1521">
        <f>F180-J180</f>
        <v>0</v>
      </c>
      <c r="L180" s="1570"/>
    </row>
    <row r="181" spans="1:12" ht="30" customHeight="1" x14ac:dyDescent="0.2">
      <c r="A181" s="1516"/>
      <c r="B181" s="1511" t="s">
        <v>242</v>
      </c>
      <c r="C181" s="1571" t="s">
        <v>411</v>
      </c>
      <c r="D181" s="1521">
        <v>250000000</v>
      </c>
      <c r="E181" s="1569">
        <v>0.05</v>
      </c>
      <c r="F181" s="1521">
        <f>D181*E181</f>
        <v>12500000</v>
      </c>
      <c r="G181" s="3674" t="s">
        <v>2907</v>
      </c>
      <c r="H181" s="3675"/>
      <c r="I181" s="3675"/>
      <c r="J181" s="3676"/>
      <c r="K181" s="1521"/>
      <c r="L181" s="1538"/>
    </row>
    <row r="182" spans="1:12" ht="30" customHeight="1" x14ac:dyDescent="0.2">
      <c r="A182" s="1572">
        <v>114</v>
      </c>
      <c r="B182" s="1570" t="s">
        <v>243</v>
      </c>
      <c r="C182" s="1541"/>
      <c r="D182" s="1521">
        <v>100000000</v>
      </c>
      <c r="E182" s="1569">
        <v>4.4999999999999998E-2</v>
      </c>
      <c r="F182" s="1521">
        <f t="shared" si="17"/>
        <v>4500000</v>
      </c>
      <c r="G182" s="1521"/>
      <c r="H182" s="1521"/>
      <c r="I182" s="89"/>
      <c r="J182" s="1521">
        <f>G182</f>
        <v>0</v>
      </c>
      <c r="K182" s="1521">
        <f>F182-J182</f>
        <v>4500000</v>
      </c>
      <c r="L182" s="1570"/>
    </row>
    <row r="183" spans="1:12" ht="30" customHeight="1" x14ac:dyDescent="0.2">
      <c r="A183" s="426">
        <v>115</v>
      </c>
      <c r="B183" s="1567" t="s">
        <v>244</v>
      </c>
      <c r="C183" s="1540" t="s">
        <v>1175</v>
      </c>
      <c r="D183" s="1519">
        <v>20000000</v>
      </c>
      <c r="E183" s="1517">
        <v>0.05</v>
      </c>
      <c r="F183" s="1519">
        <f t="shared" si="17"/>
        <v>1000000</v>
      </c>
      <c r="G183" s="1521">
        <v>1000000</v>
      </c>
      <c r="H183" s="1521" t="s">
        <v>4024</v>
      </c>
      <c r="I183" s="24" t="s">
        <v>1444</v>
      </c>
      <c r="J183" s="1521">
        <f>G183</f>
        <v>1000000</v>
      </c>
      <c r="K183" s="1521">
        <f>F183-J183</f>
        <v>0</v>
      </c>
      <c r="L183" s="1526"/>
    </row>
    <row r="184" spans="1:12" ht="30" customHeight="1" x14ac:dyDescent="0.2">
      <c r="A184" s="1081"/>
      <c r="B184" s="22" t="s">
        <v>246</v>
      </c>
      <c r="C184" s="1571" t="s">
        <v>916</v>
      </c>
      <c r="D184" s="1542">
        <v>445000000</v>
      </c>
      <c r="E184" s="1569">
        <v>4.4999999999999998E-2</v>
      </c>
      <c r="F184" s="1542">
        <v>20000000</v>
      </c>
      <c r="G184" s="1521">
        <v>20000000</v>
      </c>
      <c r="H184" s="1521" t="s">
        <v>4082</v>
      </c>
      <c r="I184" s="89" t="s">
        <v>4085</v>
      </c>
      <c r="J184" s="1521">
        <f>G184</f>
        <v>20000000</v>
      </c>
      <c r="K184" s="1521">
        <f>F184-J184</f>
        <v>0</v>
      </c>
      <c r="L184" s="103" t="s">
        <v>4086</v>
      </c>
    </row>
    <row r="185" spans="1:12" ht="30" customHeight="1" x14ac:dyDescent="0.2">
      <c r="A185" s="1516">
        <v>118</v>
      </c>
      <c r="B185" s="1513" t="s">
        <v>247</v>
      </c>
      <c r="C185" s="1541"/>
      <c r="D185" s="1521">
        <v>20000000</v>
      </c>
      <c r="E185" s="1518">
        <v>0.05</v>
      </c>
      <c r="F185" s="1521">
        <f t="shared" si="17"/>
        <v>1000000</v>
      </c>
      <c r="G185" s="1521">
        <v>1000000</v>
      </c>
      <c r="H185" s="1521" t="s">
        <v>3563</v>
      </c>
      <c r="I185" s="89" t="s">
        <v>3568</v>
      </c>
      <c r="J185" s="1521">
        <f>G185</f>
        <v>1000000</v>
      </c>
      <c r="K185" s="1521">
        <f>F185-J185</f>
        <v>0</v>
      </c>
      <c r="L185" s="1570"/>
    </row>
    <row r="186" spans="1:12" ht="30" customHeight="1" x14ac:dyDescent="0.2">
      <c r="A186" s="3450">
        <v>120</v>
      </c>
      <c r="B186" s="3457" t="s">
        <v>249</v>
      </c>
      <c r="C186" s="3570" t="s">
        <v>379</v>
      </c>
      <c r="D186" s="3442">
        <v>617000000</v>
      </c>
      <c r="E186" s="3444">
        <v>7.0000000000000007E-2</v>
      </c>
      <c r="F186" s="3442">
        <v>43200000</v>
      </c>
      <c r="G186" s="1542">
        <v>10200000</v>
      </c>
      <c r="H186" s="1542" t="s">
        <v>3721</v>
      </c>
      <c r="I186" s="1566" t="s">
        <v>3000</v>
      </c>
      <c r="J186" s="3442">
        <f>G186+G187</f>
        <v>43200000</v>
      </c>
      <c r="K186" s="3442">
        <f>F186-J186</f>
        <v>0</v>
      </c>
      <c r="L186" s="3525"/>
    </row>
    <row r="187" spans="1:12" ht="30" customHeight="1" x14ac:dyDescent="0.2">
      <c r="A187" s="3451"/>
      <c r="B187" s="3458"/>
      <c r="C187" s="3571"/>
      <c r="D187" s="3443"/>
      <c r="E187" s="3445"/>
      <c r="F187" s="3443"/>
      <c r="G187" s="1521">
        <v>33000000</v>
      </c>
      <c r="H187" s="1521" t="s">
        <v>3814</v>
      </c>
      <c r="I187" s="1566" t="s">
        <v>3000</v>
      </c>
      <c r="J187" s="3443"/>
      <c r="K187" s="3443"/>
      <c r="L187" s="3526"/>
    </row>
    <row r="188" spans="1:12" ht="30" customHeight="1" x14ac:dyDescent="0.2">
      <c r="A188" s="1572">
        <v>122</v>
      </c>
      <c r="B188" s="1570" t="s">
        <v>251</v>
      </c>
      <c r="C188" s="1541"/>
      <c r="D188" s="1521">
        <v>50000000</v>
      </c>
      <c r="E188" s="1569">
        <v>4.4999999999999998E-2</v>
      </c>
      <c r="F188" s="1521">
        <f t="shared" si="17"/>
        <v>2250000</v>
      </c>
      <c r="G188" s="1521">
        <v>2250000</v>
      </c>
      <c r="H188" s="1521" t="s">
        <v>3599</v>
      </c>
      <c r="I188" s="21" t="s">
        <v>1661</v>
      </c>
      <c r="J188" s="1521">
        <f>G188</f>
        <v>2250000</v>
      </c>
      <c r="K188" s="1521">
        <f>F188-J188</f>
        <v>0</v>
      </c>
      <c r="L188" s="1570"/>
    </row>
    <row r="189" spans="1:12" ht="30" customHeight="1" x14ac:dyDescent="0.2">
      <c r="A189" s="3450">
        <v>123</v>
      </c>
      <c r="B189" s="3525" t="s">
        <v>1744</v>
      </c>
      <c r="C189" s="3570" t="s">
        <v>1219</v>
      </c>
      <c r="D189" s="1521">
        <v>60000000</v>
      </c>
      <c r="E189" s="1569">
        <v>0.05</v>
      </c>
      <c r="F189" s="1521">
        <f t="shared" si="17"/>
        <v>3000000</v>
      </c>
      <c r="G189" s="3442">
        <v>4400000</v>
      </c>
      <c r="H189" s="3442" t="s">
        <v>3668</v>
      </c>
      <c r="I189" s="3452" t="s">
        <v>3670</v>
      </c>
      <c r="J189" s="3442">
        <f>G189</f>
        <v>4400000</v>
      </c>
      <c r="K189" s="3442">
        <f>(F189+F190)-J189</f>
        <v>0</v>
      </c>
      <c r="L189" s="3525"/>
    </row>
    <row r="190" spans="1:12" ht="30" customHeight="1" x14ac:dyDescent="0.2">
      <c r="A190" s="3456"/>
      <c r="B190" s="3643"/>
      <c r="C190" s="3571"/>
      <c r="D190" s="1521">
        <v>20000000</v>
      </c>
      <c r="E190" s="1569">
        <v>7.0000000000000007E-2</v>
      </c>
      <c r="F190" s="1521">
        <f t="shared" si="17"/>
        <v>1400000.0000000002</v>
      </c>
      <c r="G190" s="3443"/>
      <c r="H190" s="3443"/>
      <c r="I190" s="3453"/>
      <c r="J190" s="3443"/>
      <c r="K190" s="3443"/>
      <c r="L190" s="3526"/>
    </row>
    <row r="191" spans="1:12" ht="30" customHeight="1" x14ac:dyDescent="0.2">
      <c r="A191" s="3456"/>
      <c r="B191" s="3643"/>
      <c r="C191" s="1642"/>
      <c r="D191" s="1633">
        <v>52000000</v>
      </c>
      <c r="E191" s="1652"/>
      <c r="F191" s="1633"/>
      <c r="G191" s="3478" t="s">
        <v>3593</v>
      </c>
      <c r="H191" s="3479"/>
      <c r="I191" s="3479"/>
      <c r="J191" s="3480"/>
      <c r="K191" s="1633"/>
      <c r="L191" s="1639"/>
    </row>
    <row r="192" spans="1:12" ht="30" customHeight="1" x14ac:dyDescent="0.2">
      <c r="A192" s="3456"/>
      <c r="B192" s="3643"/>
      <c r="C192" s="3777" t="s">
        <v>3887</v>
      </c>
      <c r="D192" s="3778"/>
      <c r="E192" s="3778"/>
      <c r="F192" s="3779"/>
      <c r="G192" s="3386"/>
      <c r="H192" s="3656"/>
      <c r="I192" s="3656"/>
      <c r="J192" s="3657"/>
      <c r="K192" s="1859"/>
      <c r="L192" s="1857"/>
    </row>
    <row r="193" spans="1:12" ht="30" customHeight="1" x14ac:dyDescent="0.2">
      <c r="A193" s="3456"/>
      <c r="B193" s="3643"/>
      <c r="C193" s="3780"/>
      <c r="D193" s="3781"/>
      <c r="E193" s="3781"/>
      <c r="F193" s="3782"/>
      <c r="G193" s="3815" t="s">
        <v>3883</v>
      </c>
      <c r="H193" s="3815"/>
      <c r="I193" s="3815"/>
      <c r="J193" s="3815"/>
      <c r="K193" s="1658"/>
      <c r="L193" s="1857"/>
    </row>
    <row r="194" spans="1:12" ht="30" customHeight="1" x14ac:dyDescent="0.2">
      <c r="A194" s="3456"/>
      <c r="B194" s="3643"/>
      <c r="C194" s="3780"/>
      <c r="D194" s="3781"/>
      <c r="E194" s="3781"/>
      <c r="F194" s="3782"/>
      <c r="G194" s="3478" t="s">
        <v>3884</v>
      </c>
      <c r="H194" s="3479"/>
      <c r="I194" s="3479"/>
      <c r="J194" s="3479"/>
      <c r="K194" s="1853"/>
      <c r="L194" s="1857"/>
    </row>
    <row r="195" spans="1:12" ht="30" customHeight="1" x14ac:dyDescent="0.2">
      <c r="A195" s="3456"/>
      <c r="B195" s="3643"/>
      <c r="C195" s="3780"/>
      <c r="D195" s="3781"/>
      <c r="E195" s="3781"/>
      <c r="F195" s="3782"/>
      <c r="G195" s="3478" t="s">
        <v>3885</v>
      </c>
      <c r="H195" s="3479"/>
      <c r="I195" s="3479"/>
      <c r="J195" s="3479"/>
      <c r="K195" s="1853"/>
      <c r="L195" s="1857"/>
    </row>
    <row r="196" spans="1:12" ht="30" customHeight="1" x14ac:dyDescent="0.2">
      <c r="A196" s="3451"/>
      <c r="B196" s="3526"/>
      <c r="C196" s="3783"/>
      <c r="D196" s="3784"/>
      <c r="E196" s="3784"/>
      <c r="F196" s="3785"/>
      <c r="G196" s="3478" t="s">
        <v>3886</v>
      </c>
      <c r="H196" s="3479"/>
      <c r="I196" s="3479"/>
      <c r="J196" s="3479"/>
      <c r="K196" s="1853"/>
      <c r="L196" s="1857"/>
    </row>
    <row r="197" spans="1:12" ht="30" customHeight="1" x14ac:dyDescent="0.2">
      <c r="A197" s="1572">
        <v>124</v>
      </c>
      <c r="B197" s="1570" t="s">
        <v>253</v>
      </c>
      <c r="C197" s="1541" t="s">
        <v>401</v>
      </c>
      <c r="D197" s="1521">
        <v>200000000</v>
      </c>
      <c r="E197" s="1569">
        <v>0.05</v>
      </c>
      <c r="F197" s="1521">
        <f t="shared" si="17"/>
        <v>10000000</v>
      </c>
      <c r="G197" s="1521">
        <v>10000000</v>
      </c>
      <c r="H197" s="1521" t="s">
        <v>3696</v>
      </c>
      <c r="I197" s="21" t="s">
        <v>1473</v>
      </c>
      <c r="J197" s="1521">
        <f>G197</f>
        <v>10000000</v>
      </c>
      <c r="K197" s="1521">
        <f>F197-J197</f>
        <v>0</v>
      </c>
      <c r="L197" s="1570"/>
    </row>
    <row r="198" spans="1:12" ht="30" customHeight="1" x14ac:dyDescent="0.2">
      <c r="A198" s="426">
        <v>125</v>
      </c>
      <c r="B198" s="1567" t="s">
        <v>254</v>
      </c>
      <c r="C198" s="1571"/>
      <c r="D198" s="1542">
        <v>160000000</v>
      </c>
      <c r="E198" s="1569">
        <v>7.0000000000000007E-2</v>
      </c>
      <c r="F198" s="1542">
        <v>11000000</v>
      </c>
      <c r="G198" s="1521">
        <v>11000000</v>
      </c>
      <c r="H198" s="1521" t="s">
        <v>3599</v>
      </c>
      <c r="I198" s="24" t="s">
        <v>1723</v>
      </c>
      <c r="J198" s="1521">
        <f>G198</f>
        <v>11000000</v>
      </c>
      <c r="K198" s="1521">
        <f>F198-J198</f>
        <v>0</v>
      </c>
      <c r="L198" s="1570"/>
    </row>
    <row r="199" spans="1:12" ht="30" customHeight="1" x14ac:dyDescent="0.2">
      <c r="A199" s="1572">
        <v>126</v>
      </c>
      <c r="B199" s="1570" t="s">
        <v>255</v>
      </c>
      <c r="C199" s="1541" t="s">
        <v>411</v>
      </c>
      <c r="D199" s="1521">
        <v>180000000</v>
      </c>
      <c r="E199" s="1518">
        <v>4.4999999999999998E-2</v>
      </c>
      <c r="F199" s="1521">
        <f t="shared" si="17"/>
        <v>8100000</v>
      </c>
      <c r="G199" s="1521">
        <v>8100000</v>
      </c>
      <c r="H199" s="1521" t="s">
        <v>3576</v>
      </c>
      <c r="I199" s="24" t="s">
        <v>632</v>
      </c>
      <c r="J199" s="1521">
        <f>G199</f>
        <v>8100000</v>
      </c>
      <c r="K199" s="1521">
        <f>F199-J199</f>
        <v>0</v>
      </c>
      <c r="L199" s="1570"/>
    </row>
    <row r="200" spans="1:12" ht="30" customHeight="1" x14ac:dyDescent="0.2">
      <c r="A200" s="3450">
        <v>127</v>
      </c>
      <c r="B200" s="3457" t="s">
        <v>256</v>
      </c>
      <c r="C200" s="3570"/>
      <c r="D200" s="3442">
        <v>800000000</v>
      </c>
      <c r="E200" s="3444">
        <v>0.05</v>
      </c>
      <c r="F200" s="3442">
        <f t="shared" si="17"/>
        <v>40000000</v>
      </c>
      <c r="G200" s="3442">
        <v>40000000</v>
      </c>
      <c r="H200" s="3442" t="s">
        <v>3635</v>
      </c>
      <c r="I200" s="3452" t="s">
        <v>3641</v>
      </c>
      <c r="J200" s="3442">
        <f>G200+G201</f>
        <v>40000000</v>
      </c>
      <c r="K200" s="3442">
        <f>F200-J200</f>
        <v>0</v>
      </c>
      <c r="L200" s="3525"/>
    </row>
    <row r="201" spans="1:12" ht="30" customHeight="1" x14ac:dyDescent="0.2">
      <c r="A201" s="3451"/>
      <c r="B201" s="3458"/>
      <c r="C201" s="3571"/>
      <c r="D201" s="3443"/>
      <c r="E201" s="3445"/>
      <c r="F201" s="3443"/>
      <c r="G201" s="3443"/>
      <c r="H201" s="3443"/>
      <c r="I201" s="3453"/>
      <c r="J201" s="3443"/>
      <c r="K201" s="3443"/>
      <c r="L201" s="3526"/>
    </row>
    <row r="202" spans="1:12" ht="30" customHeight="1" x14ac:dyDescent="0.2">
      <c r="A202" s="1572">
        <v>128</v>
      </c>
      <c r="B202" s="1570" t="s">
        <v>257</v>
      </c>
      <c r="C202" s="1541"/>
      <c r="D202" s="1531"/>
      <c r="E202" s="44"/>
      <c r="F202" s="1531">
        <f t="shared" si="17"/>
        <v>0</v>
      </c>
      <c r="G202" s="1521"/>
      <c r="H202" s="1521"/>
      <c r="I202" s="24"/>
      <c r="J202" s="1521">
        <f t="shared" ref="J202:J209" si="18">G202</f>
        <v>0</v>
      </c>
      <c r="K202" s="1531">
        <f>F202-J202</f>
        <v>0</v>
      </c>
      <c r="L202" s="1570"/>
    </row>
    <row r="203" spans="1:12" ht="30" customHeight="1" x14ac:dyDescent="0.2">
      <c r="A203" s="1572">
        <v>129</v>
      </c>
      <c r="B203" s="22" t="s">
        <v>258</v>
      </c>
      <c r="C203" s="1571" t="s">
        <v>1138</v>
      </c>
      <c r="D203" s="1542">
        <v>200000000</v>
      </c>
      <c r="E203" s="1569">
        <v>0.06</v>
      </c>
      <c r="F203" s="1542">
        <f>D203*E203</f>
        <v>12000000</v>
      </c>
      <c r="G203" s="1521">
        <v>12000000</v>
      </c>
      <c r="H203" s="1521" t="s">
        <v>4031</v>
      </c>
      <c r="I203" s="24" t="s">
        <v>3387</v>
      </c>
      <c r="J203" s="1521">
        <f t="shared" si="18"/>
        <v>12000000</v>
      </c>
      <c r="K203" s="1521">
        <f>F203-J203</f>
        <v>0</v>
      </c>
      <c r="L203" s="103"/>
    </row>
    <row r="204" spans="1:12" ht="30" customHeight="1" x14ac:dyDescent="0.2">
      <c r="A204" s="1572"/>
      <c r="B204" s="22" t="s">
        <v>1213</v>
      </c>
      <c r="C204" s="1571" t="s">
        <v>1354</v>
      </c>
      <c r="D204" s="1542">
        <v>150000000</v>
      </c>
      <c r="E204" s="1569">
        <v>0.05</v>
      </c>
      <c r="F204" s="1542">
        <f>D204*E204</f>
        <v>7500000</v>
      </c>
      <c r="G204" s="2208">
        <v>10000000</v>
      </c>
      <c r="H204" s="2208" t="s">
        <v>3814</v>
      </c>
      <c r="I204" s="2208" t="s">
        <v>1792</v>
      </c>
      <c r="J204" s="2208">
        <f t="shared" si="18"/>
        <v>10000000</v>
      </c>
      <c r="K204" s="2208">
        <f>F204-J204</f>
        <v>-2500000</v>
      </c>
      <c r="L204" s="103" t="s">
        <v>4208</v>
      </c>
    </row>
    <row r="205" spans="1:12" ht="30" customHeight="1" x14ac:dyDescent="0.2">
      <c r="A205" s="1572">
        <v>131</v>
      </c>
      <c r="B205" s="1513" t="s">
        <v>259</v>
      </c>
      <c r="C205" s="1541"/>
      <c r="D205" s="1521">
        <v>200000000</v>
      </c>
      <c r="E205" s="1518">
        <v>0.05</v>
      </c>
      <c r="F205" s="1521">
        <f t="shared" si="17"/>
        <v>10000000</v>
      </c>
      <c r="G205" s="1521">
        <v>10000000</v>
      </c>
      <c r="H205" s="1521" t="s">
        <v>3570</v>
      </c>
      <c r="I205" s="28" t="s">
        <v>3572</v>
      </c>
      <c r="J205" s="1521">
        <f t="shared" si="18"/>
        <v>10000000</v>
      </c>
      <c r="K205" s="1521">
        <f>F205-J205</f>
        <v>0</v>
      </c>
      <c r="L205" s="103"/>
    </row>
    <row r="206" spans="1:12" ht="30" customHeight="1" x14ac:dyDescent="0.2">
      <c r="A206" s="3450"/>
      <c r="B206" s="3457" t="s">
        <v>1266</v>
      </c>
      <c r="C206" s="3570" t="s">
        <v>1746</v>
      </c>
      <c r="D206" s="3442">
        <v>490000000</v>
      </c>
      <c r="E206" s="3444">
        <v>0.05</v>
      </c>
      <c r="F206" s="3442">
        <f>D206*E206</f>
        <v>24500000</v>
      </c>
      <c r="G206" s="1521">
        <v>10000000</v>
      </c>
      <c r="H206" s="1521" t="s">
        <v>3576</v>
      </c>
      <c r="I206" s="1535" t="s">
        <v>1268</v>
      </c>
      <c r="J206" s="1521">
        <f t="shared" si="18"/>
        <v>10000000</v>
      </c>
      <c r="K206" s="1521">
        <f>F206-14500000-J206</f>
        <v>0</v>
      </c>
      <c r="L206" s="103" t="s">
        <v>3513</v>
      </c>
    </row>
    <row r="207" spans="1:12" ht="30" customHeight="1" x14ac:dyDescent="0.2">
      <c r="A207" s="3451"/>
      <c r="B207" s="3458"/>
      <c r="C207" s="3571"/>
      <c r="D207" s="3443"/>
      <c r="E207" s="3445"/>
      <c r="F207" s="3443"/>
      <c r="G207" s="1807">
        <v>10000000</v>
      </c>
      <c r="H207" s="1807" t="s">
        <v>3850</v>
      </c>
      <c r="I207" s="1810" t="s">
        <v>1268</v>
      </c>
      <c r="J207" s="1807">
        <f t="shared" si="18"/>
        <v>10000000</v>
      </c>
      <c r="K207" s="1807"/>
      <c r="L207" s="1808" t="s">
        <v>3851</v>
      </c>
    </row>
    <row r="208" spans="1:12" ht="30" customHeight="1" x14ac:dyDescent="0.2">
      <c r="A208" s="1572">
        <v>133</v>
      </c>
      <c r="B208" s="1513" t="s">
        <v>178</v>
      </c>
      <c r="C208" s="1541" t="s">
        <v>1817</v>
      </c>
      <c r="D208" s="1521">
        <v>100000000</v>
      </c>
      <c r="E208" s="1518">
        <v>0.05</v>
      </c>
      <c r="F208" s="1521">
        <f t="shared" ref="F208:F297" si="19">D208*E208</f>
        <v>5000000</v>
      </c>
      <c r="G208" s="1521">
        <v>5000000</v>
      </c>
      <c r="H208" s="1521" t="s">
        <v>3599</v>
      </c>
      <c r="I208" s="24" t="s">
        <v>534</v>
      </c>
      <c r="J208" s="1521">
        <f t="shared" si="18"/>
        <v>5000000</v>
      </c>
      <c r="K208" s="1521">
        <f>F208-J208</f>
        <v>0</v>
      </c>
      <c r="L208" s="1526" t="s">
        <v>3247</v>
      </c>
    </row>
    <row r="209" spans="1:12" ht="30" customHeight="1" x14ac:dyDescent="0.2">
      <c r="A209" s="1514">
        <v>134</v>
      </c>
      <c r="B209" s="1567" t="s">
        <v>169</v>
      </c>
      <c r="C209" s="1571"/>
      <c r="D209" s="1542">
        <v>110000000</v>
      </c>
      <c r="E209" s="1569">
        <v>0.04</v>
      </c>
      <c r="F209" s="1542">
        <f t="shared" si="19"/>
        <v>4400000</v>
      </c>
      <c r="G209" s="1521">
        <v>4400000</v>
      </c>
      <c r="H209" s="1521" t="s">
        <v>3621</v>
      </c>
      <c r="I209" s="24" t="s">
        <v>522</v>
      </c>
      <c r="J209" s="1519">
        <f t="shared" si="18"/>
        <v>4400000</v>
      </c>
      <c r="K209" s="1519">
        <f>F209-J209</f>
        <v>0</v>
      </c>
      <c r="L209" s="1537"/>
    </row>
    <row r="210" spans="1:12" ht="30" customHeight="1" x14ac:dyDescent="0.2">
      <c r="A210" s="3450">
        <v>135</v>
      </c>
      <c r="B210" s="3457" t="s">
        <v>7</v>
      </c>
      <c r="C210" s="1571" t="s">
        <v>401</v>
      </c>
      <c r="D210" s="1521">
        <v>100000000</v>
      </c>
      <c r="E210" s="1569">
        <v>0.05</v>
      </c>
      <c r="F210" s="1521">
        <f t="shared" si="19"/>
        <v>5000000</v>
      </c>
      <c r="G210" s="1521">
        <v>5000000</v>
      </c>
      <c r="H210" s="1521" t="s">
        <v>3563</v>
      </c>
      <c r="I210" s="30" t="s">
        <v>2322</v>
      </c>
      <c r="J210" s="3442">
        <f>G210+G211</f>
        <v>11000000</v>
      </c>
      <c r="K210" s="3442">
        <f>(F210+F211)-J210</f>
        <v>0</v>
      </c>
      <c r="L210" s="3525"/>
    </row>
    <row r="211" spans="1:12" ht="30" customHeight="1" x14ac:dyDescent="0.2">
      <c r="A211" s="3451"/>
      <c r="B211" s="3458"/>
      <c r="C211" s="1571" t="s">
        <v>1354</v>
      </c>
      <c r="D211" s="1521">
        <v>124000000</v>
      </c>
      <c r="E211" s="1569">
        <v>4.9000000000000002E-2</v>
      </c>
      <c r="F211" s="1521">
        <v>6000000</v>
      </c>
      <c r="G211" s="1521">
        <v>6000000</v>
      </c>
      <c r="H211" s="1521" t="s">
        <v>3830</v>
      </c>
      <c r="I211" s="57" t="s">
        <v>1642</v>
      </c>
      <c r="J211" s="3443"/>
      <c r="K211" s="3443"/>
      <c r="L211" s="3526"/>
    </row>
    <row r="212" spans="1:12" ht="30" customHeight="1" x14ac:dyDescent="0.2">
      <c r="A212" s="1572">
        <v>136</v>
      </c>
      <c r="B212" s="1570" t="s">
        <v>260</v>
      </c>
      <c r="C212" s="1541"/>
      <c r="D212" s="1531"/>
      <c r="E212" s="44"/>
      <c r="F212" s="1531">
        <f t="shared" si="19"/>
        <v>0</v>
      </c>
      <c r="G212" s="1521"/>
      <c r="H212" s="1521"/>
      <c r="I212" s="28"/>
      <c r="J212" s="1521"/>
      <c r="K212" s="1531">
        <f>F212-J212</f>
        <v>0</v>
      </c>
      <c r="L212" s="1526" t="s">
        <v>3297</v>
      </c>
    </row>
    <row r="213" spans="1:12" ht="30" customHeight="1" x14ac:dyDescent="0.2">
      <c r="A213" s="3450">
        <v>137</v>
      </c>
      <c r="B213" s="3457" t="s">
        <v>182</v>
      </c>
      <c r="C213" s="3570" t="s">
        <v>1219</v>
      </c>
      <c r="D213" s="1521">
        <v>210000000</v>
      </c>
      <c r="E213" s="1569">
        <f>F213/D213</f>
        <v>4.8571428571428571E-2</v>
      </c>
      <c r="F213" s="1521">
        <v>10200000</v>
      </c>
      <c r="G213" s="1521"/>
      <c r="H213" s="1521"/>
      <c r="I213" s="28"/>
      <c r="J213" s="1521">
        <f>G213</f>
        <v>0</v>
      </c>
      <c r="K213" s="1521">
        <f>F213-J213</f>
        <v>10200000</v>
      </c>
      <c r="L213" s="1526"/>
    </row>
    <row r="214" spans="1:12" ht="30" customHeight="1" x14ac:dyDescent="0.2">
      <c r="A214" s="3456"/>
      <c r="B214" s="3459"/>
      <c r="C214" s="3576"/>
      <c r="D214" s="1701">
        <v>210000000</v>
      </c>
      <c r="E214" s="1707">
        <v>4.9000000000000002E-2</v>
      </c>
      <c r="F214" s="1701">
        <v>10200000</v>
      </c>
      <c r="G214" s="1701">
        <v>10200000</v>
      </c>
      <c r="H214" s="1701" t="s">
        <v>3668</v>
      </c>
      <c r="I214" s="248" t="s">
        <v>1810</v>
      </c>
      <c r="J214" s="1701">
        <f>G214</f>
        <v>10200000</v>
      </c>
      <c r="K214" s="1701">
        <f>F214-J214</f>
        <v>0</v>
      </c>
      <c r="L214" s="1635"/>
    </row>
    <row r="215" spans="1:12" ht="30" customHeight="1" x14ac:dyDescent="0.2">
      <c r="A215" s="3456"/>
      <c r="B215" s="3459"/>
      <c r="C215" s="3576"/>
      <c r="D215" s="3691" t="s">
        <v>3634</v>
      </c>
      <c r="E215" s="3355"/>
      <c r="F215" s="3692"/>
      <c r="G215" s="1694">
        <v>100000000</v>
      </c>
      <c r="H215" s="1694" t="s">
        <v>3621</v>
      </c>
      <c r="I215" s="1664" t="s">
        <v>1810</v>
      </c>
      <c r="J215" s="1694">
        <f>G215</f>
        <v>100000000</v>
      </c>
      <c r="K215" s="1701"/>
      <c r="L215" s="1697"/>
    </row>
    <row r="216" spans="1:12" ht="30" customHeight="1" x14ac:dyDescent="0.2">
      <c r="A216" s="3451"/>
      <c r="B216" s="3458"/>
      <c r="C216" s="3571"/>
      <c r="D216" s="1643">
        <v>110000000</v>
      </c>
      <c r="E216" s="1652">
        <v>4.9000000000000002E-2</v>
      </c>
      <c r="F216" s="1643">
        <f>D216*E216</f>
        <v>5390000</v>
      </c>
      <c r="G216" s="3815" t="s">
        <v>3581</v>
      </c>
      <c r="H216" s="3815"/>
      <c r="I216" s="3815"/>
      <c r="J216" s="3815"/>
      <c r="K216" s="1701"/>
      <c r="L216" s="1635"/>
    </row>
    <row r="217" spans="1:12" ht="30" customHeight="1" x14ac:dyDescent="0.2">
      <c r="A217" s="3450">
        <v>138</v>
      </c>
      <c r="B217" s="3457" t="s">
        <v>262</v>
      </c>
      <c r="C217" s="3570" t="s">
        <v>1215</v>
      </c>
      <c r="D217" s="3442">
        <v>1000000000</v>
      </c>
      <c r="E217" s="3507">
        <v>0.06</v>
      </c>
      <c r="F217" s="3505">
        <f t="shared" si="19"/>
        <v>60000000</v>
      </c>
      <c r="G217" s="1633">
        <v>30000000</v>
      </c>
      <c r="H217" s="3442" t="s">
        <v>3576</v>
      </c>
      <c r="I217" s="3452" t="s">
        <v>542</v>
      </c>
      <c r="J217" s="3442">
        <f>G217+G218</f>
        <v>50000000</v>
      </c>
      <c r="K217" s="3442">
        <f>F217-J217</f>
        <v>10000000</v>
      </c>
      <c r="L217" s="3525"/>
    </row>
    <row r="218" spans="1:12" ht="30" customHeight="1" x14ac:dyDescent="0.2">
      <c r="A218" s="3456"/>
      <c r="B218" s="3459"/>
      <c r="C218" s="3576"/>
      <c r="D218" s="3461"/>
      <c r="E218" s="3550"/>
      <c r="F218" s="3549"/>
      <c r="G218" s="1643">
        <v>20000000</v>
      </c>
      <c r="H218" s="3443"/>
      <c r="I218" s="3453"/>
      <c r="J218" s="3443"/>
      <c r="K218" s="3443"/>
      <c r="L218" s="3643"/>
    </row>
    <row r="219" spans="1:12" ht="30" customHeight="1" x14ac:dyDescent="0.2">
      <c r="A219" s="3456"/>
      <c r="B219" s="3459"/>
      <c r="C219" s="3576"/>
      <c r="D219" s="3461"/>
      <c r="E219" s="3550"/>
      <c r="F219" s="3549"/>
      <c r="G219" s="247"/>
      <c r="H219" s="247"/>
      <c r="I219" s="247"/>
      <c r="J219" s="1521"/>
      <c r="K219" s="1521"/>
      <c r="L219" s="1651" t="s">
        <v>3578</v>
      </c>
    </row>
    <row r="220" spans="1:12" ht="30" customHeight="1" x14ac:dyDescent="0.2">
      <c r="A220" s="3456"/>
      <c r="B220" s="3459"/>
      <c r="C220" s="3576"/>
      <c r="D220" s="3461"/>
      <c r="E220" s="3550"/>
      <c r="F220" s="3549"/>
      <c r="G220" s="247"/>
      <c r="H220" s="247"/>
      <c r="I220" s="247"/>
      <c r="J220" s="1521"/>
      <c r="K220" s="1521"/>
      <c r="L220" s="1570"/>
    </row>
    <row r="221" spans="1:12" ht="30" customHeight="1" x14ac:dyDescent="0.2">
      <c r="A221" s="3456"/>
      <c r="B221" s="3459"/>
      <c r="C221" s="3576"/>
      <c r="D221" s="3461"/>
      <c r="E221" s="3550"/>
      <c r="F221" s="3549"/>
      <c r="G221" s="247"/>
      <c r="H221" s="247"/>
      <c r="I221" s="247"/>
      <c r="J221" s="1521"/>
      <c r="K221" s="1521"/>
      <c r="L221" s="1570"/>
    </row>
    <row r="222" spans="1:12" ht="30" customHeight="1" x14ac:dyDescent="0.2">
      <c r="A222" s="3451"/>
      <c r="B222" s="3458"/>
      <c r="C222" s="3571"/>
      <c r="D222" s="3443"/>
      <c r="E222" s="3508"/>
      <c r="F222" s="3506"/>
      <c r="G222" s="1227"/>
      <c r="H222" s="1227"/>
      <c r="I222" s="1227"/>
      <c r="J222" s="1521"/>
      <c r="K222" s="1521"/>
      <c r="L222" s="1570"/>
    </row>
    <row r="223" spans="1:12" ht="30" customHeight="1" x14ac:dyDescent="0.2">
      <c r="A223" s="1572">
        <v>139</v>
      </c>
      <c r="B223" s="22" t="s">
        <v>163</v>
      </c>
      <c r="C223" s="1541" t="s">
        <v>1817</v>
      </c>
      <c r="D223" s="1542">
        <v>110000000</v>
      </c>
      <c r="E223" s="1569">
        <v>0.05</v>
      </c>
      <c r="F223" s="1542">
        <f t="shared" si="19"/>
        <v>5500000</v>
      </c>
      <c r="G223" s="1521">
        <v>5500000</v>
      </c>
      <c r="H223" s="1521" t="s">
        <v>3621</v>
      </c>
      <c r="I223" s="30" t="s">
        <v>2891</v>
      </c>
      <c r="J223" s="1542">
        <f>G223</f>
        <v>5500000</v>
      </c>
      <c r="K223" s="1542">
        <f>F223-J223</f>
        <v>0</v>
      </c>
      <c r="L223" s="22"/>
    </row>
    <row r="224" spans="1:12" ht="30" customHeight="1" x14ac:dyDescent="0.2">
      <c r="A224" s="1572"/>
      <c r="B224" s="22" t="s">
        <v>2400</v>
      </c>
      <c r="C224" s="1541" t="s">
        <v>265</v>
      </c>
      <c r="D224" s="1542">
        <v>50000000</v>
      </c>
      <c r="E224" s="1569">
        <v>0.05</v>
      </c>
      <c r="F224" s="1542">
        <f>D224*E224</f>
        <v>2500000</v>
      </c>
      <c r="G224" s="1521">
        <v>2500000</v>
      </c>
      <c r="H224" s="1521" t="s">
        <v>3696</v>
      </c>
      <c r="I224" s="30" t="s">
        <v>1833</v>
      </c>
      <c r="J224" s="1542">
        <f>G224</f>
        <v>2500000</v>
      </c>
      <c r="K224" s="1542">
        <f>F224-J224</f>
        <v>0</v>
      </c>
      <c r="L224" s="22"/>
    </row>
    <row r="225" spans="1:12" ht="30" customHeight="1" x14ac:dyDescent="0.2">
      <c r="A225" s="1572">
        <v>140</v>
      </c>
      <c r="B225" s="1570" t="s">
        <v>546</v>
      </c>
      <c r="C225" s="1541" t="s">
        <v>380</v>
      </c>
      <c r="D225" s="1521">
        <v>150000000</v>
      </c>
      <c r="E225" s="1569">
        <v>0.04</v>
      </c>
      <c r="F225" s="1521">
        <f t="shared" si="19"/>
        <v>6000000</v>
      </c>
      <c r="G225" s="1521">
        <v>6000000</v>
      </c>
      <c r="H225" s="1521" t="s">
        <v>3621</v>
      </c>
      <c r="I225" s="21" t="s">
        <v>2816</v>
      </c>
      <c r="J225" s="1521">
        <f>G225</f>
        <v>6000000</v>
      </c>
      <c r="K225" s="1521">
        <f>F225-J225</f>
        <v>0</v>
      </c>
      <c r="L225" s="1570"/>
    </row>
    <row r="226" spans="1:12" ht="30" customHeight="1" x14ac:dyDescent="0.2">
      <c r="A226" s="1572">
        <v>141</v>
      </c>
      <c r="B226" s="1570" t="s">
        <v>8</v>
      </c>
      <c r="C226" s="1541"/>
      <c r="D226" s="1521">
        <v>30000000</v>
      </c>
      <c r="E226" s="1569">
        <v>0.05</v>
      </c>
      <c r="F226" s="1521">
        <f t="shared" si="19"/>
        <v>1500000</v>
      </c>
      <c r="G226" s="1521"/>
      <c r="H226" s="1521"/>
      <c r="I226" s="24"/>
      <c r="J226" s="1521">
        <f>G226</f>
        <v>0</v>
      </c>
      <c r="K226" s="1521">
        <f>F226-J226</f>
        <v>1500000</v>
      </c>
      <c r="L226" s="1570"/>
    </row>
    <row r="227" spans="1:12" ht="30" customHeight="1" x14ac:dyDescent="0.2">
      <c r="A227" s="3450">
        <v>142</v>
      </c>
      <c r="B227" s="3525" t="s">
        <v>9</v>
      </c>
      <c r="C227" s="3570"/>
      <c r="D227" s="3442">
        <v>2000000000</v>
      </c>
      <c r="E227" s="3444">
        <v>0.08</v>
      </c>
      <c r="F227" s="3442">
        <f>D227*E227</f>
        <v>160000000</v>
      </c>
      <c r="G227" s="247"/>
      <c r="H227" s="247"/>
      <c r="I227" s="247"/>
      <c r="J227" s="3442">
        <f>SUM(G228:G233)</f>
        <v>102000000</v>
      </c>
      <c r="K227" s="3442">
        <f>160000000-J227</f>
        <v>58000000</v>
      </c>
      <c r="L227" s="3468" t="s">
        <v>3514</v>
      </c>
    </row>
    <row r="228" spans="1:12" ht="30" customHeight="1" x14ac:dyDescent="0.2">
      <c r="A228" s="3456"/>
      <c r="B228" s="3643"/>
      <c r="C228" s="3576"/>
      <c r="D228" s="3461"/>
      <c r="E228" s="3474"/>
      <c r="F228" s="3461"/>
      <c r="G228" s="3048">
        <v>30000000</v>
      </c>
      <c r="H228" s="1521" t="s">
        <v>3696</v>
      </c>
      <c r="I228" s="1566" t="s">
        <v>2057</v>
      </c>
      <c r="J228" s="3461"/>
      <c r="K228" s="3461"/>
      <c r="L228" s="3606"/>
    </row>
    <row r="229" spans="1:12" ht="30" customHeight="1" x14ac:dyDescent="0.2">
      <c r="A229" s="3456"/>
      <c r="B229" s="3643"/>
      <c r="C229" s="3576"/>
      <c r="D229" s="3461"/>
      <c r="E229" s="3474"/>
      <c r="F229" s="3461"/>
      <c r="G229" s="3049">
        <v>23000000</v>
      </c>
      <c r="H229" s="1778" t="s">
        <v>3814</v>
      </c>
      <c r="I229" s="1778" t="s">
        <v>2057</v>
      </c>
      <c r="J229" s="3461"/>
      <c r="K229" s="3461"/>
      <c r="L229" s="3606"/>
    </row>
    <row r="230" spans="1:12" ht="30" customHeight="1" x14ac:dyDescent="0.2">
      <c r="A230" s="3456"/>
      <c r="B230" s="3643"/>
      <c r="C230" s="3576"/>
      <c r="D230" s="3461"/>
      <c r="E230" s="3474"/>
      <c r="F230" s="3461"/>
      <c r="G230" s="3049">
        <v>10000000</v>
      </c>
      <c r="H230" s="1772" t="s">
        <v>3814</v>
      </c>
      <c r="I230" s="1778" t="s">
        <v>2057</v>
      </c>
      <c r="J230" s="3461"/>
      <c r="K230" s="3461"/>
      <c r="L230" s="3606"/>
    </row>
    <row r="231" spans="1:12" ht="30" customHeight="1" x14ac:dyDescent="0.2">
      <c r="A231" s="3456"/>
      <c r="B231" s="3643"/>
      <c r="C231" s="3576"/>
      <c r="D231" s="3461"/>
      <c r="E231" s="3474"/>
      <c r="F231" s="3461"/>
      <c r="G231" s="1521">
        <v>17000000</v>
      </c>
      <c r="H231" s="1521" t="s">
        <v>3814</v>
      </c>
      <c r="I231" s="1566" t="s">
        <v>550</v>
      </c>
      <c r="J231" s="3461"/>
      <c r="K231" s="3461"/>
      <c r="L231" s="3606"/>
    </row>
    <row r="232" spans="1:12" ht="30" customHeight="1" x14ac:dyDescent="0.2">
      <c r="A232" s="3456"/>
      <c r="B232" s="3643"/>
      <c r="C232" s="3576"/>
      <c r="D232" s="3461"/>
      <c r="E232" s="3474"/>
      <c r="F232" s="3461"/>
      <c r="G232" s="1521">
        <v>10000000</v>
      </c>
      <c r="H232" s="1521" t="s">
        <v>3869</v>
      </c>
      <c r="I232" s="1566" t="s">
        <v>3871</v>
      </c>
      <c r="J232" s="3461"/>
      <c r="K232" s="3461"/>
      <c r="L232" s="3606"/>
    </row>
    <row r="233" spans="1:12" ht="30" customHeight="1" x14ac:dyDescent="0.2">
      <c r="A233" s="3456"/>
      <c r="B233" s="3643"/>
      <c r="C233" s="3576"/>
      <c r="D233" s="3461"/>
      <c r="E233" s="3474"/>
      <c r="F233" s="3461"/>
      <c r="G233" s="3049">
        <v>12000000</v>
      </c>
      <c r="H233" s="1521" t="s">
        <v>3869</v>
      </c>
      <c r="I233" s="427" t="s">
        <v>2057</v>
      </c>
      <c r="J233" s="3461"/>
      <c r="K233" s="3461"/>
      <c r="L233" s="3606"/>
    </row>
    <row r="234" spans="1:12" ht="30" customHeight="1" x14ac:dyDescent="0.2">
      <c r="A234" s="3456"/>
      <c r="B234" s="3643"/>
      <c r="C234" s="3576"/>
      <c r="D234" s="3461"/>
      <c r="E234" s="3474"/>
      <c r="F234" s="3461"/>
      <c r="G234" s="1521"/>
      <c r="H234" s="1521"/>
      <c r="I234" s="1566"/>
      <c r="J234" s="3461"/>
      <c r="K234" s="3461"/>
      <c r="L234" s="3606"/>
    </row>
    <row r="235" spans="1:12" ht="30" customHeight="1" x14ac:dyDescent="0.2">
      <c r="A235" s="3456"/>
      <c r="B235" s="3643"/>
      <c r="C235" s="3576"/>
      <c r="D235" s="3461"/>
      <c r="E235" s="3474"/>
      <c r="F235" s="3461"/>
      <c r="G235" s="1521"/>
      <c r="H235" s="1521"/>
      <c r="I235" s="1566"/>
      <c r="J235" s="3461"/>
      <c r="K235" s="3461"/>
      <c r="L235" s="3606"/>
    </row>
    <row r="236" spans="1:12" ht="30" customHeight="1" x14ac:dyDescent="0.2">
      <c r="A236" s="3451"/>
      <c r="B236" s="3526"/>
      <c r="C236" s="3571"/>
      <c r="D236" s="3443"/>
      <c r="E236" s="3445"/>
      <c r="F236" s="3443"/>
      <c r="G236" s="1521"/>
      <c r="H236" s="1521"/>
      <c r="I236" s="1566"/>
      <c r="J236" s="3443"/>
      <c r="K236" s="3443"/>
      <c r="L236" s="3469"/>
    </row>
    <row r="237" spans="1:12" ht="30" customHeight="1" x14ac:dyDescent="0.2">
      <c r="A237" s="1572">
        <v>143</v>
      </c>
      <c r="B237" s="1570" t="s">
        <v>10</v>
      </c>
      <c r="C237" s="1541"/>
      <c r="D237" s="1521">
        <v>50000000</v>
      </c>
      <c r="E237" s="1569">
        <v>0.04</v>
      </c>
      <c r="F237" s="1521">
        <f t="shared" si="19"/>
        <v>2000000</v>
      </c>
      <c r="G237" s="1521">
        <v>2000000</v>
      </c>
      <c r="H237" s="1521" t="s">
        <v>3599</v>
      </c>
      <c r="I237" s="30" t="s">
        <v>3065</v>
      </c>
      <c r="J237" s="1521">
        <f>G237</f>
        <v>2000000</v>
      </c>
      <c r="K237" s="1521">
        <f>F237-J237</f>
        <v>0</v>
      </c>
      <c r="L237" s="103" t="s">
        <v>3473</v>
      </c>
    </row>
    <row r="238" spans="1:12" ht="30" customHeight="1" x14ac:dyDescent="0.2">
      <c r="A238" s="1572">
        <v>144</v>
      </c>
      <c r="B238" s="1570" t="s">
        <v>527</v>
      </c>
      <c r="C238" s="1541"/>
      <c r="D238" s="1521">
        <v>5000000</v>
      </c>
      <c r="E238" s="1569">
        <v>0.05</v>
      </c>
      <c r="F238" s="1521">
        <f t="shared" si="19"/>
        <v>250000</v>
      </c>
      <c r="G238" s="1521">
        <v>250000</v>
      </c>
      <c r="H238" s="1521" t="s">
        <v>3563</v>
      </c>
      <c r="I238" s="24" t="s">
        <v>3569</v>
      </c>
      <c r="J238" s="1521">
        <f>G238</f>
        <v>250000</v>
      </c>
      <c r="K238" s="1521">
        <f>F238-J238</f>
        <v>0</v>
      </c>
      <c r="L238" s="1570"/>
    </row>
    <row r="239" spans="1:12" ht="30" customHeight="1" x14ac:dyDescent="0.2">
      <c r="A239" s="1572">
        <v>145</v>
      </c>
      <c r="B239" s="1570" t="s">
        <v>11</v>
      </c>
      <c r="C239" s="1541" t="s">
        <v>1215</v>
      </c>
      <c r="D239" s="1521">
        <v>105000000</v>
      </c>
      <c r="E239" s="1569">
        <v>0.04</v>
      </c>
      <c r="F239" s="1521">
        <f t="shared" si="19"/>
        <v>4200000</v>
      </c>
      <c r="G239" s="1521">
        <v>4200000</v>
      </c>
      <c r="H239" s="1521" t="s">
        <v>3621</v>
      </c>
      <c r="I239" s="21" t="s">
        <v>3661</v>
      </c>
      <c r="J239" s="1521">
        <f>G239</f>
        <v>4200000</v>
      </c>
      <c r="K239" s="1521">
        <f>F239-J239</f>
        <v>0</v>
      </c>
      <c r="L239" s="1570"/>
    </row>
    <row r="240" spans="1:12" ht="30" customHeight="1" x14ac:dyDescent="0.2">
      <c r="A240" s="1572">
        <v>146</v>
      </c>
      <c r="B240" s="1570" t="s">
        <v>12</v>
      </c>
      <c r="C240" s="1541"/>
      <c r="D240" s="1521">
        <v>50000000</v>
      </c>
      <c r="E240" s="1569">
        <v>4.4999999999999998E-2</v>
      </c>
      <c r="F240" s="1521">
        <f t="shared" si="19"/>
        <v>2250000</v>
      </c>
      <c r="G240" s="1521"/>
      <c r="H240" s="1521"/>
      <c r="I240" s="24"/>
      <c r="J240" s="1521"/>
      <c r="K240" s="1521">
        <f>F240-J240</f>
        <v>2250000</v>
      </c>
      <c r="L240" s="1570"/>
    </row>
    <row r="241" spans="1:16" ht="30" customHeight="1" x14ac:dyDescent="0.2">
      <c r="A241" s="1572">
        <v>147</v>
      </c>
      <c r="B241" s="3457" t="s">
        <v>13</v>
      </c>
      <c r="C241" s="3570" t="s">
        <v>1350</v>
      </c>
      <c r="D241" s="1521">
        <v>30000000</v>
      </c>
      <c r="E241" s="1569">
        <v>0.04</v>
      </c>
      <c r="F241" s="1521">
        <f t="shared" si="19"/>
        <v>1200000</v>
      </c>
      <c r="G241" s="1946">
        <v>1960000</v>
      </c>
      <c r="H241" s="1946" t="s">
        <v>3553</v>
      </c>
      <c r="I241" s="30" t="s">
        <v>3555</v>
      </c>
      <c r="J241" s="1946">
        <f>G241</f>
        <v>1960000</v>
      </c>
      <c r="K241" s="1945">
        <f>F241-J241</f>
        <v>-760000</v>
      </c>
      <c r="L241" s="3887"/>
    </row>
    <row r="242" spans="1:16" ht="30" customHeight="1" x14ac:dyDescent="0.2">
      <c r="A242" s="1941"/>
      <c r="B242" s="3459"/>
      <c r="C242" s="3576"/>
      <c r="D242" s="1944">
        <v>10000000</v>
      </c>
      <c r="E242" s="1947">
        <v>0.04</v>
      </c>
      <c r="F242" s="1944">
        <f t="shared" si="19"/>
        <v>400000</v>
      </c>
      <c r="G242" s="3521" t="s">
        <v>4012</v>
      </c>
      <c r="H242" s="3613"/>
      <c r="I242" s="3613"/>
      <c r="J242" s="3522"/>
      <c r="K242" s="187"/>
      <c r="L242" s="3888"/>
    </row>
    <row r="243" spans="1:16" ht="30" customHeight="1" x14ac:dyDescent="0.2">
      <c r="A243" s="1941"/>
      <c r="B243" s="3459"/>
      <c r="C243" s="3576"/>
      <c r="D243" s="1944">
        <v>10000000</v>
      </c>
      <c r="E243" s="1947">
        <v>0.04</v>
      </c>
      <c r="F243" s="1944">
        <f t="shared" si="19"/>
        <v>400000</v>
      </c>
      <c r="G243" s="3521" t="s">
        <v>4013</v>
      </c>
      <c r="H243" s="3613"/>
      <c r="I243" s="3613"/>
      <c r="J243" s="3522"/>
      <c r="K243" s="187"/>
      <c r="L243" s="3888"/>
    </row>
    <row r="244" spans="1:16" ht="30" customHeight="1" x14ac:dyDescent="0.2">
      <c r="A244" s="1609"/>
      <c r="B244" s="3458"/>
      <c r="C244" s="3571"/>
      <c r="D244" s="1944">
        <v>10000000</v>
      </c>
      <c r="E244" s="1947">
        <v>0.04</v>
      </c>
      <c r="F244" s="1944">
        <f t="shared" si="19"/>
        <v>400000</v>
      </c>
      <c r="G244" s="3521" t="s">
        <v>4013</v>
      </c>
      <c r="H244" s="3613"/>
      <c r="I244" s="3613"/>
      <c r="J244" s="3522"/>
      <c r="K244" s="7"/>
      <c r="L244" s="3889"/>
    </row>
    <row r="245" spans="1:16" ht="30" customHeight="1" x14ac:dyDescent="0.2">
      <c r="A245" s="1514">
        <v>148</v>
      </c>
      <c r="B245" s="1567" t="s">
        <v>14</v>
      </c>
      <c r="C245" s="1571" t="s">
        <v>1590</v>
      </c>
      <c r="D245" s="1542">
        <v>55000000</v>
      </c>
      <c r="E245" s="1569">
        <v>0.05</v>
      </c>
      <c r="F245" s="1542">
        <f t="shared" si="19"/>
        <v>2750000</v>
      </c>
      <c r="G245" s="1542">
        <v>2750000</v>
      </c>
      <c r="H245" s="1542" t="s">
        <v>3696</v>
      </c>
      <c r="I245" s="1566" t="s">
        <v>3707</v>
      </c>
      <c r="J245" s="1542">
        <f t="shared" ref="J245:J251" si="20">G245</f>
        <v>2750000</v>
      </c>
      <c r="K245" s="1542">
        <f t="shared" ref="K245:K252" si="21">F245-J245</f>
        <v>0</v>
      </c>
      <c r="L245" s="1537"/>
    </row>
    <row r="246" spans="1:16" ht="30" customHeight="1" x14ac:dyDescent="0.2">
      <c r="A246" s="1572">
        <v>149</v>
      </c>
      <c r="B246" s="1570" t="s">
        <v>15</v>
      </c>
      <c r="C246" s="1541" t="s">
        <v>1346</v>
      </c>
      <c r="D246" s="1521">
        <v>80000000</v>
      </c>
      <c r="E246" s="1518">
        <v>0.05</v>
      </c>
      <c r="F246" s="1521">
        <f t="shared" si="19"/>
        <v>4000000</v>
      </c>
      <c r="G246" s="1521">
        <v>4000000</v>
      </c>
      <c r="H246" s="1521" t="s">
        <v>3820</v>
      </c>
      <c r="I246" s="425" t="s">
        <v>3821</v>
      </c>
      <c r="J246" s="1521">
        <f t="shared" si="20"/>
        <v>4000000</v>
      </c>
      <c r="K246" s="1521">
        <f t="shared" si="21"/>
        <v>0</v>
      </c>
      <c r="L246" s="168" t="s">
        <v>364</v>
      </c>
    </row>
    <row r="247" spans="1:16" ht="30" customHeight="1" x14ac:dyDescent="0.2">
      <c r="A247" s="1572">
        <v>150</v>
      </c>
      <c r="B247" s="1570" t="s">
        <v>16</v>
      </c>
      <c r="C247" s="1541" t="s">
        <v>1349</v>
      </c>
      <c r="D247" s="1531"/>
      <c r="E247" s="44"/>
      <c r="F247" s="1531">
        <f t="shared" si="19"/>
        <v>0</v>
      </c>
      <c r="G247" s="1521">
        <v>6400000</v>
      </c>
      <c r="H247" s="1521" t="s">
        <v>3830</v>
      </c>
      <c r="I247" s="24" t="s">
        <v>3121</v>
      </c>
      <c r="J247" s="1521">
        <f t="shared" si="20"/>
        <v>6400000</v>
      </c>
      <c r="K247" s="1531">
        <f t="shared" si="21"/>
        <v>-6400000</v>
      </c>
      <c r="L247" s="1526" t="s">
        <v>3122</v>
      </c>
    </row>
    <row r="248" spans="1:16" ht="30" customHeight="1" x14ac:dyDescent="0.2">
      <c r="A248" s="1572">
        <v>151</v>
      </c>
      <c r="B248" s="1570" t="s">
        <v>17</v>
      </c>
      <c r="C248" s="1541" t="s">
        <v>1138</v>
      </c>
      <c r="D248" s="1521">
        <v>180000000</v>
      </c>
      <c r="E248" s="1569">
        <v>0.05</v>
      </c>
      <c r="F248" s="1521">
        <f t="shared" si="19"/>
        <v>9000000</v>
      </c>
      <c r="G248" s="1521">
        <v>9000000</v>
      </c>
      <c r="H248" s="1521" t="s">
        <v>3830</v>
      </c>
      <c r="I248" s="24" t="s">
        <v>2275</v>
      </c>
      <c r="J248" s="1521">
        <f t="shared" si="20"/>
        <v>9000000</v>
      </c>
      <c r="K248" s="1521">
        <f t="shared" si="21"/>
        <v>0</v>
      </c>
      <c r="L248" s="1570"/>
    </row>
    <row r="249" spans="1:16" ht="30" customHeight="1" x14ac:dyDescent="0.2">
      <c r="A249" s="1572">
        <v>152</v>
      </c>
      <c r="B249" s="1570" t="s">
        <v>1146</v>
      </c>
      <c r="C249" s="1541" t="s">
        <v>3142</v>
      </c>
      <c r="D249" s="1521">
        <v>35000000</v>
      </c>
      <c r="E249" s="1569">
        <v>4.7E-2</v>
      </c>
      <c r="F249" s="1521">
        <v>1650000</v>
      </c>
      <c r="G249" s="1521">
        <v>1650000</v>
      </c>
      <c r="H249" s="1521" t="s">
        <v>3830</v>
      </c>
      <c r="I249" s="24" t="s">
        <v>3841</v>
      </c>
      <c r="J249" s="1521">
        <f t="shared" si="20"/>
        <v>1650000</v>
      </c>
      <c r="K249" s="1521">
        <f t="shared" si="21"/>
        <v>0</v>
      </c>
      <c r="L249" s="1570"/>
    </row>
    <row r="250" spans="1:16" ht="30" customHeight="1" x14ac:dyDescent="0.2">
      <c r="A250" s="1572">
        <v>153</v>
      </c>
      <c r="B250" s="1570" t="s">
        <v>18</v>
      </c>
      <c r="C250" s="1541"/>
      <c r="D250" s="1521">
        <v>30000000</v>
      </c>
      <c r="E250" s="1569">
        <v>0.04</v>
      </c>
      <c r="F250" s="1521">
        <f t="shared" si="19"/>
        <v>1200000</v>
      </c>
      <c r="G250" s="1521">
        <v>1200000</v>
      </c>
      <c r="H250" s="1521" t="s">
        <v>3830</v>
      </c>
      <c r="I250" s="24" t="s">
        <v>3838</v>
      </c>
      <c r="J250" s="1521">
        <f t="shared" si="20"/>
        <v>1200000</v>
      </c>
      <c r="K250" s="1521">
        <f t="shared" si="21"/>
        <v>0</v>
      </c>
      <c r="L250" s="1570"/>
    </row>
    <row r="251" spans="1:16" ht="30" customHeight="1" x14ac:dyDescent="0.2">
      <c r="A251" s="1572">
        <v>154</v>
      </c>
      <c r="B251" s="1570" t="s">
        <v>19</v>
      </c>
      <c r="C251" s="1541" t="s">
        <v>1909</v>
      </c>
      <c r="D251" s="1521">
        <v>15000000</v>
      </c>
      <c r="E251" s="1569">
        <v>7.0000000000000007E-2</v>
      </c>
      <c r="F251" s="1521">
        <f t="shared" si="19"/>
        <v>1050000</v>
      </c>
      <c r="G251" s="1521">
        <v>1050000</v>
      </c>
      <c r="H251" s="1521" t="s">
        <v>3643</v>
      </c>
      <c r="I251" s="24" t="s">
        <v>1330</v>
      </c>
      <c r="J251" s="1521">
        <f t="shared" si="20"/>
        <v>1050000</v>
      </c>
      <c r="K251" s="1521">
        <f t="shared" si="21"/>
        <v>0</v>
      </c>
      <c r="L251" s="1570"/>
    </row>
    <row r="252" spans="1:16" ht="30" customHeight="1" x14ac:dyDescent="0.2">
      <c r="A252" s="1572">
        <v>155</v>
      </c>
      <c r="B252" s="1570" t="s">
        <v>20</v>
      </c>
      <c r="C252" s="1541"/>
      <c r="D252" s="1531"/>
      <c r="E252" s="44"/>
      <c r="F252" s="1531">
        <f t="shared" si="19"/>
        <v>0</v>
      </c>
      <c r="G252" s="1521"/>
      <c r="H252" s="1521"/>
      <c r="I252" s="24"/>
      <c r="J252" s="1521"/>
      <c r="K252" s="1531">
        <f t="shared" si="21"/>
        <v>0</v>
      </c>
      <c r="L252" s="1570"/>
    </row>
    <row r="253" spans="1:16" ht="30" customHeight="1" x14ac:dyDescent="0.2">
      <c r="A253" s="1514">
        <v>156</v>
      </c>
      <c r="B253" s="1567" t="s">
        <v>21</v>
      </c>
      <c r="C253" s="421"/>
      <c r="D253" s="1542">
        <v>50000000</v>
      </c>
      <c r="E253" s="1569">
        <v>0.04</v>
      </c>
      <c r="F253" s="1542">
        <f t="shared" si="19"/>
        <v>2000000</v>
      </c>
      <c r="G253" s="1521">
        <v>2000000</v>
      </c>
      <c r="H253" s="1521" t="s">
        <v>3798</v>
      </c>
      <c r="I253" s="21" t="s">
        <v>3802</v>
      </c>
      <c r="J253" s="1542">
        <f>G253</f>
        <v>2000000</v>
      </c>
      <c r="K253" s="1542">
        <f>F253-500000</f>
        <v>1500000</v>
      </c>
      <c r="L253" s="1526" t="s">
        <v>3803</v>
      </c>
    </row>
    <row r="254" spans="1:16" ht="30" customHeight="1" x14ac:dyDescent="0.2">
      <c r="A254" s="1572">
        <v>157</v>
      </c>
      <c r="B254" s="1570" t="s">
        <v>22</v>
      </c>
      <c r="C254" s="1541" t="s">
        <v>1349</v>
      </c>
      <c r="D254" s="1521">
        <v>20000000</v>
      </c>
      <c r="E254" s="1518">
        <v>0.05</v>
      </c>
      <c r="F254" s="1521">
        <f t="shared" si="19"/>
        <v>1000000</v>
      </c>
      <c r="G254" s="1521">
        <v>1000000</v>
      </c>
      <c r="H254" s="1521" t="s">
        <v>3814</v>
      </c>
      <c r="I254" s="24" t="s">
        <v>3818</v>
      </c>
      <c r="J254" s="1521">
        <f>G254</f>
        <v>1000000</v>
      </c>
      <c r="K254" s="1521">
        <f>F254-J254</f>
        <v>0</v>
      </c>
      <c r="L254" s="1570"/>
    </row>
    <row r="255" spans="1:16" ht="30" customHeight="1" x14ac:dyDescent="0.2">
      <c r="A255" s="3456"/>
      <c r="B255" s="3457" t="s">
        <v>848</v>
      </c>
      <c r="C255" s="1541" t="s">
        <v>1378</v>
      </c>
      <c r="D255" s="1521">
        <v>160000000</v>
      </c>
      <c r="E255" s="1569">
        <v>0.05</v>
      </c>
      <c r="F255" s="1521">
        <f>D255*E255</f>
        <v>8000000</v>
      </c>
      <c r="G255" s="3442">
        <v>9200000</v>
      </c>
      <c r="H255" s="3442" t="s">
        <v>3869</v>
      </c>
      <c r="I255" s="3442" t="s">
        <v>3264</v>
      </c>
      <c r="J255" s="3442">
        <f>G255</f>
        <v>9200000</v>
      </c>
      <c r="K255" s="3442">
        <f>(F255+F256)-J255</f>
        <v>0</v>
      </c>
      <c r="L255" s="247"/>
      <c r="M255" s="247"/>
      <c r="N255" s="247"/>
      <c r="O255" s="247"/>
      <c r="P255" s="247"/>
    </row>
    <row r="256" spans="1:16" ht="30" customHeight="1" x14ac:dyDescent="0.2">
      <c r="A256" s="3451"/>
      <c r="B256" s="3458"/>
      <c r="C256" s="1541" t="s">
        <v>1378</v>
      </c>
      <c r="D256" s="1521">
        <v>22000000</v>
      </c>
      <c r="E256" s="1569">
        <v>5.5E-2</v>
      </c>
      <c r="F256" s="1521">
        <v>1200000</v>
      </c>
      <c r="G256" s="3443"/>
      <c r="H256" s="3443"/>
      <c r="I256" s="3443"/>
      <c r="J256" s="3443"/>
      <c r="K256" s="3443"/>
      <c r="L256" s="1865"/>
    </row>
    <row r="257" spans="1:16" ht="30" customHeight="1" x14ac:dyDescent="0.2">
      <c r="A257" s="1572">
        <v>159</v>
      </c>
      <c r="B257" s="1570" t="s">
        <v>23</v>
      </c>
      <c r="C257" s="1541" t="s">
        <v>1355</v>
      </c>
      <c r="D257" s="1521">
        <v>25000000</v>
      </c>
      <c r="E257" s="1569">
        <v>0.05</v>
      </c>
      <c r="F257" s="1521">
        <f t="shared" si="19"/>
        <v>1250000</v>
      </c>
      <c r="G257" s="1521"/>
      <c r="H257" s="1521"/>
      <c r="I257" s="24"/>
      <c r="J257" s="1521">
        <f>G257</f>
        <v>0</v>
      </c>
      <c r="K257" s="1521">
        <f t="shared" ref="K257:K268" si="22">F257-J257</f>
        <v>1250000</v>
      </c>
      <c r="L257" s="1570"/>
    </row>
    <row r="258" spans="1:16" ht="30" customHeight="1" x14ac:dyDescent="0.2">
      <c r="A258" s="1572">
        <v>160</v>
      </c>
      <c r="B258" s="1570" t="s">
        <v>24</v>
      </c>
      <c r="C258" s="1541"/>
      <c r="D258" s="1521">
        <v>55000000</v>
      </c>
      <c r="E258" s="1569">
        <v>0.05</v>
      </c>
      <c r="F258" s="1521">
        <f t="shared" si="19"/>
        <v>2750000</v>
      </c>
      <c r="G258" s="1521"/>
      <c r="H258" s="1521"/>
      <c r="I258" s="24"/>
      <c r="J258" s="1521">
        <f>G258</f>
        <v>0</v>
      </c>
      <c r="K258" s="1521">
        <f t="shared" si="22"/>
        <v>2750000</v>
      </c>
      <c r="L258" s="1570"/>
    </row>
    <row r="259" spans="1:16" ht="30" customHeight="1" x14ac:dyDescent="0.2">
      <c r="A259" s="1572">
        <v>161</v>
      </c>
      <c r="B259" s="3457" t="s">
        <v>25</v>
      </c>
      <c r="C259" s="3570" t="s">
        <v>1378</v>
      </c>
      <c r="D259" s="1521">
        <v>20000000</v>
      </c>
      <c r="E259" s="1569">
        <v>4.4999999999999998E-2</v>
      </c>
      <c r="F259" s="1521">
        <f t="shared" si="19"/>
        <v>900000</v>
      </c>
      <c r="G259" s="1521">
        <v>900000</v>
      </c>
      <c r="H259" s="1521" t="s">
        <v>3869</v>
      </c>
      <c r="I259" s="24" t="s">
        <v>3879</v>
      </c>
      <c r="J259" s="1521">
        <f>G259</f>
        <v>900000</v>
      </c>
      <c r="K259" s="1521">
        <f t="shared" si="22"/>
        <v>0</v>
      </c>
      <c r="L259" s="1570"/>
    </row>
    <row r="260" spans="1:16" ht="30" customHeight="1" x14ac:dyDescent="0.2">
      <c r="A260" s="1864"/>
      <c r="B260" s="3458"/>
      <c r="C260" s="3571"/>
      <c r="D260" s="1853">
        <v>17500000</v>
      </c>
      <c r="E260" s="1862">
        <v>4.4999999999999998E-2</v>
      </c>
      <c r="F260" s="1853">
        <f t="shared" si="19"/>
        <v>787500</v>
      </c>
      <c r="G260" s="3325" t="s">
        <v>3915</v>
      </c>
      <c r="H260" s="3340"/>
      <c r="I260" s="3340"/>
      <c r="J260" s="3340"/>
      <c r="K260" s="3341"/>
      <c r="L260" s="1865"/>
    </row>
    <row r="261" spans="1:16" ht="30" customHeight="1" x14ac:dyDescent="0.2">
      <c r="A261" s="1572">
        <v>162</v>
      </c>
      <c r="B261" s="1570" t="s">
        <v>26</v>
      </c>
      <c r="C261" s="1541" t="s">
        <v>1378</v>
      </c>
      <c r="D261" s="1521">
        <v>180000000</v>
      </c>
      <c r="E261" s="1569">
        <v>0.05</v>
      </c>
      <c r="F261" s="1521">
        <f t="shared" si="19"/>
        <v>9000000</v>
      </c>
      <c r="G261" s="1521">
        <v>9000000</v>
      </c>
      <c r="H261" s="1521" t="s">
        <v>3830</v>
      </c>
      <c r="I261" s="24" t="s">
        <v>3267</v>
      </c>
      <c r="J261" s="1521">
        <f>G261</f>
        <v>9000000</v>
      </c>
      <c r="K261" s="1521">
        <f t="shared" si="22"/>
        <v>0</v>
      </c>
      <c r="L261" s="1570"/>
    </row>
    <row r="262" spans="1:16" ht="30" customHeight="1" x14ac:dyDescent="0.2">
      <c r="A262" s="1572">
        <v>163</v>
      </c>
      <c r="B262" s="1570" t="s">
        <v>854</v>
      </c>
      <c r="C262" s="1541"/>
      <c r="D262" s="1521">
        <v>200000000</v>
      </c>
      <c r="E262" s="1569">
        <v>0.05</v>
      </c>
      <c r="F262" s="1521">
        <f t="shared" si="19"/>
        <v>10000000</v>
      </c>
      <c r="G262" s="1521">
        <v>10000000</v>
      </c>
      <c r="H262" s="1521" t="s">
        <v>3869</v>
      </c>
      <c r="I262" s="24" t="s">
        <v>3870</v>
      </c>
      <c r="J262" s="1521">
        <f>F262</f>
        <v>10000000</v>
      </c>
      <c r="K262" s="1521">
        <f t="shared" si="22"/>
        <v>0</v>
      </c>
      <c r="L262" s="1570"/>
    </row>
    <row r="263" spans="1:16" ht="30" customHeight="1" x14ac:dyDescent="0.2">
      <c r="A263" s="1572">
        <v>164</v>
      </c>
      <c r="B263" s="1570" t="s">
        <v>27</v>
      </c>
      <c r="C263" s="1541"/>
      <c r="D263" s="1521">
        <v>50000000</v>
      </c>
      <c r="E263" s="1569">
        <v>0.05</v>
      </c>
      <c r="F263" s="1521">
        <f t="shared" si="19"/>
        <v>2500000</v>
      </c>
      <c r="G263" s="1521">
        <v>2500000</v>
      </c>
      <c r="H263" s="1521" t="s">
        <v>3814</v>
      </c>
      <c r="I263" s="24" t="s">
        <v>2325</v>
      </c>
      <c r="J263" s="1521">
        <f t="shared" ref="J263:J271" si="23">G263</f>
        <v>2500000</v>
      </c>
      <c r="K263" s="1521">
        <f t="shared" si="22"/>
        <v>0</v>
      </c>
      <c r="L263" s="1570"/>
    </row>
    <row r="264" spans="1:16" ht="30" customHeight="1" x14ac:dyDescent="0.2">
      <c r="A264" s="1572">
        <v>165</v>
      </c>
      <c r="B264" s="1570" t="s">
        <v>28</v>
      </c>
      <c r="C264" s="1541" t="s">
        <v>700</v>
      </c>
      <c r="D264" s="1521">
        <v>20000000</v>
      </c>
      <c r="E264" s="1569">
        <v>0.04</v>
      </c>
      <c r="F264" s="1521">
        <f t="shared" si="19"/>
        <v>800000</v>
      </c>
      <c r="G264" s="1521">
        <v>800000</v>
      </c>
      <c r="H264" s="1521" t="s">
        <v>3869</v>
      </c>
      <c r="I264" s="24" t="s">
        <v>3878</v>
      </c>
      <c r="J264" s="1521">
        <f t="shared" si="23"/>
        <v>800000</v>
      </c>
      <c r="K264" s="1521">
        <f t="shared" si="22"/>
        <v>0</v>
      </c>
      <c r="L264" s="1570"/>
    </row>
    <row r="265" spans="1:16" ht="30" customHeight="1" x14ac:dyDescent="0.2">
      <c r="A265" s="1572">
        <v>166</v>
      </c>
      <c r="B265" s="1570" t="s">
        <v>29</v>
      </c>
      <c r="C265" s="1541" t="s">
        <v>564</v>
      </c>
      <c r="D265" s="1521">
        <v>100000000</v>
      </c>
      <c r="E265" s="1569">
        <v>0.05</v>
      </c>
      <c r="F265" s="1521">
        <f t="shared" si="19"/>
        <v>5000000</v>
      </c>
      <c r="G265" s="1521">
        <v>5000000</v>
      </c>
      <c r="H265" s="1521" t="s">
        <v>3830</v>
      </c>
      <c r="I265" s="30" t="s">
        <v>566</v>
      </c>
      <c r="J265" s="1521">
        <f t="shared" si="23"/>
        <v>5000000</v>
      </c>
      <c r="K265" s="1521">
        <f t="shared" si="22"/>
        <v>0</v>
      </c>
      <c r="L265" s="1570"/>
    </row>
    <row r="266" spans="1:16" ht="30" customHeight="1" x14ac:dyDescent="0.2">
      <c r="A266" s="1572">
        <v>167</v>
      </c>
      <c r="B266" s="1570" t="s">
        <v>758</v>
      </c>
      <c r="C266" s="1541" t="s">
        <v>1378</v>
      </c>
      <c r="D266" s="1521">
        <v>50000000</v>
      </c>
      <c r="E266" s="1569">
        <v>0.05</v>
      </c>
      <c r="F266" s="1521">
        <f t="shared" si="19"/>
        <v>2500000</v>
      </c>
      <c r="G266" s="1521">
        <v>2500000</v>
      </c>
      <c r="H266" s="1521" t="s">
        <v>2733</v>
      </c>
      <c r="I266" s="24" t="s">
        <v>760</v>
      </c>
      <c r="J266" s="1521">
        <f t="shared" si="23"/>
        <v>2500000</v>
      </c>
      <c r="K266" s="1521">
        <f t="shared" si="22"/>
        <v>0</v>
      </c>
      <c r="L266" s="1570"/>
    </row>
    <row r="267" spans="1:16" ht="30" customHeight="1" x14ac:dyDescent="0.2">
      <c r="A267" s="1572">
        <v>168</v>
      </c>
      <c r="B267" s="1570" t="s">
        <v>844</v>
      </c>
      <c r="C267" s="1541"/>
      <c r="D267" s="1521">
        <v>50000000</v>
      </c>
      <c r="E267" s="1569">
        <v>7.0000000000000007E-2</v>
      </c>
      <c r="F267" s="1521">
        <f t="shared" si="19"/>
        <v>3500000.0000000005</v>
      </c>
      <c r="G267" s="1521">
        <v>3500000</v>
      </c>
      <c r="H267" s="1521" t="s">
        <v>3830</v>
      </c>
      <c r="I267" s="24" t="s">
        <v>3220</v>
      </c>
      <c r="J267" s="1521">
        <f t="shared" si="23"/>
        <v>3500000</v>
      </c>
      <c r="K267" s="1521">
        <f t="shared" si="22"/>
        <v>0</v>
      </c>
      <c r="L267" s="1570"/>
    </row>
    <row r="268" spans="1:16" ht="30" customHeight="1" x14ac:dyDescent="0.2">
      <c r="A268" s="1076"/>
      <c r="B268" s="1567" t="s">
        <v>30</v>
      </c>
      <c r="C268" s="756"/>
      <c r="D268" s="1521">
        <v>20000000</v>
      </c>
      <c r="E268" s="1569">
        <v>0.05</v>
      </c>
      <c r="F268" s="1521">
        <f>D268*E268</f>
        <v>1000000</v>
      </c>
      <c r="G268" s="1521">
        <v>1000000</v>
      </c>
      <c r="H268" s="1521" t="s">
        <v>1232</v>
      </c>
      <c r="I268" s="1521" t="s">
        <v>875</v>
      </c>
      <c r="J268" s="1521">
        <f t="shared" si="23"/>
        <v>1000000</v>
      </c>
      <c r="K268" s="1521">
        <f t="shared" si="22"/>
        <v>0</v>
      </c>
      <c r="L268" s="3478"/>
      <c r="M268" s="3479"/>
      <c r="N268" s="3479"/>
      <c r="O268" s="3479"/>
      <c r="P268" s="3480"/>
    </row>
    <row r="269" spans="1:16" ht="30" customHeight="1" x14ac:dyDescent="0.2">
      <c r="A269" s="1572">
        <v>170</v>
      </c>
      <c r="B269" s="1570" t="s">
        <v>31</v>
      </c>
      <c r="C269" s="1541" t="s">
        <v>1138</v>
      </c>
      <c r="D269" s="1521">
        <v>70000000</v>
      </c>
      <c r="E269" s="1569">
        <v>0.05</v>
      </c>
      <c r="F269" s="1521">
        <f t="shared" si="19"/>
        <v>3500000</v>
      </c>
      <c r="G269" s="1521">
        <v>3500000</v>
      </c>
      <c r="H269" s="1521" t="s">
        <v>1232</v>
      </c>
      <c r="I269" s="24" t="s">
        <v>3891</v>
      </c>
      <c r="J269" s="1521">
        <f t="shared" si="23"/>
        <v>3500000</v>
      </c>
      <c r="K269" s="1521">
        <f>F269-J269</f>
        <v>0</v>
      </c>
      <c r="L269" s="1570"/>
    </row>
    <row r="270" spans="1:16" ht="30" customHeight="1" x14ac:dyDescent="0.2">
      <c r="A270" s="1572">
        <v>171</v>
      </c>
      <c r="B270" s="1570" t="s">
        <v>32</v>
      </c>
      <c r="C270" s="1541" t="s">
        <v>1348</v>
      </c>
      <c r="D270" s="1531"/>
      <c r="E270" s="44"/>
      <c r="F270" s="1521">
        <v>400000</v>
      </c>
      <c r="G270" s="1521">
        <v>400000</v>
      </c>
      <c r="H270" s="1521" t="s">
        <v>3621</v>
      </c>
      <c r="I270" s="24" t="s">
        <v>686</v>
      </c>
      <c r="J270" s="1521">
        <f t="shared" si="23"/>
        <v>400000</v>
      </c>
      <c r="K270" s="1521">
        <f>F270-J270</f>
        <v>0</v>
      </c>
      <c r="L270" s="103"/>
    </row>
    <row r="271" spans="1:16" ht="30" customHeight="1" x14ac:dyDescent="0.2">
      <c r="A271" s="3450">
        <v>172</v>
      </c>
      <c r="B271" s="3457" t="s">
        <v>33</v>
      </c>
      <c r="C271" s="3686"/>
      <c r="D271" s="1521">
        <v>5000000</v>
      </c>
      <c r="E271" s="1569">
        <v>0.06</v>
      </c>
      <c r="F271" s="1521">
        <f t="shared" si="19"/>
        <v>300000</v>
      </c>
      <c r="G271" s="1521">
        <v>300000</v>
      </c>
      <c r="H271" s="1521" t="s">
        <v>3869</v>
      </c>
      <c r="I271" s="24" t="s">
        <v>648</v>
      </c>
      <c r="J271" s="1521">
        <f t="shared" si="23"/>
        <v>300000</v>
      </c>
      <c r="K271" s="1521">
        <f>F271-J271</f>
        <v>0</v>
      </c>
      <c r="L271" s="1570"/>
    </row>
    <row r="272" spans="1:16" ht="30" customHeight="1" x14ac:dyDescent="0.2">
      <c r="A272" s="3451"/>
      <c r="B272" s="3458"/>
      <c r="C272" s="3686"/>
      <c r="D272" s="1531"/>
      <c r="E272" s="44"/>
      <c r="F272" s="1531"/>
      <c r="G272" s="3671" t="s">
        <v>3393</v>
      </c>
      <c r="H272" s="3672"/>
      <c r="I272" s="3672"/>
      <c r="J272" s="3673"/>
      <c r="K272" s="1531"/>
      <c r="L272" s="1570"/>
    </row>
    <row r="273" spans="1:12" ht="30" customHeight="1" x14ac:dyDescent="0.2">
      <c r="A273" s="1572">
        <v>173</v>
      </c>
      <c r="B273" s="1570" t="s">
        <v>34</v>
      </c>
      <c r="C273" s="1541"/>
      <c r="D273" s="1521">
        <v>40000000</v>
      </c>
      <c r="E273" s="1569">
        <v>0.05</v>
      </c>
      <c r="F273" s="1521">
        <f t="shared" si="19"/>
        <v>2000000</v>
      </c>
      <c r="G273" s="1521">
        <v>2000000</v>
      </c>
      <c r="H273" s="1521" t="s">
        <v>3869</v>
      </c>
      <c r="I273" s="24" t="s">
        <v>864</v>
      </c>
      <c r="J273" s="1521">
        <f>G273</f>
        <v>2000000</v>
      </c>
      <c r="K273" s="1521">
        <f>F273-J273</f>
        <v>0</v>
      </c>
      <c r="L273" s="1570"/>
    </row>
    <row r="274" spans="1:12" ht="30" customHeight="1" x14ac:dyDescent="0.2">
      <c r="A274" s="3693"/>
      <c r="B274" s="3687" t="s">
        <v>35</v>
      </c>
      <c r="C274" s="3686" t="s">
        <v>1342</v>
      </c>
      <c r="D274" s="3575">
        <v>5000000000</v>
      </c>
      <c r="E274" s="3683">
        <v>0.08</v>
      </c>
      <c r="F274" s="3575">
        <f>D274*E274</f>
        <v>400000000</v>
      </c>
      <c r="G274" s="1521"/>
      <c r="H274" s="1521"/>
      <c r="I274" s="24"/>
      <c r="J274" s="3442"/>
      <c r="K274" s="3442"/>
      <c r="L274" s="1512" t="s">
        <v>3023</v>
      </c>
    </row>
    <row r="275" spans="1:12" ht="30" customHeight="1" x14ac:dyDescent="0.2">
      <c r="A275" s="3693"/>
      <c r="B275" s="3687"/>
      <c r="C275" s="3686"/>
      <c r="D275" s="3575"/>
      <c r="E275" s="3683"/>
      <c r="F275" s="3575"/>
      <c r="G275" s="247"/>
      <c r="H275" s="247"/>
      <c r="I275" s="247"/>
      <c r="J275" s="3461"/>
      <c r="K275" s="3461"/>
      <c r="L275" s="1513" t="s">
        <v>2454</v>
      </c>
    </row>
    <row r="276" spans="1:12" ht="30" customHeight="1" x14ac:dyDescent="0.2">
      <c r="A276" s="3693"/>
      <c r="B276" s="3687"/>
      <c r="C276" s="3686"/>
      <c r="D276" s="3575"/>
      <c r="E276" s="3683"/>
      <c r="F276" s="3575"/>
      <c r="G276" s="247"/>
      <c r="H276" s="247"/>
      <c r="I276" s="247"/>
      <c r="J276" s="3461"/>
      <c r="K276" s="3461"/>
      <c r="L276" s="1513" t="s">
        <v>3021</v>
      </c>
    </row>
    <row r="277" spans="1:12" ht="30" customHeight="1" x14ac:dyDescent="0.2">
      <c r="A277" s="3693"/>
      <c r="B277" s="3687"/>
      <c r="C277" s="3686"/>
      <c r="D277" s="3575"/>
      <c r="E277" s="3683"/>
      <c r="F277" s="3575"/>
      <c r="G277" s="247"/>
      <c r="H277" s="247"/>
      <c r="I277" s="247"/>
      <c r="J277" s="3461"/>
      <c r="K277" s="3461"/>
      <c r="L277" s="3457" t="s">
        <v>3022</v>
      </c>
    </row>
    <row r="278" spans="1:12" ht="30" customHeight="1" x14ac:dyDescent="0.2">
      <c r="A278" s="3693"/>
      <c r="B278" s="3687"/>
      <c r="C278" s="3686"/>
      <c r="D278" s="3575"/>
      <c r="E278" s="3683"/>
      <c r="F278" s="3575"/>
      <c r="G278" s="247"/>
      <c r="H278" s="247"/>
      <c r="I278" s="247"/>
      <c r="J278" s="3443"/>
      <c r="K278" s="3443"/>
      <c r="L278" s="3458"/>
    </row>
    <row r="279" spans="1:12" ht="30" customHeight="1" x14ac:dyDescent="0.2">
      <c r="A279" s="1572">
        <v>175</v>
      </c>
      <c r="B279" s="1570" t="s">
        <v>37</v>
      </c>
      <c r="C279" s="1541" t="s">
        <v>1378</v>
      </c>
      <c r="D279" s="1521">
        <v>200000000</v>
      </c>
      <c r="E279" s="1518">
        <v>0.05</v>
      </c>
      <c r="F279" s="1521">
        <f t="shared" si="19"/>
        <v>10000000</v>
      </c>
      <c r="G279" s="1521">
        <v>10000000</v>
      </c>
      <c r="H279" s="1521" t="s">
        <v>3869</v>
      </c>
      <c r="I279" s="24" t="s">
        <v>3876</v>
      </c>
      <c r="J279" s="1521">
        <f t="shared" ref="J279:J286" si="24">G279</f>
        <v>10000000</v>
      </c>
      <c r="K279" s="1521">
        <f t="shared" ref="K279:K284" si="25">F279-J279</f>
        <v>0</v>
      </c>
      <c r="L279" s="1570"/>
    </row>
    <row r="280" spans="1:12" ht="30" customHeight="1" x14ac:dyDescent="0.2">
      <c r="A280" s="1572">
        <v>176</v>
      </c>
      <c r="B280" s="1570" t="s">
        <v>38</v>
      </c>
      <c r="C280" s="1541" t="s">
        <v>1138</v>
      </c>
      <c r="D280" s="1521">
        <v>150000000</v>
      </c>
      <c r="E280" s="1569">
        <v>7.0000000000000007E-2</v>
      </c>
      <c r="F280" s="1521">
        <f t="shared" si="19"/>
        <v>10500000.000000002</v>
      </c>
      <c r="G280" s="1521">
        <v>10500000</v>
      </c>
      <c r="H280" s="1521" t="s">
        <v>3869</v>
      </c>
      <c r="I280" s="24" t="s">
        <v>3358</v>
      </c>
      <c r="J280" s="1521">
        <f t="shared" si="24"/>
        <v>10500000</v>
      </c>
      <c r="K280" s="1521">
        <f t="shared" si="25"/>
        <v>0</v>
      </c>
      <c r="L280" s="1570"/>
    </row>
    <row r="281" spans="1:12" ht="30" customHeight="1" x14ac:dyDescent="0.2">
      <c r="A281" s="1572">
        <v>177</v>
      </c>
      <c r="B281" s="1570" t="s">
        <v>39</v>
      </c>
      <c r="C281" s="1541" t="s">
        <v>1354</v>
      </c>
      <c r="D281" s="1521">
        <v>25000000</v>
      </c>
      <c r="E281" s="1569">
        <v>0.04</v>
      </c>
      <c r="F281" s="1521">
        <f t="shared" si="19"/>
        <v>1000000</v>
      </c>
      <c r="G281" s="1521">
        <v>1000000</v>
      </c>
      <c r="H281" s="1521" t="s">
        <v>3830</v>
      </c>
      <c r="I281" s="21" t="s">
        <v>2301</v>
      </c>
      <c r="J281" s="1521">
        <f t="shared" si="24"/>
        <v>1000000</v>
      </c>
      <c r="K281" s="1521">
        <f t="shared" si="25"/>
        <v>0</v>
      </c>
      <c r="L281" s="1570"/>
    </row>
    <row r="282" spans="1:12" ht="30" customHeight="1" x14ac:dyDescent="0.2">
      <c r="A282" s="1572">
        <v>178</v>
      </c>
      <c r="B282" s="1570" t="s">
        <v>40</v>
      </c>
      <c r="C282" s="1541" t="s">
        <v>1354</v>
      </c>
      <c r="D282" s="1521">
        <v>90000000</v>
      </c>
      <c r="E282" s="1569">
        <v>4.4999999999999998E-2</v>
      </c>
      <c r="F282" s="1521">
        <v>4000000</v>
      </c>
      <c r="G282" s="1521">
        <v>4000000</v>
      </c>
      <c r="H282" s="1521" t="s">
        <v>3908</v>
      </c>
      <c r="I282" s="24" t="s">
        <v>2290</v>
      </c>
      <c r="J282" s="1521">
        <f t="shared" si="24"/>
        <v>4000000</v>
      </c>
      <c r="K282" s="1521">
        <f t="shared" si="25"/>
        <v>0</v>
      </c>
      <c r="L282" s="1570"/>
    </row>
    <row r="283" spans="1:12" ht="30" customHeight="1" x14ac:dyDescent="0.2">
      <c r="A283" s="426">
        <v>179</v>
      </c>
      <c r="B283" s="1567" t="s">
        <v>41</v>
      </c>
      <c r="C283" s="1540"/>
      <c r="D283" s="1530"/>
      <c r="E283" s="1532"/>
      <c r="F283" s="1530">
        <f t="shared" si="19"/>
        <v>0</v>
      </c>
      <c r="G283" s="1521">
        <v>16000000</v>
      </c>
      <c r="H283" s="1521" t="s">
        <v>2733</v>
      </c>
      <c r="I283" s="24" t="s">
        <v>1121</v>
      </c>
      <c r="J283" s="1519">
        <f t="shared" si="24"/>
        <v>16000000</v>
      </c>
      <c r="K283" s="1530">
        <f t="shared" si="25"/>
        <v>-16000000</v>
      </c>
      <c r="L283" s="1537"/>
    </row>
    <row r="284" spans="1:12" ht="30" customHeight="1" x14ac:dyDescent="0.2">
      <c r="A284" s="1824">
        <v>180</v>
      </c>
      <c r="B284" s="22" t="s">
        <v>42</v>
      </c>
      <c r="C284" s="53" t="s">
        <v>2533</v>
      </c>
      <c r="D284" s="1829">
        <v>300000000</v>
      </c>
      <c r="E284" s="1830">
        <v>5.7000000000000002E-2</v>
      </c>
      <c r="F284" s="1829">
        <v>17000000</v>
      </c>
      <c r="G284" s="1829">
        <v>17000000</v>
      </c>
      <c r="H284" s="1829" t="s">
        <v>2733</v>
      </c>
      <c r="I284" s="1835" t="s">
        <v>2390</v>
      </c>
      <c r="J284" s="1829">
        <f t="shared" si="24"/>
        <v>17000000</v>
      </c>
      <c r="K284" s="1829">
        <f t="shared" si="25"/>
        <v>0</v>
      </c>
      <c r="L284" s="1838"/>
    </row>
    <row r="285" spans="1:12" ht="30" customHeight="1" x14ac:dyDescent="0.2">
      <c r="A285" s="1572">
        <v>181</v>
      </c>
      <c r="B285" s="1823" t="s">
        <v>43</v>
      </c>
      <c r="C285" s="1541" t="s">
        <v>1018</v>
      </c>
      <c r="D285" s="1521">
        <v>50000000</v>
      </c>
      <c r="E285" s="1518">
        <v>0.05</v>
      </c>
      <c r="F285" s="1521">
        <f t="shared" si="19"/>
        <v>2500000</v>
      </c>
      <c r="G285" s="1521">
        <v>2500000</v>
      </c>
      <c r="H285" s="1521" t="s">
        <v>3869</v>
      </c>
      <c r="I285" s="24" t="s">
        <v>1106</v>
      </c>
      <c r="J285" s="1521">
        <f t="shared" si="24"/>
        <v>2500000</v>
      </c>
      <c r="K285" s="1521">
        <f>F285-J285</f>
        <v>0</v>
      </c>
      <c r="L285" s="1823"/>
    </row>
    <row r="286" spans="1:12" ht="30" customHeight="1" x14ac:dyDescent="0.2">
      <c r="A286" s="3456"/>
      <c r="B286" s="3457" t="s">
        <v>44</v>
      </c>
      <c r="C286" s="3570" t="s">
        <v>1018</v>
      </c>
      <c r="D286" s="3442">
        <v>125000000</v>
      </c>
      <c r="E286" s="3444">
        <v>0.05</v>
      </c>
      <c r="F286" s="3442">
        <f>D286*E286</f>
        <v>6250000</v>
      </c>
      <c r="G286" s="3442">
        <v>6250000</v>
      </c>
      <c r="H286" s="3442" t="s">
        <v>2733</v>
      </c>
      <c r="I286" s="3442" t="s">
        <v>3854</v>
      </c>
      <c r="J286" s="3442">
        <f t="shared" si="24"/>
        <v>6250000</v>
      </c>
      <c r="K286" s="3442">
        <f>F286-J286</f>
        <v>0</v>
      </c>
      <c r="L286" s="431" t="s">
        <v>2899</v>
      </c>
    </row>
    <row r="287" spans="1:12" ht="30" customHeight="1" x14ac:dyDescent="0.2">
      <c r="A287" s="3451"/>
      <c r="B287" s="3458"/>
      <c r="C287" s="3571"/>
      <c r="D287" s="3443"/>
      <c r="E287" s="3445"/>
      <c r="F287" s="3443"/>
      <c r="G287" s="3443"/>
      <c r="H287" s="3443"/>
      <c r="I287" s="3443"/>
      <c r="J287" s="3443"/>
      <c r="K287" s="3443"/>
      <c r="L287" s="431" t="s">
        <v>3302</v>
      </c>
    </row>
    <row r="288" spans="1:12" ht="30" customHeight="1" x14ac:dyDescent="0.2">
      <c r="A288" s="1572">
        <v>183</v>
      </c>
      <c r="B288" s="1570" t="s">
        <v>45</v>
      </c>
      <c r="C288" s="1541" t="s">
        <v>1131</v>
      </c>
      <c r="D288" s="1521">
        <v>100000000</v>
      </c>
      <c r="E288" s="1569">
        <v>0.05</v>
      </c>
      <c r="F288" s="1521">
        <f t="shared" si="19"/>
        <v>5000000</v>
      </c>
      <c r="G288" s="1521">
        <v>5000000</v>
      </c>
      <c r="H288" s="1521" t="s">
        <v>3909</v>
      </c>
      <c r="I288" s="24" t="s">
        <v>1186</v>
      </c>
      <c r="J288" s="1521">
        <f t="shared" ref="J288:J295" si="26">G288</f>
        <v>5000000</v>
      </c>
      <c r="K288" s="1521">
        <f t="shared" ref="K288:K294" si="27">F288-J288</f>
        <v>0</v>
      </c>
      <c r="L288" s="168"/>
    </row>
    <row r="289" spans="1:12" ht="30" customHeight="1" x14ac:dyDescent="0.2">
      <c r="A289" s="1572">
        <v>184</v>
      </c>
      <c r="B289" s="1570" t="s">
        <v>46</v>
      </c>
      <c r="C289" s="1541" t="s">
        <v>1018</v>
      </c>
      <c r="D289" s="1521">
        <v>20000000</v>
      </c>
      <c r="E289" s="1569">
        <v>0.05</v>
      </c>
      <c r="F289" s="1521">
        <f t="shared" si="19"/>
        <v>1000000</v>
      </c>
      <c r="G289" s="1521">
        <v>1000000</v>
      </c>
      <c r="H289" s="1521" t="s">
        <v>2603</v>
      </c>
      <c r="I289" s="24" t="s">
        <v>1125</v>
      </c>
      <c r="J289" s="1521">
        <f t="shared" si="26"/>
        <v>1000000</v>
      </c>
      <c r="K289" s="1521">
        <f t="shared" si="27"/>
        <v>0</v>
      </c>
      <c r="L289" s="1570"/>
    </row>
    <row r="290" spans="1:12" ht="30" customHeight="1" x14ac:dyDescent="0.2">
      <c r="A290" s="1572">
        <v>185</v>
      </c>
      <c r="B290" s="1570" t="s">
        <v>47</v>
      </c>
      <c r="C290" s="1541" t="s">
        <v>1019</v>
      </c>
      <c r="D290" s="1521">
        <v>70000000</v>
      </c>
      <c r="E290" s="1569">
        <v>0.05</v>
      </c>
      <c r="F290" s="1521">
        <f t="shared" si="19"/>
        <v>3500000</v>
      </c>
      <c r="G290" s="1521"/>
      <c r="H290" s="1521"/>
      <c r="I290" s="24"/>
      <c r="J290" s="1521">
        <f t="shared" si="26"/>
        <v>0</v>
      </c>
      <c r="K290" s="1521">
        <f t="shared" si="27"/>
        <v>3500000</v>
      </c>
      <c r="L290" s="192" t="s">
        <v>3882</v>
      </c>
    </row>
    <row r="291" spans="1:12" ht="30" customHeight="1" x14ac:dyDescent="0.2">
      <c r="A291" s="1572">
        <v>186</v>
      </c>
      <c r="B291" s="1570" t="s">
        <v>48</v>
      </c>
      <c r="C291" s="1541"/>
      <c r="D291" s="1521">
        <v>8000000</v>
      </c>
      <c r="E291" s="1569">
        <v>0.04</v>
      </c>
      <c r="F291" s="1521">
        <f t="shared" si="19"/>
        <v>320000</v>
      </c>
      <c r="G291" s="1521">
        <v>320000</v>
      </c>
      <c r="H291" s="1521" t="s">
        <v>3869</v>
      </c>
      <c r="I291" s="24" t="s">
        <v>862</v>
      </c>
      <c r="J291" s="1521">
        <f t="shared" si="26"/>
        <v>320000</v>
      </c>
      <c r="K291" s="1521">
        <f t="shared" si="27"/>
        <v>0</v>
      </c>
      <c r="L291" s="1570"/>
    </row>
    <row r="292" spans="1:12" ht="30" customHeight="1" x14ac:dyDescent="0.2">
      <c r="A292" s="1514">
        <v>187</v>
      </c>
      <c r="B292" s="1570" t="s">
        <v>2601</v>
      </c>
      <c r="C292" s="1571" t="s">
        <v>1175</v>
      </c>
      <c r="D292" s="1542">
        <v>200000000</v>
      </c>
      <c r="E292" s="1569">
        <v>0.05</v>
      </c>
      <c r="F292" s="1542">
        <f t="shared" si="19"/>
        <v>10000000</v>
      </c>
      <c r="G292" s="1521">
        <v>10000000</v>
      </c>
      <c r="H292" s="1521" t="s">
        <v>4082</v>
      </c>
      <c r="I292" s="24" t="s">
        <v>3466</v>
      </c>
      <c r="J292" s="1521">
        <f t="shared" si="26"/>
        <v>10000000</v>
      </c>
      <c r="K292" s="1521">
        <f t="shared" si="27"/>
        <v>0</v>
      </c>
      <c r="L292" s="103"/>
    </row>
    <row r="293" spans="1:12" ht="30" customHeight="1" x14ac:dyDescent="0.2">
      <c r="A293" s="1572">
        <v>188</v>
      </c>
      <c r="B293" s="1513" t="s">
        <v>50</v>
      </c>
      <c r="C293" s="1541"/>
      <c r="D293" s="1521">
        <v>200000000</v>
      </c>
      <c r="E293" s="1518">
        <v>0.05</v>
      </c>
      <c r="F293" s="1521">
        <f t="shared" si="19"/>
        <v>10000000</v>
      </c>
      <c r="G293" s="1521">
        <v>10000000</v>
      </c>
      <c r="H293" s="1521" t="s">
        <v>1232</v>
      </c>
      <c r="I293" s="24" t="s">
        <v>1923</v>
      </c>
      <c r="J293" s="1521">
        <f t="shared" si="26"/>
        <v>10000000</v>
      </c>
      <c r="K293" s="1521">
        <f t="shared" si="27"/>
        <v>0</v>
      </c>
      <c r="L293" s="1570"/>
    </row>
    <row r="294" spans="1:12" ht="30" customHeight="1" x14ac:dyDescent="0.2">
      <c r="A294" s="1572">
        <v>189</v>
      </c>
      <c r="B294" s="1570" t="s">
        <v>51</v>
      </c>
      <c r="C294" s="1541" t="s">
        <v>700</v>
      </c>
      <c r="D294" s="1521">
        <v>15000000</v>
      </c>
      <c r="E294" s="1569">
        <v>0.05</v>
      </c>
      <c r="F294" s="1521">
        <f t="shared" si="19"/>
        <v>750000</v>
      </c>
      <c r="G294" s="1521">
        <v>750000</v>
      </c>
      <c r="H294" s="1521" t="s">
        <v>3869</v>
      </c>
      <c r="I294" s="24" t="s">
        <v>860</v>
      </c>
      <c r="J294" s="1521">
        <f t="shared" si="26"/>
        <v>750000</v>
      </c>
      <c r="K294" s="1521">
        <f t="shared" si="27"/>
        <v>0</v>
      </c>
      <c r="L294" s="1570"/>
    </row>
    <row r="295" spans="1:12" ht="30" customHeight="1" x14ac:dyDescent="0.2">
      <c r="A295" s="3450">
        <v>190</v>
      </c>
      <c r="B295" s="3457" t="s">
        <v>52</v>
      </c>
      <c r="C295" s="1541" t="s">
        <v>1131</v>
      </c>
      <c r="D295" s="1521">
        <v>80000000</v>
      </c>
      <c r="E295" s="1569">
        <v>0.05</v>
      </c>
      <c r="F295" s="1521">
        <f t="shared" si="19"/>
        <v>4000000</v>
      </c>
      <c r="G295" s="3442">
        <v>14000000</v>
      </c>
      <c r="H295" s="3442" t="s">
        <v>4031</v>
      </c>
      <c r="I295" s="3452" t="s">
        <v>3102</v>
      </c>
      <c r="J295" s="3442">
        <f t="shared" si="26"/>
        <v>14000000</v>
      </c>
      <c r="K295" s="3442">
        <f>(F295+F296)-J295</f>
        <v>0</v>
      </c>
      <c r="L295" s="3525"/>
    </row>
    <row r="296" spans="1:12" ht="30" customHeight="1" x14ac:dyDescent="0.2">
      <c r="A296" s="3456"/>
      <c r="B296" s="3459"/>
      <c r="C296" s="1541" t="s">
        <v>1131</v>
      </c>
      <c r="D296" s="1521">
        <v>200000000</v>
      </c>
      <c r="E296" s="1569">
        <v>0.05</v>
      </c>
      <c r="F296" s="1521">
        <f t="shared" si="19"/>
        <v>10000000</v>
      </c>
      <c r="G296" s="3443"/>
      <c r="H296" s="3443"/>
      <c r="I296" s="3453"/>
      <c r="J296" s="3443"/>
      <c r="K296" s="3443"/>
      <c r="L296" s="3526"/>
    </row>
    <row r="297" spans="1:12" ht="30" customHeight="1" x14ac:dyDescent="0.2">
      <c r="A297" s="3451"/>
      <c r="B297" s="3458"/>
      <c r="C297" s="1678" t="s">
        <v>265</v>
      </c>
      <c r="D297" s="1676">
        <v>220000000</v>
      </c>
      <c r="E297" s="1675">
        <v>0.05</v>
      </c>
      <c r="F297" s="1676">
        <f t="shared" si="19"/>
        <v>11000000</v>
      </c>
      <c r="G297" s="1677">
        <v>11000000</v>
      </c>
      <c r="H297" s="1677" t="s">
        <v>3696</v>
      </c>
      <c r="I297" s="24" t="s">
        <v>3102</v>
      </c>
      <c r="J297" s="1676">
        <f>G297</f>
        <v>11000000</v>
      </c>
      <c r="K297" s="1676">
        <f>F297-J297</f>
        <v>0</v>
      </c>
      <c r="L297" s="1679"/>
    </row>
    <row r="298" spans="1:12" ht="30" customHeight="1" x14ac:dyDescent="0.2">
      <c r="A298" s="1710">
        <v>191</v>
      </c>
      <c r="B298" s="1709" t="s">
        <v>53</v>
      </c>
      <c r="C298" s="1700" t="s">
        <v>265</v>
      </c>
      <c r="D298" s="1693">
        <v>700000000</v>
      </c>
      <c r="E298" s="1691">
        <v>7.6999999999999999E-2</v>
      </c>
      <c r="F298" s="1693">
        <v>54000000</v>
      </c>
      <c r="G298" s="1695">
        <v>54000000</v>
      </c>
      <c r="H298" s="1695" t="s">
        <v>3721</v>
      </c>
      <c r="I298" s="24" t="s">
        <v>696</v>
      </c>
      <c r="J298" s="1693">
        <f>G298</f>
        <v>54000000</v>
      </c>
      <c r="K298" s="1693">
        <f>F298-J298</f>
        <v>0</v>
      </c>
      <c r="L298" s="1559"/>
    </row>
    <row r="299" spans="1:12" ht="30" customHeight="1" x14ac:dyDescent="0.2">
      <c r="A299" s="3450">
        <v>192</v>
      </c>
      <c r="B299" s="3457" t="s">
        <v>54</v>
      </c>
      <c r="C299" s="3570" t="s">
        <v>1342</v>
      </c>
      <c r="D299" s="3442">
        <v>1400000000</v>
      </c>
      <c r="E299" s="3444">
        <v>7.0000000000000007E-2</v>
      </c>
      <c r="F299" s="3442">
        <f>D299*E299</f>
        <v>98000000.000000015</v>
      </c>
      <c r="G299" s="1669">
        <v>10000000</v>
      </c>
      <c r="H299" s="1669" t="s">
        <v>3349</v>
      </c>
      <c r="I299" s="1669" t="s">
        <v>888</v>
      </c>
      <c r="J299" s="3442">
        <f>G300+G299</f>
        <v>38000000</v>
      </c>
      <c r="K299" s="3442">
        <f>38000000-J299</f>
        <v>0</v>
      </c>
      <c r="L299" s="192" t="s">
        <v>3473</v>
      </c>
    </row>
    <row r="300" spans="1:12" ht="30" customHeight="1" x14ac:dyDescent="0.2">
      <c r="A300" s="3456"/>
      <c r="B300" s="3459"/>
      <c r="C300" s="3576"/>
      <c r="D300" s="3461"/>
      <c r="E300" s="3474"/>
      <c r="F300" s="3461"/>
      <c r="G300" s="1701">
        <v>28000000</v>
      </c>
      <c r="H300" s="1701" t="s">
        <v>3721</v>
      </c>
      <c r="I300" s="1701" t="s">
        <v>888</v>
      </c>
      <c r="J300" s="3443"/>
      <c r="K300" s="3443"/>
      <c r="L300" s="192" t="s">
        <v>2118</v>
      </c>
    </row>
    <row r="301" spans="1:12" ht="30" customHeight="1" x14ac:dyDescent="0.2">
      <c r="A301" s="3456"/>
      <c r="B301" s="3459"/>
      <c r="C301" s="3576"/>
      <c r="D301" s="3461"/>
      <c r="E301" s="3474"/>
      <c r="F301" s="3461"/>
      <c r="G301" s="247"/>
      <c r="H301" s="247"/>
      <c r="I301" s="247"/>
      <c r="J301" s="1521"/>
      <c r="K301" s="1521"/>
      <c r="L301" s="192" t="s">
        <v>2417</v>
      </c>
    </row>
    <row r="302" spans="1:12" ht="30" customHeight="1" x14ac:dyDescent="0.2">
      <c r="A302" s="3456"/>
      <c r="B302" s="3459"/>
      <c r="C302" s="3576"/>
      <c r="D302" s="3461"/>
      <c r="E302" s="3474"/>
      <c r="F302" s="3461"/>
      <c r="G302" s="247"/>
      <c r="H302" s="247"/>
      <c r="I302" s="247"/>
      <c r="J302" s="1521"/>
      <c r="K302" s="1521"/>
      <c r="L302" s="192" t="s">
        <v>3050</v>
      </c>
    </row>
    <row r="303" spans="1:12" ht="30" customHeight="1" x14ac:dyDescent="0.2">
      <c r="A303" s="3456"/>
      <c r="B303" s="3459"/>
      <c r="C303" s="3576"/>
      <c r="D303" s="3461"/>
      <c r="E303" s="3474"/>
      <c r="F303" s="3461"/>
      <c r="G303" s="1542"/>
      <c r="H303" s="1542"/>
      <c r="I303" s="1542"/>
      <c r="J303" s="1521"/>
      <c r="K303" s="1521"/>
      <c r="L303" s="192" t="s">
        <v>3049</v>
      </c>
    </row>
    <row r="304" spans="1:12" ht="30" customHeight="1" x14ac:dyDescent="0.2">
      <c r="A304" s="3451"/>
      <c r="B304" s="3458"/>
      <c r="C304" s="3571"/>
      <c r="D304" s="3443"/>
      <c r="E304" s="3445"/>
      <c r="F304" s="3443"/>
      <c r="G304" s="1542"/>
      <c r="H304" s="1542"/>
      <c r="I304" s="1542"/>
      <c r="J304" s="1521"/>
      <c r="K304" s="1521"/>
      <c r="L304" s="192" t="s">
        <v>3048</v>
      </c>
    </row>
    <row r="305" spans="1:16" ht="30" customHeight="1" x14ac:dyDescent="0.2">
      <c r="A305" s="1572">
        <v>193</v>
      </c>
      <c r="B305" s="1570" t="s">
        <v>55</v>
      </c>
      <c r="C305" s="1541" t="s">
        <v>1378</v>
      </c>
      <c r="D305" s="1521">
        <v>45000000</v>
      </c>
      <c r="E305" s="1569">
        <v>0.04</v>
      </c>
      <c r="F305" s="1521">
        <f t="shared" ref="F305:F391" si="28">D305*E305</f>
        <v>1800000</v>
      </c>
      <c r="G305" s="1521">
        <v>1800000</v>
      </c>
      <c r="H305" s="1521" t="s">
        <v>1232</v>
      </c>
      <c r="I305" s="1542" t="s">
        <v>1026</v>
      </c>
      <c r="J305" s="1521">
        <f t="shared" ref="J305:J321" si="29">G305</f>
        <v>1800000</v>
      </c>
      <c r="K305" s="1521">
        <f t="shared" ref="K305:K320" si="30">F305-J305</f>
        <v>0</v>
      </c>
      <c r="L305" s="1570"/>
    </row>
    <row r="306" spans="1:16" ht="30" customHeight="1" x14ac:dyDescent="0.2">
      <c r="A306" s="1514">
        <v>194</v>
      </c>
      <c r="B306" s="22" t="s">
        <v>56</v>
      </c>
      <c r="C306" s="421"/>
      <c r="D306" s="1534"/>
      <c r="E306" s="1078"/>
      <c r="F306" s="1534">
        <f t="shared" si="28"/>
        <v>0</v>
      </c>
      <c r="G306" s="1542">
        <v>6500000</v>
      </c>
      <c r="H306" s="1542" t="s">
        <v>1232</v>
      </c>
      <c r="I306" s="1566" t="s">
        <v>3319</v>
      </c>
      <c r="J306" s="1542">
        <f t="shared" si="29"/>
        <v>6500000</v>
      </c>
      <c r="K306" s="1534">
        <f t="shared" si="30"/>
        <v>-6500000</v>
      </c>
      <c r="L306" s="1537"/>
    </row>
    <row r="307" spans="1:16" ht="30" customHeight="1" x14ac:dyDescent="0.2">
      <c r="A307" s="1572">
        <v>195</v>
      </c>
      <c r="B307" s="1513" t="s">
        <v>57</v>
      </c>
      <c r="C307" s="1541" t="s">
        <v>1019</v>
      </c>
      <c r="D307" s="1521">
        <v>10000000</v>
      </c>
      <c r="E307" s="1518">
        <v>0.05</v>
      </c>
      <c r="F307" s="1521">
        <f t="shared" si="28"/>
        <v>500000</v>
      </c>
      <c r="G307" s="1521">
        <v>500000</v>
      </c>
      <c r="H307" s="1521" t="s">
        <v>4024</v>
      </c>
      <c r="I307" s="24" t="s">
        <v>1152</v>
      </c>
      <c r="J307" s="1521">
        <f t="shared" si="29"/>
        <v>500000</v>
      </c>
      <c r="K307" s="1521">
        <f t="shared" si="30"/>
        <v>0</v>
      </c>
      <c r="L307" s="1570"/>
    </row>
    <row r="308" spans="1:16" ht="30" customHeight="1" x14ac:dyDescent="0.2">
      <c r="A308" s="3450">
        <v>196</v>
      </c>
      <c r="B308" s="3457" t="s">
        <v>58</v>
      </c>
      <c r="C308" s="1541" t="s">
        <v>1138</v>
      </c>
      <c r="D308" s="1521">
        <v>20000000</v>
      </c>
      <c r="E308" s="1569">
        <v>0.04</v>
      </c>
      <c r="F308" s="1521">
        <f t="shared" si="28"/>
        <v>800000</v>
      </c>
      <c r="G308" s="1860">
        <v>800000</v>
      </c>
      <c r="H308" s="3442" t="s">
        <v>1232</v>
      </c>
      <c r="I308" s="3452" t="s">
        <v>3899</v>
      </c>
      <c r="J308" s="1521">
        <f t="shared" si="29"/>
        <v>800000</v>
      </c>
      <c r="K308" s="1521">
        <f t="shared" si="30"/>
        <v>0</v>
      </c>
      <c r="L308" s="3890" t="s">
        <v>3901</v>
      </c>
    </row>
    <row r="309" spans="1:16" ht="30" customHeight="1" x14ac:dyDescent="0.2">
      <c r="A309" s="3456"/>
      <c r="B309" s="3459"/>
      <c r="C309" s="1541" t="s">
        <v>2127</v>
      </c>
      <c r="D309" s="1853">
        <v>30000000</v>
      </c>
      <c r="E309" s="1862">
        <v>0.05</v>
      </c>
      <c r="F309" s="1853">
        <f t="shared" si="28"/>
        <v>1500000</v>
      </c>
      <c r="G309" s="1860">
        <v>1500000</v>
      </c>
      <c r="H309" s="3461"/>
      <c r="I309" s="3653"/>
      <c r="J309" s="1521">
        <f t="shared" si="29"/>
        <v>1500000</v>
      </c>
      <c r="K309" s="1521">
        <f t="shared" si="30"/>
        <v>0</v>
      </c>
      <c r="L309" s="3890"/>
    </row>
    <row r="310" spans="1:16" ht="30" customHeight="1" x14ac:dyDescent="0.2">
      <c r="A310" s="3451"/>
      <c r="B310" s="3458"/>
      <c r="C310" s="1855"/>
      <c r="D310" s="3325" t="s">
        <v>3900</v>
      </c>
      <c r="E310" s="3340"/>
      <c r="F310" s="3341"/>
      <c r="G310" s="1853">
        <v>500000</v>
      </c>
      <c r="H310" s="3443"/>
      <c r="I310" s="3453"/>
      <c r="J310" s="1853">
        <f t="shared" si="29"/>
        <v>500000</v>
      </c>
      <c r="K310" s="1853">
        <v>0</v>
      </c>
      <c r="L310" s="3890"/>
      <c r="M310" s="763"/>
      <c r="N310" s="763"/>
      <c r="O310" s="763"/>
      <c r="P310" s="763"/>
    </row>
    <row r="311" spans="1:16" ht="30" customHeight="1" x14ac:dyDescent="0.2">
      <c r="A311" s="1572">
        <v>197</v>
      </c>
      <c r="B311" s="1570" t="s">
        <v>59</v>
      </c>
      <c r="C311" s="1541"/>
      <c r="D311" s="1521">
        <v>150000000</v>
      </c>
      <c r="E311" s="1569">
        <v>0.04</v>
      </c>
      <c r="F311" s="1521">
        <f t="shared" si="28"/>
        <v>6000000</v>
      </c>
      <c r="G311" s="1521"/>
      <c r="H311" s="1521"/>
      <c r="I311" s="1542"/>
      <c r="J311" s="1521">
        <f t="shared" si="29"/>
        <v>0</v>
      </c>
      <c r="K311" s="1521">
        <f t="shared" si="30"/>
        <v>6000000</v>
      </c>
      <c r="L311" s="1570"/>
      <c r="M311" s="406"/>
      <c r="N311" s="406"/>
      <c r="O311" s="406"/>
      <c r="P311" s="406"/>
    </row>
    <row r="312" spans="1:16" ht="30" customHeight="1" x14ac:dyDescent="0.2">
      <c r="A312" s="1572">
        <v>198</v>
      </c>
      <c r="B312" s="1570" t="s">
        <v>60</v>
      </c>
      <c r="C312" s="1541" t="s">
        <v>1165</v>
      </c>
      <c r="D312" s="1521">
        <v>30000000</v>
      </c>
      <c r="E312" s="1569">
        <v>8.5000000000000006E-2</v>
      </c>
      <c r="F312" s="1521">
        <v>2500000</v>
      </c>
      <c r="G312" s="1521">
        <v>2500000</v>
      </c>
      <c r="H312" s="1521" t="s">
        <v>3869</v>
      </c>
      <c r="I312" s="1542" t="s">
        <v>1205</v>
      </c>
      <c r="J312" s="1521">
        <f t="shared" si="29"/>
        <v>2500000</v>
      </c>
      <c r="K312" s="1521">
        <f t="shared" si="30"/>
        <v>0</v>
      </c>
      <c r="L312" s="1570"/>
      <c r="M312" s="406"/>
      <c r="N312" s="406"/>
      <c r="O312" s="406"/>
      <c r="P312" s="406"/>
    </row>
    <row r="313" spans="1:16" ht="30" customHeight="1" x14ac:dyDescent="0.2">
      <c r="A313" s="1572">
        <v>199</v>
      </c>
      <c r="B313" s="1570" t="s">
        <v>61</v>
      </c>
      <c r="C313" s="1541" t="s">
        <v>1131</v>
      </c>
      <c r="D313" s="1521">
        <v>50000000</v>
      </c>
      <c r="E313" s="1569">
        <v>0.05</v>
      </c>
      <c r="F313" s="1521">
        <f t="shared" si="28"/>
        <v>2500000</v>
      </c>
      <c r="G313" s="1521">
        <v>2500000</v>
      </c>
      <c r="H313" s="1521" t="s">
        <v>3909</v>
      </c>
      <c r="I313" s="1542" t="s">
        <v>1173</v>
      </c>
      <c r="J313" s="1521">
        <f t="shared" si="29"/>
        <v>2500000</v>
      </c>
      <c r="K313" s="1521">
        <f t="shared" si="30"/>
        <v>0</v>
      </c>
      <c r="L313" s="1570"/>
      <c r="M313" s="406"/>
      <c r="N313" s="406"/>
      <c r="O313" s="406"/>
      <c r="P313" s="406"/>
    </row>
    <row r="314" spans="1:16" ht="30" customHeight="1" x14ac:dyDescent="0.2">
      <c r="A314" s="1572">
        <v>200</v>
      </c>
      <c r="B314" s="1570" t="s">
        <v>62</v>
      </c>
      <c r="C314" s="1541" t="s">
        <v>1112</v>
      </c>
      <c r="D314" s="1521">
        <v>350000000</v>
      </c>
      <c r="E314" s="1569">
        <v>7.0000000000000007E-2</v>
      </c>
      <c r="F314" s="1521">
        <f t="shared" si="28"/>
        <v>24500000.000000004</v>
      </c>
      <c r="G314" s="1521">
        <v>24500000</v>
      </c>
      <c r="H314" s="1521" t="s">
        <v>4031</v>
      </c>
      <c r="I314" s="24" t="s">
        <v>1667</v>
      </c>
      <c r="J314" s="1521">
        <f>G314</f>
        <v>24500000</v>
      </c>
      <c r="K314" s="1521">
        <f t="shared" si="30"/>
        <v>0</v>
      </c>
      <c r="L314" s="1570"/>
      <c r="M314" s="406"/>
      <c r="N314" s="406"/>
      <c r="O314" s="406"/>
      <c r="P314" s="406"/>
    </row>
    <row r="315" spans="1:16" ht="30" customHeight="1" x14ac:dyDescent="0.2">
      <c r="A315" s="1572">
        <v>201</v>
      </c>
      <c r="B315" s="1570" t="s">
        <v>63</v>
      </c>
      <c r="C315" s="1541"/>
      <c r="D315" s="1521">
        <v>60000000</v>
      </c>
      <c r="E315" s="1569">
        <v>6.5000000000000002E-2</v>
      </c>
      <c r="F315" s="1521">
        <v>4000000</v>
      </c>
      <c r="G315" s="1521">
        <v>4000000</v>
      </c>
      <c r="H315" s="1521" t="s">
        <v>4031</v>
      </c>
      <c r="I315" s="1582" t="s">
        <v>4039</v>
      </c>
      <c r="J315" s="1521">
        <f t="shared" si="29"/>
        <v>4000000</v>
      </c>
      <c r="K315" s="1521">
        <f t="shared" si="30"/>
        <v>0</v>
      </c>
      <c r="L315" s="1570"/>
      <c r="M315" s="406"/>
      <c r="N315" s="406"/>
      <c r="O315" s="406"/>
      <c r="P315" s="406"/>
    </row>
    <row r="316" spans="1:16" ht="30" customHeight="1" x14ac:dyDescent="0.2">
      <c r="A316" s="1575">
        <v>202</v>
      </c>
      <c r="B316" s="1570" t="s">
        <v>64</v>
      </c>
      <c r="C316" s="1571" t="s">
        <v>1112</v>
      </c>
      <c r="D316" s="1542">
        <v>100000000</v>
      </c>
      <c r="E316" s="1569">
        <v>4.4999999999999998E-2</v>
      </c>
      <c r="F316" s="1542">
        <f t="shared" si="28"/>
        <v>4500000</v>
      </c>
      <c r="G316" s="1542">
        <v>4500000</v>
      </c>
      <c r="H316" s="1521" t="s">
        <v>4024</v>
      </c>
      <c r="I316" s="24" t="s">
        <v>4027</v>
      </c>
      <c r="J316" s="1521">
        <f t="shared" si="29"/>
        <v>4500000</v>
      </c>
      <c r="K316" s="1521">
        <f t="shared" si="30"/>
        <v>0</v>
      </c>
      <c r="L316" s="103"/>
      <c r="M316" s="406"/>
      <c r="N316" s="406"/>
      <c r="O316" s="406"/>
      <c r="P316" s="406"/>
    </row>
    <row r="317" spans="1:16" ht="30" customHeight="1" x14ac:dyDescent="0.2">
      <c r="A317" s="1572">
        <v>203</v>
      </c>
      <c r="B317" s="1513" t="s">
        <v>1292</v>
      </c>
      <c r="C317" s="1541" t="s">
        <v>1112</v>
      </c>
      <c r="D317" s="1521">
        <v>60000000</v>
      </c>
      <c r="E317" s="1518">
        <v>0.05</v>
      </c>
      <c r="F317" s="1521">
        <f t="shared" si="28"/>
        <v>3000000</v>
      </c>
      <c r="G317" s="1521">
        <v>3000000</v>
      </c>
      <c r="H317" s="1521" t="s">
        <v>4031</v>
      </c>
      <c r="I317" s="24" t="s">
        <v>1792</v>
      </c>
      <c r="J317" s="1521">
        <f t="shared" si="29"/>
        <v>3000000</v>
      </c>
      <c r="K317" s="1521">
        <f t="shared" si="30"/>
        <v>0</v>
      </c>
      <c r="L317" s="1570"/>
    </row>
    <row r="318" spans="1:16" ht="30" customHeight="1" x14ac:dyDescent="0.2">
      <c r="A318" s="1572">
        <v>204</v>
      </c>
      <c r="B318" s="1570" t="s">
        <v>65</v>
      </c>
      <c r="C318" s="1541"/>
      <c r="D318" s="1521">
        <v>30000000</v>
      </c>
      <c r="E318" s="1569">
        <v>4.4999999999999998E-2</v>
      </c>
      <c r="F318" s="1521">
        <f t="shared" si="28"/>
        <v>1350000</v>
      </c>
      <c r="G318" s="1521"/>
      <c r="H318" s="1521"/>
      <c r="I318" s="24"/>
      <c r="J318" s="1521">
        <f t="shared" si="29"/>
        <v>0</v>
      </c>
      <c r="K318" s="1521">
        <f t="shared" si="30"/>
        <v>1350000</v>
      </c>
      <c r="L318" s="168" t="s">
        <v>1398</v>
      </c>
    </row>
    <row r="319" spans="1:16" ht="30" customHeight="1" x14ac:dyDescent="0.2">
      <c r="A319" s="1572">
        <v>205</v>
      </c>
      <c r="B319" s="1570" t="s">
        <v>66</v>
      </c>
      <c r="C319" s="1541" t="s">
        <v>3380</v>
      </c>
      <c r="D319" s="1521">
        <v>15000000</v>
      </c>
      <c r="E319" s="1569">
        <v>0.04</v>
      </c>
      <c r="F319" s="1521">
        <f t="shared" si="28"/>
        <v>600000</v>
      </c>
      <c r="G319" s="1521">
        <v>600000</v>
      </c>
      <c r="H319" s="1521" t="s">
        <v>3643</v>
      </c>
      <c r="I319" s="24" t="s">
        <v>1135</v>
      </c>
      <c r="J319" s="1521">
        <f t="shared" si="29"/>
        <v>600000</v>
      </c>
      <c r="K319" s="1521">
        <f t="shared" si="30"/>
        <v>0</v>
      </c>
      <c r="L319" s="1570"/>
    </row>
    <row r="320" spans="1:16" ht="30" customHeight="1" x14ac:dyDescent="0.2">
      <c r="A320" s="1572">
        <v>206</v>
      </c>
      <c r="B320" s="1570" t="s">
        <v>2531</v>
      </c>
      <c r="C320" s="1541" t="s">
        <v>1019</v>
      </c>
      <c r="D320" s="1521">
        <v>150000000</v>
      </c>
      <c r="E320" s="1569">
        <v>0.05</v>
      </c>
      <c r="F320" s="1521">
        <f t="shared" si="28"/>
        <v>7500000</v>
      </c>
      <c r="G320" s="1521">
        <v>7500000</v>
      </c>
      <c r="H320" s="1543" t="s">
        <v>3912</v>
      </c>
      <c r="I320" s="70" t="s">
        <v>3913</v>
      </c>
      <c r="J320" s="1521">
        <f t="shared" si="29"/>
        <v>7500000</v>
      </c>
      <c r="K320" s="1521">
        <f t="shared" si="30"/>
        <v>0</v>
      </c>
      <c r="L320" s="1570"/>
    </row>
    <row r="321" spans="1:12" ht="30" customHeight="1" x14ac:dyDescent="0.2">
      <c r="A321" s="3450">
        <v>207</v>
      </c>
      <c r="B321" s="3687" t="s">
        <v>2810</v>
      </c>
      <c r="C321" s="3686" t="s">
        <v>700</v>
      </c>
      <c r="D321" s="1521">
        <v>45000000</v>
      </c>
      <c r="E321" s="1569">
        <v>0.04</v>
      </c>
      <c r="F321" s="1521">
        <f t="shared" si="28"/>
        <v>1800000</v>
      </c>
      <c r="G321" s="3442">
        <v>3800000</v>
      </c>
      <c r="H321" s="3442" t="s">
        <v>3869</v>
      </c>
      <c r="I321" s="3452" t="s">
        <v>3877</v>
      </c>
      <c r="J321" s="3442">
        <f t="shared" si="29"/>
        <v>3800000</v>
      </c>
      <c r="K321" s="3442">
        <f>(F321+F322)-J321</f>
        <v>0</v>
      </c>
      <c r="L321" s="3468"/>
    </row>
    <row r="322" spans="1:12" ht="30" customHeight="1" x14ac:dyDescent="0.2">
      <c r="A322" s="3456"/>
      <c r="B322" s="3687"/>
      <c r="C322" s="3686"/>
      <c r="D322" s="1521">
        <v>50000000</v>
      </c>
      <c r="E322" s="1569">
        <v>0.04</v>
      </c>
      <c r="F322" s="1521">
        <f t="shared" si="28"/>
        <v>2000000</v>
      </c>
      <c r="G322" s="3443"/>
      <c r="H322" s="3443"/>
      <c r="I322" s="3453"/>
      <c r="J322" s="3443"/>
      <c r="K322" s="3443"/>
      <c r="L322" s="3469"/>
    </row>
    <row r="323" spans="1:12" ht="30" customHeight="1" x14ac:dyDescent="0.2">
      <c r="A323" s="3450">
        <v>208</v>
      </c>
      <c r="B323" s="3457" t="s">
        <v>70</v>
      </c>
      <c r="C323" s="3570" t="s">
        <v>1131</v>
      </c>
      <c r="D323" s="3442">
        <v>15000000</v>
      </c>
      <c r="E323" s="3444">
        <v>0.04</v>
      </c>
      <c r="F323" s="3442">
        <f t="shared" si="28"/>
        <v>600000</v>
      </c>
      <c r="G323" s="1521">
        <v>600000</v>
      </c>
      <c r="H323" s="1521" t="s">
        <v>3498</v>
      </c>
      <c r="I323" s="24" t="s">
        <v>1130</v>
      </c>
      <c r="J323" s="1521">
        <f t="shared" ref="J323:J337" si="31">G323</f>
        <v>600000</v>
      </c>
      <c r="K323" s="1521">
        <f t="shared" ref="K323:K340" si="32">F323-J323</f>
        <v>0</v>
      </c>
      <c r="L323" s="168" t="s">
        <v>3126</v>
      </c>
    </row>
    <row r="324" spans="1:12" ht="30" customHeight="1" x14ac:dyDescent="0.2">
      <c r="A324" s="3451"/>
      <c r="B324" s="3458"/>
      <c r="C324" s="3571"/>
      <c r="D324" s="3443"/>
      <c r="E324" s="3445"/>
      <c r="F324" s="3443"/>
      <c r="G324" s="1958">
        <v>600000</v>
      </c>
      <c r="H324" s="1958" t="s">
        <v>3643</v>
      </c>
      <c r="I324" s="24" t="s">
        <v>1130</v>
      </c>
      <c r="J324" s="1958">
        <f t="shared" si="31"/>
        <v>600000</v>
      </c>
      <c r="K324" s="1958">
        <f>G324-J324</f>
        <v>0</v>
      </c>
      <c r="L324" s="168" t="s">
        <v>3473</v>
      </c>
    </row>
    <row r="325" spans="1:12" ht="30" customHeight="1" x14ac:dyDescent="0.2">
      <c r="A325" s="1572">
        <v>209</v>
      </c>
      <c r="B325" s="1570" t="s">
        <v>71</v>
      </c>
      <c r="C325" s="1541" t="s">
        <v>3458</v>
      </c>
      <c r="D325" s="1521">
        <v>10000000</v>
      </c>
      <c r="E325" s="1569">
        <v>0.05</v>
      </c>
      <c r="F325" s="1521">
        <f t="shared" si="28"/>
        <v>500000</v>
      </c>
      <c r="G325" s="1521">
        <v>500000</v>
      </c>
      <c r="H325" s="1521" t="s">
        <v>4031</v>
      </c>
      <c r="I325" s="1582" t="s">
        <v>4044</v>
      </c>
      <c r="J325" s="1521">
        <f t="shared" si="31"/>
        <v>500000</v>
      </c>
      <c r="K325" s="1521">
        <f t="shared" si="32"/>
        <v>0</v>
      </c>
      <c r="L325" s="1570"/>
    </row>
    <row r="326" spans="1:12" ht="30" customHeight="1" x14ac:dyDescent="0.2">
      <c r="A326" s="1572">
        <v>210</v>
      </c>
      <c r="B326" s="1570" t="s">
        <v>73</v>
      </c>
      <c r="C326" s="1541" t="s">
        <v>401</v>
      </c>
      <c r="D326" s="1521">
        <v>50000000</v>
      </c>
      <c r="E326" s="1569">
        <v>7.0000000000000007E-2</v>
      </c>
      <c r="F326" s="1521">
        <f t="shared" si="28"/>
        <v>3500000.0000000005</v>
      </c>
      <c r="G326" s="1521">
        <v>3500000</v>
      </c>
      <c r="H326" s="1521" t="s">
        <v>3621</v>
      </c>
      <c r="I326" s="24" t="s">
        <v>3630</v>
      </c>
      <c r="J326" s="1521">
        <f t="shared" si="31"/>
        <v>3500000</v>
      </c>
      <c r="K326" s="1521">
        <f t="shared" si="32"/>
        <v>0</v>
      </c>
      <c r="L326" s="1570"/>
    </row>
    <row r="327" spans="1:12" ht="30" customHeight="1" x14ac:dyDescent="0.2">
      <c r="A327" s="1572">
        <v>211</v>
      </c>
      <c r="B327" s="1570" t="s">
        <v>74</v>
      </c>
      <c r="C327" s="1541" t="s">
        <v>1350</v>
      </c>
      <c r="D327" s="1521">
        <v>100000000</v>
      </c>
      <c r="E327" s="1569">
        <v>0.05</v>
      </c>
      <c r="F327" s="1521">
        <f t="shared" si="28"/>
        <v>5000000</v>
      </c>
      <c r="G327" s="1521">
        <v>5000000</v>
      </c>
      <c r="H327" s="1521" t="s">
        <v>3563</v>
      </c>
      <c r="I327" s="24" t="s">
        <v>1483</v>
      </c>
      <c r="J327" s="1521">
        <f t="shared" si="31"/>
        <v>5000000</v>
      </c>
      <c r="K327" s="1521">
        <f t="shared" si="32"/>
        <v>0</v>
      </c>
      <c r="L327" s="1570"/>
    </row>
    <row r="328" spans="1:12" ht="30" customHeight="1" x14ac:dyDescent="0.2">
      <c r="A328" s="1572">
        <v>212</v>
      </c>
      <c r="B328" s="1570" t="s">
        <v>75</v>
      </c>
      <c r="C328" s="1541"/>
      <c r="D328" s="1521">
        <v>30000000</v>
      </c>
      <c r="E328" s="1569">
        <v>0.05</v>
      </c>
      <c r="F328" s="1521">
        <f t="shared" si="28"/>
        <v>1500000</v>
      </c>
      <c r="G328" s="1521">
        <v>1500000</v>
      </c>
      <c r="H328" s="1521" t="s">
        <v>3563</v>
      </c>
      <c r="I328" s="24" t="s">
        <v>1327</v>
      </c>
      <c r="J328" s="1521">
        <f t="shared" si="31"/>
        <v>1500000</v>
      </c>
      <c r="K328" s="1521">
        <f t="shared" si="32"/>
        <v>0</v>
      </c>
      <c r="L328" s="1570"/>
    </row>
    <row r="329" spans="1:12" ht="30" customHeight="1" x14ac:dyDescent="0.2">
      <c r="A329" s="1572">
        <v>213</v>
      </c>
      <c r="B329" s="1570" t="s">
        <v>76</v>
      </c>
      <c r="C329" s="1541"/>
      <c r="D329" s="1521">
        <v>15000000</v>
      </c>
      <c r="E329" s="1569">
        <v>4.7E-2</v>
      </c>
      <c r="F329" s="1521">
        <v>700000</v>
      </c>
      <c r="G329" s="1521">
        <v>700000</v>
      </c>
      <c r="H329" s="1521" t="s">
        <v>3498</v>
      </c>
      <c r="I329" s="24" t="s">
        <v>3542</v>
      </c>
      <c r="J329" s="1521">
        <f t="shared" si="31"/>
        <v>700000</v>
      </c>
      <c r="K329" s="1521">
        <f t="shared" si="32"/>
        <v>0</v>
      </c>
      <c r="L329" s="1570"/>
    </row>
    <row r="330" spans="1:12" ht="30" customHeight="1" x14ac:dyDescent="0.2">
      <c r="A330" s="1572">
        <v>214</v>
      </c>
      <c r="B330" s="1570" t="s">
        <v>966</v>
      </c>
      <c r="C330" s="1541"/>
      <c r="D330" s="1521">
        <v>200000000</v>
      </c>
      <c r="E330" s="1569">
        <v>5.5E-2</v>
      </c>
      <c r="F330" s="1521">
        <f t="shared" si="28"/>
        <v>11000000</v>
      </c>
      <c r="G330" s="1521"/>
      <c r="H330" s="1521"/>
      <c r="I330" s="24"/>
      <c r="J330" s="1521">
        <f t="shared" si="31"/>
        <v>0</v>
      </c>
      <c r="K330" s="1521">
        <f t="shared" si="32"/>
        <v>11000000</v>
      </c>
      <c r="L330" s="1570"/>
    </row>
    <row r="331" spans="1:12" ht="30" customHeight="1" x14ac:dyDescent="0.2">
      <c r="A331" s="1572">
        <v>215</v>
      </c>
      <c r="B331" s="3457" t="s">
        <v>77</v>
      </c>
      <c r="C331" s="3570"/>
      <c r="D331" s="1521">
        <v>70000000</v>
      </c>
      <c r="E331" s="1569">
        <v>0.05</v>
      </c>
      <c r="F331" s="1521">
        <f t="shared" si="28"/>
        <v>3500000</v>
      </c>
      <c r="G331" s="1521">
        <v>3500000</v>
      </c>
      <c r="H331" s="1521" t="s">
        <v>3621</v>
      </c>
      <c r="I331" s="24" t="s">
        <v>3649</v>
      </c>
      <c r="J331" s="1521">
        <f t="shared" si="31"/>
        <v>3500000</v>
      </c>
      <c r="K331" s="1521">
        <f t="shared" si="32"/>
        <v>0</v>
      </c>
      <c r="L331" s="1570"/>
    </row>
    <row r="332" spans="1:12" ht="30" customHeight="1" x14ac:dyDescent="0.2">
      <c r="A332" s="1831"/>
      <c r="B332" s="3459"/>
      <c r="C332" s="3576"/>
      <c r="D332" s="3521" t="s">
        <v>2171</v>
      </c>
      <c r="E332" s="3613"/>
      <c r="F332" s="3522"/>
      <c r="G332" s="1827">
        <v>25000000</v>
      </c>
      <c r="H332" s="1827" t="s">
        <v>3850</v>
      </c>
      <c r="I332" s="24" t="s">
        <v>3867</v>
      </c>
      <c r="J332" s="3442">
        <f>G332+G333</f>
        <v>70000000</v>
      </c>
      <c r="K332" s="3442">
        <f>70000000-J332</f>
        <v>0</v>
      </c>
      <c r="L332" s="3525"/>
    </row>
    <row r="333" spans="1:12" ht="30" customHeight="1" x14ac:dyDescent="0.2">
      <c r="A333" s="1831"/>
      <c r="B333" s="3458"/>
      <c r="C333" s="3571"/>
      <c r="D333" s="3523"/>
      <c r="E333" s="3614"/>
      <c r="F333" s="3524"/>
      <c r="G333" s="1827">
        <v>45000000</v>
      </c>
      <c r="H333" s="1827" t="s">
        <v>2733</v>
      </c>
      <c r="I333" s="24" t="s">
        <v>3867</v>
      </c>
      <c r="J333" s="3443"/>
      <c r="K333" s="3443"/>
      <c r="L333" s="3526"/>
    </row>
    <row r="334" spans="1:12" ht="30" customHeight="1" x14ac:dyDescent="0.2">
      <c r="A334" s="1572">
        <v>216</v>
      </c>
      <c r="B334" s="1570" t="s">
        <v>78</v>
      </c>
      <c r="C334" s="1541" t="s">
        <v>916</v>
      </c>
      <c r="D334" s="1521">
        <v>250000000</v>
      </c>
      <c r="E334" s="1569">
        <v>4.4999999999999998E-2</v>
      </c>
      <c r="F334" s="1521">
        <f t="shared" si="28"/>
        <v>11250000</v>
      </c>
      <c r="G334" s="1521">
        <v>11250000</v>
      </c>
      <c r="H334" s="1521" t="s">
        <v>3498</v>
      </c>
      <c r="I334" s="21" t="s">
        <v>3537</v>
      </c>
      <c r="J334" s="1521">
        <f t="shared" si="31"/>
        <v>11250000</v>
      </c>
      <c r="K334" s="1521">
        <f t="shared" si="32"/>
        <v>0</v>
      </c>
      <c r="L334" s="1570"/>
    </row>
    <row r="335" spans="1:12" ht="30" customHeight="1" x14ac:dyDescent="0.2">
      <c r="A335" s="1514">
        <v>217</v>
      </c>
      <c r="B335" s="1570" t="s">
        <v>80</v>
      </c>
      <c r="C335" s="1571"/>
      <c r="D335" s="1542">
        <v>160000000</v>
      </c>
      <c r="E335" s="1569">
        <v>0.05</v>
      </c>
      <c r="F335" s="1542">
        <f t="shared" si="28"/>
        <v>8000000</v>
      </c>
      <c r="G335" s="1542"/>
      <c r="H335" s="1542"/>
      <c r="I335" s="1582"/>
      <c r="J335" s="1542">
        <f t="shared" si="31"/>
        <v>0</v>
      </c>
      <c r="K335" s="1542">
        <f t="shared" si="32"/>
        <v>8000000</v>
      </c>
      <c r="L335" s="1526"/>
    </row>
    <row r="336" spans="1:12" ht="30" customHeight="1" x14ac:dyDescent="0.2">
      <c r="A336" s="3450">
        <v>218</v>
      </c>
      <c r="B336" s="3457" t="s">
        <v>81</v>
      </c>
      <c r="C336" s="3570"/>
      <c r="D336" s="3442">
        <v>45000000</v>
      </c>
      <c r="E336" s="3444">
        <v>0.04</v>
      </c>
      <c r="F336" s="3442">
        <f t="shared" si="28"/>
        <v>1800000</v>
      </c>
      <c r="G336" s="1521">
        <v>1800000</v>
      </c>
      <c r="H336" s="1521" t="s">
        <v>3563</v>
      </c>
      <c r="I336" s="70" t="s">
        <v>1794</v>
      </c>
      <c r="J336" s="1521">
        <f t="shared" si="31"/>
        <v>1800000</v>
      </c>
      <c r="K336" s="1521">
        <f t="shared" si="32"/>
        <v>0</v>
      </c>
      <c r="L336" s="1570"/>
    </row>
    <row r="337" spans="1:12" ht="30" customHeight="1" x14ac:dyDescent="0.2">
      <c r="A337" s="3451"/>
      <c r="B337" s="3458"/>
      <c r="C337" s="3571"/>
      <c r="D337" s="3443"/>
      <c r="E337" s="3445"/>
      <c r="F337" s="3443"/>
      <c r="G337" s="1695">
        <v>3600000</v>
      </c>
      <c r="H337" s="1695" t="s">
        <v>3696</v>
      </c>
      <c r="I337" s="70" t="s">
        <v>3699</v>
      </c>
      <c r="J337" s="1695">
        <f t="shared" si="31"/>
        <v>3600000</v>
      </c>
      <c r="K337" s="1695"/>
      <c r="L337" s="168" t="s">
        <v>3700</v>
      </c>
    </row>
    <row r="338" spans="1:12" ht="30" customHeight="1" x14ac:dyDescent="0.2">
      <c r="A338" s="1572">
        <v>219</v>
      </c>
      <c r="B338" s="1570" t="s">
        <v>1903</v>
      </c>
      <c r="C338" s="1541"/>
      <c r="D338" s="1531"/>
      <c r="E338" s="44"/>
      <c r="F338" s="1531">
        <f t="shared" si="28"/>
        <v>0</v>
      </c>
      <c r="G338" s="1521"/>
      <c r="H338" s="1521"/>
      <c r="I338" s="24"/>
      <c r="J338" s="1521"/>
      <c r="K338" s="1531">
        <f t="shared" si="32"/>
        <v>0</v>
      </c>
      <c r="L338" s="1570"/>
    </row>
    <row r="339" spans="1:12" ht="30" customHeight="1" x14ac:dyDescent="0.2">
      <c r="A339" s="1572">
        <v>220</v>
      </c>
      <c r="B339" s="1567" t="s">
        <v>83</v>
      </c>
      <c r="C339" s="385"/>
      <c r="D339" s="1519">
        <v>203000000</v>
      </c>
      <c r="E339" s="1517">
        <v>0.05</v>
      </c>
      <c r="F339" s="1519">
        <f t="shared" si="28"/>
        <v>10150000</v>
      </c>
      <c r="G339" s="1521">
        <v>10150000</v>
      </c>
      <c r="H339" s="1521" t="s">
        <v>3498</v>
      </c>
      <c r="I339" s="24" t="s">
        <v>3545</v>
      </c>
      <c r="J339" s="1519">
        <f>G339</f>
        <v>10150000</v>
      </c>
      <c r="K339" s="1519">
        <f t="shared" si="32"/>
        <v>0</v>
      </c>
      <c r="L339" s="1570"/>
    </row>
    <row r="340" spans="1:12" ht="30" customHeight="1" x14ac:dyDescent="0.2">
      <c r="A340" s="1572">
        <v>221</v>
      </c>
      <c r="B340" s="1567" t="s">
        <v>332</v>
      </c>
      <c r="C340" s="385"/>
      <c r="D340" s="1519">
        <v>275000000</v>
      </c>
      <c r="E340" s="1517">
        <v>4.2000000000000003E-2</v>
      </c>
      <c r="F340" s="1519">
        <f>D340*E340</f>
        <v>11550000</v>
      </c>
      <c r="G340" s="1520">
        <v>11550000</v>
      </c>
      <c r="H340" s="1520" t="s">
        <v>3599</v>
      </c>
      <c r="I340" s="427" t="s">
        <v>1748</v>
      </c>
      <c r="J340" s="1519">
        <f>G340</f>
        <v>11550000</v>
      </c>
      <c r="K340" s="1519">
        <f t="shared" si="32"/>
        <v>0</v>
      </c>
      <c r="L340" s="1537"/>
    </row>
    <row r="341" spans="1:12" ht="30" customHeight="1" x14ac:dyDescent="0.2">
      <c r="A341" s="426">
        <v>222</v>
      </c>
      <c r="B341" s="3457" t="s">
        <v>1931</v>
      </c>
      <c r="C341" s="3570" t="s">
        <v>1342</v>
      </c>
      <c r="D341" s="3442">
        <v>700000000</v>
      </c>
      <c r="E341" s="3444">
        <v>0.06</v>
      </c>
      <c r="F341" s="3442">
        <f>D341*E341</f>
        <v>42000000</v>
      </c>
      <c r="G341" s="1542">
        <v>5000000</v>
      </c>
      <c r="H341" s="1542" t="s">
        <v>3498</v>
      </c>
      <c r="I341" s="1566" t="s">
        <v>3540</v>
      </c>
      <c r="J341" s="3442">
        <f>5000000+G341+G342+G343</f>
        <v>42000000</v>
      </c>
      <c r="K341" s="3442">
        <f>F341-J341</f>
        <v>0</v>
      </c>
      <c r="L341" s="1785" t="s">
        <v>3832</v>
      </c>
    </row>
    <row r="342" spans="1:12" ht="30" customHeight="1" x14ac:dyDescent="0.2">
      <c r="A342" s="1589"/>
      <c r="B342" s="3459"/>
      <c r="C342" s="3576"/>
      <c r="D342" s="3461"/>
      <c r="E342" s="3474"/>
      <c r="F342" s="3461"/>
      <c r="G342" s="1772">
        <v>5000000</v>
      </c>
      <c r="H342" s="1772" t="s">
        <v>3829</v>
      </c>
      <c r="I342" s="24" t="s">
        <v>3493</v>
      </c>
      <c r="J342" s="3461"/>
      <c r="K342" s="3461"/>
      <c r="L342" s="1785" t="s">
        <v>3831</v>
      </c>
    </row>
    <row r="343" spans="1:12" ht="30" customHeight="1" x14ac:dyDescent="0.2">
      <c r="A343" s="1589"/>
      <c r="B343" s="3458"/>
      <c r="C343" s="3571"/>
      <c r="D343" s="3443"/>
      <c r="E343" s="3445"/>
      <c r="F343" s="3443"/>
      <c r="G343" s="1521">
        <v>27000000</v>
      </c>
      <c r="H343" s="1521" t="s">
        <v>3830</v>
      </c>
      <c r="I343" s="24" t="s">
        <v>3862</v>
      </c>
      <c r="J343" s="3443"/>
      <c r="K343" s="3443"/>
      <c r="L343" s="1786"/>
    </row>
    <row r="344" spans="1:12" ht="30" customHeight="1" x14ac:dyDescent="0.2">
      <c r="A344" s="1516">
        <v>223</v>
      </c>
      <c r="B344" s="1513" t="s">
        <v>85</v>
      </c>
      <c r="C344" s="1541" t="s">
        <v>1746</v>
      </c>
      <c r="D344" s="1521">
        <v>100000000</v>
      </c>
      <c r="E344" s="1518">
        <v>0.05</v>
      </c>
      <c r="F344" s="1521">
        <f t="shared" si="28"/>
        <v>5000000</v>
      </c>
      <c r="G344" s="1521">
        <v>5000000</v>
      </c>
      <c r="H344" s="1521" t="s">
        <v>3621</v>
      </c>
      <c r="I344" s="24" t="s">
        <v>3627</v>
      </c>
      <c r="J344" s="1521">
        <f t="shared" ref="J344:J349" si="33">G344</f>
        <v>5000000</v>
      </c>
      <c r="K344" s="1521">
        <f t="shared" ref="K344:K349" si="34">F344-J344</f>
        <v>0</v>
      </c>
      <c r="L344" s="1570"/>
    </row>
    <row r="345" spans="1:12" ht="30" customHeight="1" x14ac:dyDescent="0.2">
      <c r="A345" s="1572">
        <v>224</v>
      </c>
      <c r="B345" s="1570" t="s">
        <v>2757</v>
      </c>
      <c r="C345" s="1541"/>
      <c r="D345" s="1521">
        <v>10000000</v>
      </c>
      <c r="E345" s="1569">
        <v>0.05</v>
      </c>
      <c r="F345" s="1521">
        <f t="shared" si="28"/>
        <v>500000</v>
      </c>
      <c r="G345" s="1521">
        <v>500000</v>
      </c>
      <c r="H345" s="1521" t="s">
        <v>3563</v>
      </c>
      <c r="I345" s="24" t="s">
        <v>362</v>
      </c>
      <c r="J345" s="1521">
        <f t="shared" si="33"/>
        <v>500000</v>
      </c>
      <c r="K345" s="1521">
        <f t="shared" si="34"/>
        <v>0</v>
      </c>
      <c r="L345" s="1570"/>
    </row>
    <row r="346" spans="1:12" ht="30" customHeight="1" x14ac:dyDescent="0.2">
      <c r="A346" s="1516">
        <v>226</v>
      </c>
      <c r="B346" s="1568" t="s">
        <v>88</v>
      </c>
      <c r="C346" s="1541"/>
      <c r="D346" s="1542">
        <v>410000000</v>
      </c>
      <c r="E346" s="1569">
        <v>0.06</v>
      </c>
      <c r="F346" s="1542">
        <f>D346*E346</f>
        <v>24600000</v>
      </c>
      <c r="G346" s="1542">
        <v>24600000</v>
      </c>
      <c r="H346" s="1542" t="s">
        <v>3563</v>
      </c>
      <c r="I346" s="1542" t="s">
        <v>2521</v>
      </c>
      <c r="J346" s="1542">
        <f t="shared" si="33"/>
        <v>24600000</v>
      </c>
      <c r="K346" s="1521">
        <f t="shared" si="34"/>
        <v>0</v>
      </c>
      <c r="L346" s="1527"/>
    </row>
    <row r="347" spans="1:12" ht="30" customHeight="1" x14ac:dyDescent="0.2">
      <c r="A347" s="1572">
        <v>227</v>
      </c>
      <c r="B347" s="1570" t="s">
        <v>89</v>
      </c>
      <c r="C347" s="1541" t="s">
        <v>916</v>
      </c>
      <c r="D347" s="1521">
        <v>20000000</v>
      </c>
      <c r="E347" s="1569">
        <v>0.05</v>
      </c>
      <c r="F347" s="1521">
        <f>D347*E347</f>
        <v>1000000</v>
      </c>
      <c r="G347" s="1521">
        <v>1000000</v>
      </c>
      <c r="H347" s="1521" t="s">
        <v>3563</v>
      </c>
      <c r="I347" s="21" t="s">
        <v>369</v>
      </c>
      <c r="J347" s="1521">
        <f t="shared" si="33"/>
        <v>1000000</v>
      </c>
      <c r="K347" s="1521">
        <f t="shared" si="34"/>
        <v>0</v>
      </c>
      <c r="L347" s="1570"/>
    </row>
    <row r="348" spans="1:12" ht="30" customHeight="1" x14ac:dyDescent="0.2">
      <c r="A348" s="1572">
        <v>228</v>
      </c>
      <c r="B348" s="1570" t="s">
        <v>90</v>
      </c>
      <c r="C348" s="1541" t="s">
        <v>1219</v>
      </c>
      <c r="D348" s="1521">
        <v>10000000</v>
      </c>
      <c r="E348" s="1569">
        <v>0.04</v>
      </c>
      <c r="F348" s="1521">
        <f t="shared" si="28"/>
        <v>400000</v>
      </c>
      <c r="G348" s="1521">
        <v>400000</v>
      </c>
      <c r="H348" s="1521" t="s">
        <v>3684</v>
      </c>
      <c r="I348" s="30" t="s">
        <v>426</v>
      </c>
      <c r="J348" s="1521">
        <f t="shared" si="33"/>
        <v>400000</v>
      </c>
      <c r="K348" s="1521">
        <f t="shared" si="34"/>
        <v>0</v>
      </c>
      <c r="L348" s="1570"/>
    </row>
    <row r="349" spans="1:12" ht="30" customHeight="1" x14ac:dyDescent="0.2">
      <c r="A349" s="1572">
        <v>229</v>
      </c>
      <c r="B349" s="1570" t="s">
        <v>91</v>
      </c>
      <c r="C349" s="1541" t="s">
        <v>916</v>
      </c>
      <c r="D349" s="1521">
        <v>52000000</v>
      </c>
      <c r="E349" s="1569">
        <v>0.05</v>
      </c>
      <c r="F349" s="1521">
        <f t="shared" si="28"/>
        <v>2600000</v>
      </c>
      <c r="G349" s="1521"/>
      <c r="H349" s="1521"/>
      <c r="I349" s="24"/>
      <c r="J349" s="1521">
        <f t="shared" si="33"/>
        <v>0</v>
      </c>
      <c r="K349" s="1521">
        <f t="shared" si="34"/>
        <v>2600000</v>
      </c>
      <c r="L349" s="1570"/>
    </row>
    <row r="350" spans="1:12" ht="30" customHeight="1" x14ac:dyDescent="0.2">
      <c r="A350" s="1841"/>
      <c r="B350" s="1840"/>
      <c r="C350" s="1844"/>
      <c r="D350" s="1842">
        <v>20000000</v>
      </c>
      <c r="E350" s="1845">
        <v>0.05</v>
      </c>
      <c r="F350" s="1842">
        <f t="shared" si="28"/>
        <v>1000000</v>
      </c>
      <c r="G350" s="1843">
        <v>1000000</v>
      </c>
      <c r="H350" s="1843" t="s">
        <v>3621</v>
      </c>
      <c r="I350" s="1843" t="s">
        <v>459</v>
      </c>
      <c r="J350" s="1843">
        <f t="shared" ref="J350:J351" si="35">G350</f>
        <v>1000000</v>
      </c>
      <c r="K350" s="1842">
        <f t="shared" ref="K350:K351" si="36">F350-J350</f>
        <v>0</v>
      </c>
      <c r="L350" s="1715" t="s">
        <v>3624</v>
      </c>
    </row>
    <row r="351" spans="1:12" ht="30" customHeight="1" x14ac:dyDescent="0.2">
      <c r="A351" s="3450"/>
      <c r="B351" s="3457" t="s">
        <v>92</v>
      </c>
      <c r="C351" s="3570" t="s">
        <v>1817</v>
      </c>
      <c r="D351" s="1843">
        <v>20000000</v>
      </c>
      <c r="E351" s="1845">
        <v>0.05</v>
      </c>
      <c r="F351" s="1843">
        <f t="shared" si="28"/>
        <v>1000000</v>
      </c>
      <c r="G351" s="1643">
        <v>1000000</v>
      </c>
      <c r="H351" s="1643" t="s">
        <v>3621</v>
      </c>
      <c r="I351" s="1643"/>
      <c r="J351" s="1643">
        <f t="shared" si="35"/>
        <v>1000000</v>
      </c>
      <c r="K351" s="1521">
        <f t="shared" si="36"/>
        <v>0</v>
      </c>
      <c r="L351" s="1715"/>
    </row>
    <row r="352" spans="1:12" ht="30" customHeight="1" x14ac:dyDescent="0.2">
      <c r="A352" s="3451"/>
      <c r="B352" s="3458"/>
      <c r="C352" s="3571"/>
      <c r="D352" s="1843">
        <v>15000000</v>
      </c>
      <c r="E352" s="1845">
        <v>0.05</v>
      </c>
      <c r="F352" s="1843">
        <f t="shared" si="28"/>
        <v>750000</v>
      </c>
      <c r="G352" s="1633"/>
      <c r="H352" s="1633"/>
      <c r="I352" s="1633"/>
      <c r="J352" s="1633"/>
      <c r="K352" s="1633"/>
      <c r="L352" s="1653"/>
    </row>
    <row r="353" spans="1:14" ht="30" customHeight="1" x14ac:dyDescent="0.2">
      <c r="A353" s="1516">
        <v>231</v>
      </c>
      <c r="B353" s="1513" t="s">
        <v>93</v>
      </c>
      <c r="C353" s="1541" t="s">
        <v>1110</v>
      </c>
      <c r="D353" s="1521">
        <v>30000000</v>
      </c>
      <c r="E353" s="1518">
        <v>4.4999999999999998E-2</v>
      </c>
      <c r="F353" s="1521">
        <f t="shared" si="28"/>
        <v>1350000</v>
      </c>
      <c r="G353" s="1521">
        <v>1350000</v>
      </c>
      <c r="H353" s="1521" t="s">
        <v>3599</v>
      </c>
      <c r="I353" s="425" t="s">
        <v>303</v>
      </c>
      <c r="J353" s="1521">
        <f t="shared" ref="J353:J365" si="37">G353</f>
        <v>1350000</v>
      </c>
      <c r="K353" s="1521">
        <f t="shared" ref="K353:K364" si="38">F353-J353</f>
        <v>0</v>
      </c>
      <c r="L353" s="1570"/>
    </row>
    <row r="354" spans="1:14" ht="30" customHeight="1" x14ac:dyDescent="0.2">
      <c r="A354" s="1572">
        <v>232</v>
      </c>
      <c r="B354" s="1570" t="s">
        <v>1695</v>
      </c>
      <c r="C354" s="1541" t="s">
        <v>1215</v>
      </c>
      <c r="D354" s="1521">
        <v>55000000</v>
      </c>
      <c r="E354" s="1569">
        <v>0.04</v>
      </c>
      <c r="F354" s="1521">
        <f t="shared" si="28"/>
        <v>2200000</v>
      </c>
      <c r="G354" s="1521">
        <v>2200000</v>
      </c>
      <c r="H354" s="1521" t="s">
        <v>3570</v>
      </c>
      <c r="I354" s="24" t="s">
        <v>1697</v>
      </c>
      <c r="J354" s="1521">
        <f t="shared" si="37"/>
        <v>2200000</v>
      </c>
      <c r="K354" s="1521">
        <f t="shared" si="38"/>
        <v>0</v>
      </c>
      <c r="L354" s="1570"/>
    </row>
    <row r="355" spans="1:14" ht="30" customHeight="1" x14ac:dyDescent="0.2">
      <c r="A355" s="1572">
        <v>233</v>
      </c>
      <c r="B355" s="1570" t="s">
        <v>280</v>
      </c>
      <c r="C355" s="1541" t="s">
        <v>380</v>
      </c>
      <c r="D355" s="1521">
        <v>50000000</v>
      </c>
      <c r="E355" s="1569">
        <v>0.05</v>
      </c>
      <c r="F355" s="1521">
        <f t="shared" si="28"/>
        <v>2500000</v>
      </c>
      <c r="G355" s="1521">
        <v>2500000</v>
      </c>
      <c r="H355" s="1521" t="s">
        <v>3869</v>
      </c>
      <c r="I355" s="24" t="s">
        <v>278</v>
      </c>
      <c r="J355" s="1521">
        <f t="shared" si="37"/>
        <v>2500000</v>
      </c>
      <c r="K355" s="1521">
        <f t="shared" si="38"/>
        <v>0</v>
      </c>
      <c r="L355" s="168" t="s">
        <v>279</v>
      </c>
    </row>
    <row r="356" spans="1:14" ht="30" customHeight="1" x14ac:dyDescent="0.2">
      <c r="A356" s="1572">
        <v>234</v>
      </c>
      <c r="B356" s="1567" t="s">
        <v>95</v>
      </c>
      <c r="C356" s="421"/>
      <c r="D356" s="1534"/>
      <c r="E356" s="44"/>
      <c r="F356" s="1542">
        <v>21000000</v>
      </c>
      <c r="G356" s="1542">
        <v>21000000</v>
      </c>
      <c r="H356" s="1542" t="s">
        <v>3563</v>
      </c>
      <c r="I356" s="1566" t="s">
        <v>518</v>
      </c>
      <c r="J356" s="1542">
        <f t="shared" si="37"/>
        <v>21000000</v>
      </c>
      <c r="K356" s="1521">
        <f t="shared" si="38"/>
        <v>0</v>
      </c>
      <c r="L356" s="1559"/>
    </row>
    <row r="357" spans="1:14" ht="30" customHeight="1" x14ac:dyDescent="0.2">
      <c r="A357" s="3450">
        <v>235</v>
      </c>
      <c r="B357" s="3457" t="s">
        <v>96</v>
      </c>
      <c r="C357" s="3570" t="s">
        <v>1215</v>
      </c>
      <c r="D357" s="3442">
        <v>50000000</v>
      </c>
      <c r="E357" s="3444">
        <v>0.04</v>
      </c>
      <c r="F357" s="3442">
        <f t="shared" si="28"/>
        <v>2000000</v>
      </c>
      <c r="G357" s="3575">
        <v>400000</v>
      </c>
      <c r="H357" s="3575" t="s">
        <v>3696</v>
      </c>
      <c r="I357" s="3546" t="s">
        <v>1977</v>
      </c>
      <c r="J357" s="3442">
        <f t="shared" si="37"/>
        <v>400000</v>
      </c>
      <c r="K357" s="3442">
        <f t="shared" si="38"/>
        <v>1600000</v>
      </c>
      <c r="L357" s="3468" t="s">
        <v>3710</v>
      </c>
    </row>
    <row r="358" spans="1:14" ht="30" customHeight="1" x14ac:dyDescent="0.2">
      <c r="A358" s="3456"/>
      <c r="B358" s="3459"/>
      <c r="C358" s="3576"/>
      <c r="D358" s="3443"/>
      <c r="E358" s="3445"/>
      <c r="F358" s="3443"/>
      <c r="G358" s="3575"/>
      <c r="H358" s="3575"/>
      <c r="I358" s="3548"/>
      <c r="J358" s="3443"/>
      <c r="K358" s="3443"/>
      <c r="L358" s="3469"/>
    </row>
    <row r="359" spans="1:14" ht="30" customHeight="1" x14ac:dyDescent="0.2">
      <c r="A359" s="3451"/>
      <c r="B359" s="3458"/>
      <c r="C359" s="3571"/>
      <c r="D359" s="1672">
        <v>60000000</v>
      </c>
      <c r="E359" s="1673">
        <v>0.05</v>
      </c>
      <c r="F359" s="1672">
        <f>D359*E359</f>
        <v>3000000</v>
      </c>
      <c r="G359" s="3478" t="s">
        <v>3519</v>
      </c>
      <c r="H359" s="3479"/>
      <c r="I359" s="3479"/>
      <c r="J359" s="3480"/>
      <c r="K359" s="1671"/>
      <c r="L359" s="1674"/>
    </row>
    <row r="360" spans="1:14" ht="30" customHeight="1" x14ac:dyDescent="0.2">
      <c r="A360" s="1572">
        <v>236</v>
      </c>
      <c r="B360" s="1570" t="s">
        <v>97</v>
      </c>
      <c r="C360" s="1541"/>
      <c r="D360" s="1521">
        <v>20000000</v>
      </c>
      <c r="E360" s="1569">
        <v>0.05</v>
      </c>
      <c r="F360" s="1521">
        <f>D360*E360</f>
        <v>1000000</v>
      </c>
      <c r="G360" s="1521">
        <v>1000000</v>
      </c>
      <c r="H360" s="1521" t="s">
        <v>3798</v>
      </c>
      <c r="I360" s="1545" t="s">
        <v>340</v>
      </c>
      <c r="J360" s="1521">
        <f t="shared" si="37"/>
        <v>1000000</v>
      </c>
      <c r="K360" s="1521">
        <f t="shared" si="38"/>
        <v>0</v>
      </c>
      <c r="L360" s="168" t="s">
        <v>2819</v>
      </c>
    </row>
    <row r="361" spans="1:14" ht="30" customHeight="1" x14ac:dyDescent="0.2">
      <c r="A361" s="1572">
        <v>237</v>
      </c>
      <c r="B361" s="1570" t="s">
        <v>98</v>
      </c>
      <c r="C361" s="1541" t="s">
        <v>1817</v>
      </c>
      <c r="D361" s="1521">
        <v>62500000</v>
      </c>
      <c r="E361" s="1569">
        <v>4.8000000000000001E-2</v>
      </c>
      <c r="F361" s="1521">
        <f t="shared" si="28"/>
        <v>3000000</v>
      </c>
      <c r="G361" s="1521">
        <v>3000000</v>
      </c>
      <c r="H361" s="1521" t="s">
        <v>3599</v>
      </c>
      <c r="I361" s="24" t="s">
        <v>3609</v>
      </c>
      <c r="J361" s="1521">
        <f t="shared" si="37"/>
        <v>3000000</v>
      </c>
      <c r="K361" s="1521">
        <f t="shared" si="38"/>
        <v>0</v>
      </c>
      <c r="L361" s="1570"/>
    </row>
    <row r="362" spans="1:14" ht="30" customHeight="1" x14ac:dyDescent="0.2">
      <c r="A362" s="1572">
        <v>238</v>
      </c>
      <c r="B362" s="1570" t="s">
        <v>99</v>
      </c>
      <c r="C362" s="1541" t="s">
        <v>1219</v>
      </c>
      <c r="D362" s="1521">
        <v>100000000</v>
      </c>
      <c r="E362" s="1569">
        <v>0.05</v>
      </c>
      <c r="F362" s="1521">
        <f t="shared" si="28"/>
        <v>5000000</v>
      </c>
      <c r="G362" s="1521">
        <v>5000000</v>
      </c>
      <c r="H362" s="1521" t="s">
        <v>3621</v>
      </c>
      <c r="I362" s="21" t="s">
        <v>3628</v>
      </c>
      <c r="J362" s="1521">
        <f t="shared" si="37"/>
        <v>5000000</v>
      </c>
      <c r="K362" s="1521">
        <f t="shared" si="38"/>
        <v>0</v>
      </c>
      <c r="L362" s="1570"/>
    </row>
    <row r="363" spans="1:14" ht="30" customHeight="1" x14ac:dyDescent="0.2">
      <c r="A363" s="1572">
        <v>239</v>
      </c>
      <c r="B363" s="1570" t="s">
        <v>100</v>
      </c>
      <c r="C363" s="1541" t="s">
        <v>380</v>
      </c>
      <c r="D363" s="1521">
        <v>50000000</v>
      </c>
      <c r="E363" s="1569">
        <v>0.05</v>
      </c>
      <c r="F363" s="1521">
        <f t="shared" si="28"/>
        <v>2500000</v>
      </c>
      <c r="G363" s="1521">
        <v>2500000</v>
      </c>
      <c r="H363" s="1521" t="s">
        <v>3599</v>
      </c>
      <c r="I363" s="24" t="s">
        <v>1996</v>
      </c>
      <c r="J363" s="1521">
        <f t="shared" si="37"/>
        <v>2500000</v>
      </c>
      <c r="K363" s="1521">
        <f t="shared" si="38"/>
        <v>0</v>
      </c>
      <c r="L363" s="1570"/>
    </row>
    <row r="364" spans="1:14" ht="30" customHeight="1" x14ac:dyDescent="0.2">
      <c r="A364" s="1514">
        <v>240</v>
      </c>
      <c r="B364" s="1567" t="s">
        <v>2404</v>
      </c>
      <c r="C364" s="385" t="s">
        <v>1019</v>
      </c>
      <c r="D364" s="1519">
        <v>100000000</v>
      </c>
      <c r="E364" s="1517">
        <v>0.04</v>
      </c>
      <c r="F364" s="1519">
        <f t="shared" si="28"/>
        <v>4000000</v>
      </c>
      <c r="G364" s="1521">
        <v>4000000</v>
      </c>
      <c r="H364" s="1521" t="s">
        <v>2603</v>
      </c>
      <c r="I364" s="24" t="s">
        <v>3914</v>
      </c>
      <c r="J364" s="1521">
        <f t="shared" si="37"/>
        <v>4000000</v>
      </c>
      <c r="K364" s="1521">
        <f t="shared" si="38"/>
        <v>0</v>
      </c>
      <c r="L364" s="103"/>
    </row>
    <row r="365" spans="1:14" ht="30" customHeight="1" x14ac:dyDescent="0.2">
      <c r="A365" s="3693">
        <v>241</v>
      </c>
      <c r="B365" s="3687" t="s">
        <v>573</v>
      </c>
      <c r="C365" s="3686" t="s">
        <v>1378</v>
      </c>
      <c r="D365" s="1542">
        <v>20000000</v>
      </c>
      <c r="E365" s="1569">
        <v>7.0000000000000007E-2</v>
      </c>
      <c r="F365" s="1542">
        <f>D365*E365</f>
        <v>1400000.0000000002</v>
      </c>
      <c r="G365" s="3442">
        <v>2300000</v>
      </c>
      <c r="H365" s="3442" t="s">
        <v>2603</v>
      </c>
      <c r="I365" s="3586" t="s">
        <v>571</v>
      </c>
      <c r="J365" s="3442">
        <f t="shared" si="37"/>
        <v>2300000</v>
      </c>
      <c r="K365" s="3442">
        <f>(F365+F366)-J365</f>
        <v>0</v>
      </c>
      <c r="L365" s="3653"/>
    </row>
    <row r="366" spans="1:14" ht="30" customHeight="1" x14ac:dyDescent="0.2">
      <c r="A366" s="3693"/>
      <c r="B366" s="3687"/>
      <c r="C366" s="3686"/>
      <c r="D366" s="1542">
        <v>10000000</v>
      </c>
      <c r="E366" s="1569">
        <v>0.09</v>
      </c>
      <c r="F366" s="1542">
        <f>D366*E366</f>
        <v>900000</v>
      </c>
      <c r="G366" s="3443"/>
      <c r="H366" s="3443"/>
      <c r="I366" s="3587"/>
      <c r="J366" s="3443"/>
      <c r="K366" s="3443"/>
      <c r="L366" s="3453"/>
    </row>
    <row r="367" spans="1:14" ht="30" customHeight="1" x14ac:dyDescent="0.2">
      <c r="A367" s="1572">
        <v>242</v>
      </c>
      <c r="B367" s="1570" t="s">
        <v>102</v>
      </c>
      <c r="C367" s="1541" t="s">
        <v>1746</v>
      </c>
      <c r="D367" s="1521">
        <v>140000000</v>
      </c>
      <c r="E367" s="1518">
        <v>4.4999999999999998E-2</v>
      </c>
      <c r="F367" s="1521">
        <f t="shared" si="28"/>
        <v>6300000</v>
      </c>
      <c r="G367" s="1521">
        <v>6300000</v>
      </c>
      <c r="H367" s="1521" t="s">
        <v>3621</v>
      </c>
      <c r="I367" s="24" t="s">
        <v>3629</v>
      </c>
      <c r="J367" s="1521">
        <f>G367</f>
        <v>6300000</v>
      </c>
      <c r="K367" s="1521">
        <f t="shared" ref="K367:K380" si="39">F367-J367</f>
        <v>0</v>
      </c>
      <c r="L367" s="103"/>
    </row>
    <row r="368" spans="1:14" ht="30" customHeight="1" x14ac:dyDescent="0.2">
      <c r="A368" s="1572">
        <v>243</v>
      </c>
      <c r="B368" s="22" t="s">
        <v>519</v>
      </c>
      <c r="C368" s="1571" t="s">
        <v>265</v>
      </c>
      <c r="D368" s="1542">
        <v>20000000</v>
      </c>
      <c r="E368" s="1569">
        <v>0.04</v>
      </c>
      <c r="F368" s="1542">
        <f>D368*E368</f>
        <v>800000</v>
      </c>
      <c r="G368" s="1542">
        <v>600000</v>
      </c>
      <c r="H368" s="1542" t="s">
        <v>3696</v>
      </c>
      <c r="I368" s="1542" t="s">
        <v>3702</v>
      </c>
      <c r="J368" s="1542">
        <f>G368</f>
        <v>600000</v>
      </c>
      <c r="K368" s="1542">
        <f t="shared" si="39"/>
        <v>200000</v>
      </c>
      <c r="L368" s="103" t="s">
        <v>3703</v>
      </c>
      <c r="M368" s="264"/>
      <c r="N368" s="264"/>
    </row>
    <row r="369" spans="1:15" ht="30" customHeight="1" x14ac:dyDescent="0.2">
      <c r="A369" s="1572">
        <v>244</v>
      </c>
      <c r="B369" s="1513" t="s">
        <v>103</v>
      </c>
      <c r="C369" s="1541"/>
      <c r="D369" s="1521">
        <v>50000000</v>
      </c>
      <c r="E369" s="1569">
        <v>0.05</v>
      </c>
      <c r="F369" s="1521">
        <f t="shared" si="28"/>
        <v>2500000</v>
      </c>
      <c r="G369" s="1521">
        <v>2500000</v>
      </c>
      <c r="H369" s="1521" t="s">
        <v>3621</v>
      </c>
      <c r="I369" s="24" t="s">
        <v>3666</v>
      </c>
      <c r="J369" s="1521">
        <f>G369</f>
        <v>2500000</v>
      </c>
      <c r="K369" s="1521">
        <f t="shared" si="39"/>
        <v>0</v>
      </c>
      <c r="L369" s="1570"/>
    </row>
    <row r="370" spans="1:15" ht="30" customHeight="1" x14ac:dyDescent="0.2">
      <c r="A370" s="1572">
        <v>245</v>
      </c>
      <c r="B370" s="1570" t="s">
        <v>4199</v>
      </c>
      <c r="C370" s="1541" t="s">
        <v>265</v>
      </c>
      <c r="D370" s="1521">
        <v>60000000</v>
      </c>
      <c r="E370" s="1569">
        <v>0.05</v>
      </c>
      <c r="F370" s="1521">
        <f t="shared" si="28"/>
        <v>3000000</v>
      </c>
      <c r="G370" s="1521"/>
      <c r="H370" s="1521"/>
      <c r="I370" s="1544"/>
      <c r="J370" s="1521"/>
      <c r="K370" s="1521">
        <f t="shared" si="39"/>
        <v>3000000</v>
      </c>
      <c r="L370" s="2229" t="s">
        <v>4200</v>
      </c>
    </row>
    <row r="371" spans="1:15" ht="30" customHeight="1" x14ac:dyDescent="0.2">
      <c r="A371" s="1572">
        <v>246</v>
      </c>
      <c r="B371" s="1570" t="s">
        <v>105</v>
      </c>
      <c r="C371" s="1541" t="s">
        <v>265</v>
      </c>
      <c r="D371" s="1521">
        <v>85000000</v>
      </c>
      <c r="E371" s="1569">
        <v>5.0999999999999997E-2</v>
      </c>
      <c r="F371" s="1521">
        <v>4300000</v>
      </c>
      <c r="G371" s="1521">
        <v>4300000</v>
      </c>
      <c r="H371" s="1521" t="s">
        <v>3668</v>
      </c>
      <c r="I371" s="31" t="s">
        <v>2998</v>
      </c>
      <c r="J371" s="1521">
        <f t="shared" ref="J371:J381" si="40">G371</f>
        <v>4300000</v>
      </c>
      <c r="K371" s="1521">
        <f t="shared" si="39"/>
        <v>0</v>
      </c>
      <c r="L371" s="1570"/>
    </row>
    <row r="372" spans="1:15" ht="30" customHeight="1" x14ac:dyDescent="0.2">
      <c r="A372" s="1572">
        <v>247</v>
      </c>
      <c r="B372" s="1570" t="s">
        <v>106</v>
      </c>
      <c r="C372" s="1541"/>
      <c r="D372" s="1521">
        <v>220000000</v>
      </c>
      <c r="E372" s="1569">
        <v>7.0000000000000007E-2</v>
      </c>
      <c r="F372" s="1521">
        <f t="shared" si="28"/>
        <v>15400000.000000002</v>
      </c>
      <c r="G372" s="1521">
        <v>15400000</v>
      </c>
      <c r="H372" s="1521" t="s">
        <v>3684</v>
      </c>
      <c r="I372" s="24" t="s">
        <v>1882</v>
      </c>
      <c r="J372" s="1521">
        <f t="shared" si="40"/>
        <v>15400000</v>
      </c>
      <c r="K372" s="1521">
        <f t="shared" si="39"/>
        <v>0</v>
      </c>
      <c r="L372" s="103" t="s">
        <v>347</v>
      </c>
      <c r="M372" s="911"/>
      <c r="N372" s="912"/>
    </row>
    <row r="373" spans="1:15" ht="30" customHeight="1" x14ac:dyDescent="0.2">
      <c r="A373" s="3450">
        <v>248</v>
      </c>
      <c r="B373" s="3457" t="s">
        <v>107</v>
      </c>
      <c r="C373" s="1541" t="s">
        <v>1215</v>
      </c>
      <c r="D373" s="1521">
        <v>95000000</v>
      </c>
      <c r="E373" s="1569">
        <v>4.4999999999999998E-2</v>
      </c>
      <c r="F373" s="1521">
        <v>4000000</v>
      </c>
      <c r="G373" s="1521">
        <v>4000000</v>
      </c>
      <c r="H373" s="1521" t="s">
        <v>3621</v>
      </c>
      <c r="I373" s="24" t="s">
        <v>2928</v>
      </c>
      <c r="J373" s="1521">
        <f t="shared" si="40"/>
        <v>4000000</v>
      </c>
      <c r="K373" s="1521">
        <f t="shared" si="39"/>
        <v>0</v>
      </c>
      <c r="L373" s="1870" t="s">
        <v>3896</v>
      </c>
    </row>
    <row r="374" spans="1:15" ht="30" customHeight="1" x14ac:dyDescent="0.2">
      <c r="A374" s="3451"/>
      <c r="B374" s="3458"/>
      <c r="C374" s="1855"/>
      <c r="D374" s="3325" t="s">
        <v>3895</v>
      </c>
      <c r="E374" s="3340"/>
      <c r="F374" s="3341"/>
      <c r="G374" s="1853">
        <v>2000000</v>
      </c>
      <c r="H374" s="1853" t="s">
        <v>1232</v>
      </c>
      <c r="I374" s="24" t="s">
        <v>3897</v>
      </c>
      <c r="J374" s="1853">
        <f t="shared" si="40"/>
        <v>2000000</v>
      </c>
      <c r="K374" s="1853">
        <v>0</v>
      </c>
      <c r="L374" s="1870" t="s">
        <v>3898</v>
      </c>
    </row>
    <row r="375" spans="1:15" ht="30" customHeight="1" x14ac:dyDescent="0.2">
      <c r="A375" s="3450">
        <v>249</v>
      </c>
      <c r="B375" s="1570" t="s">
        <v>108</v>
      </c>
      <c r="C375" s="1541" t="s">
        <v>265</v>
      </c>
      <c r="D375" s="1521">
        <v>10000000</v>
      </c>
      <c r="E375" s="1569">
        <v>0.05</v>
      </c>
      <c r="F375" s="1521">
        <f t="shared" si="28"/>
        <v>500000</v>
      </c>
      <c r="G375" s="1521">
        <v>500000</v>
      </c>
      <c r="H375" s="1521" t="s">
        <v>3696</v>
      </c>
      <c r="I375" s="30" t="s">
        <v>3709</v>
      </c>
      <c r="J375" s="1521">
        <f t="shared" si="40"/>
        <v>500000</v>
      </c>
      <c r="K375" s="1521">
        <f t="shared" si="39"/>
        <v>0</v>
      </c>
      <c r="L375" s="3627" t="s">
        <v>1398</v>
      </c>
    </row>
    <row r="376" spans="1:15" ht="30" customHeight="1" x14ac:dyDescent="0.2">
      <c r="A376" s="3451"/>
      <c r="B376" s="1806"/>
      <c r="C376" s="1812"/>
      <c r="D376" s="3325" t="s">
        <v>1766</v>
      </c>
      <c r="E376" s="3340"/>
      <c r="F376" s="3341"/>
      <c r="G376" s="1807">
        <v>10000000</v>
      </c>
      <c r="H376" s="1807" t="s">
        <v>3850</v>
      </c>
      <c r="I376" s="1815" t="s">
        <v>1473</v>
      </c>
      <c r="J376" s="1807">
        <f t="shared" si="40"/>
        <v>10000000</v>
      </c>
      <c r="K376" s="1807"/>
      <c r="L376" s="3628"/>
    </row>
    <row r="377" spans="1:15" ht="30" customHeight="1" x14ac:dyDescent="0.2">
      <c r="A377" s="3450">
        <v>250</v>
      </c>
      <c r="B377" s="3457" t="s">
        <v>109</v>
      </c>
      <c r="C377" s="3570"/>
      <c r="D377" s="1521">
        <v>200000000</v>
      </c>
      <c r="E377" s="1569">
        <v>0.04</v>
      </c>
      <c r="F377" s="1521">
        <f t="shared" si="28"/>
        <v>8000000</v>
      </c>
      <c r="G377" s="1521">
        <v>8000000</v>
      </c>
      <c r="H377" s="1521" t="s">
        <v>3621</v>
      </c>
      <c r="I377" s="1562" t="s">
        <v>2838</v>
      </c>
      <c r="J377" s="1521">
        <f t="shared" si="40"/>
        <v>8000000</v>
      </c>
      <c r="K377" s="1521">
        <f t="shared" si="39"/>
        <v>0</v>
      </c>
      <c r="L377" s="1570"/>
    </row>
    <row r="378" spans="1:15" ht="30" customHeight="1" x14ac:dyDescent="0.2">
      <c r="A378" s="3451"/>
      <c r="B378" s="3458"/>
      <c r="C378" s="3571"/>
      <c r="D378" s="1772">
        <v>110000000</v>
      </c>
      <c r="E378" s="1781"/>
      <c r="F378" s="1772"/>
      <c r="G378" s="3478" t="s">
        <v>3825</v>
      </c>
      <c r="H378" s="3479"/>
      <c r="I378" s="3479"/>
      <c r="J378" s="3480"/>
      <c r="K378" s="1772"/>
      <c r="L378" s="1870"/>
    </row>
    <row r="379" spans="1:15" ht="30" customHeight="1" x14ac:dyDescent="0.2">
      <c r="A379" s="426">
        <v>251</v>
      </c>
      <c r="B379" s="22" t="s">
        <v>1944</v>
      </c>
      <c r="C379" s="3095" t="s">
        <v>379</v>
      </c>
      <c r="D379" s="3090">
        <v>90000000</v>
      </c>
      <c r="E379" s="3101">
        <v>0.06</v>
      </c>
      <c r="F379" s="3090">
        <f t="shared" si="28"/>
        <v>5400000</v>
      </c>
      <c r="G379" s="3090">
        <v>5400000</v>
      </c>
      <c r="H379" s="3090" t="s">
        <v>3696</v>
      </c>
      <c r="I379" s="24" t="s">
        <v>2972</v>
      </c>
      <c r="J379" s="3092">
        <f t="shared" si="40"/>
        <v>5400000</v>
      </c>
      <c r="K379" s="3092">
        <f t="shared" si="39"/>
        <v>0</v>
      </c>
      <c r="L379" s="1870"/>
    </row>
    <row r="380" spans="1:15" ht="30" customHeight="1" x14ac:dyDescent="0.2">
      <c r="A380" s="1572">
        <v>252</v>
      </c>
      <c r="B380" s="1513" t="s">
        <v>111</v>
      </c>
      <c r="C380" s="1541"/>
      <c r="D380" s="1521">
        <v>270000000</v>
      </c>
      <c r="E380" s="1518">
        <v>0.05</v>
      </c>
      <c r="F380" s="1521">
        <f>D380*E380</f>
        <v>13500000</v>
      </c>
      <c r="G380" s="1521">
        <v>13500000</v>
      </c>
      <c r="H380" s="1521" t="s">
        <v>3696</v>
      </c>
      <c r="I380" s="24" t="s">
        <v>3716</v>
      </c>
      <c r="J380" s="1521">
        <f t="shared" si="40"/>
        <v>13500000</v>
      </c>
      <c r="K380" s="1521">
        <f t="shared" si="39"/>
        <v>0</v>
      </c>
      <c r="L380" s="1511"/>
    </row>
    <row r="381" spans="1:15" ht="30" customHeight="1" x14ac:dyDescent="0.2">
      <c r="A381" s="3450">
        <v>253</v>
      </c>
      <c r="B381" s="3457" t="s">
        <v>112</v>
      </c>
      <c r="C381" s="3570" t="s">
        <v>265</v>
      </c>
      <c r="D381" s="1521">
        <v>20000000</v>
      </c>
      <c r="E381" s="1569">
        <v>0.05</v>
      </c>
      <c r="F381" s="1521">
        <f t="shared" si="28"/>
        <v>1000000</v>
      </c>
      <c r="G381" s="3442">
        <v>2000000</v>
      </c>
      <c r="H381" s="3442" t="s">
        <v>3668</v>
      </c>
      <c r="I381" s="3589" t="s">
        <v>3675</v>
      </c>
      <c r="J381" s="3442">
        <f t="shared" si="40"/>
        <v>2000000</v>
      </c>
      <c r="K381" s="3442">
        <f>(F381+F382)-J381</f>
        <v>0</v>
      </c>
      <c r="L381" s="1712" t="s">
        <v>1975</v>
      </c>
      <c r="M381" s="1228"/>
      <c r="N381" s="1228"/>
      <c r="O381" s="1228"/>
    </row>
    <row r="382" spans="1:15" ht="30" customHeight="1" x14ac:dyDescent="0.2">
      <c r="A382" s="3451"/>
      <c r="B382" s="3458"/>
      <c r="C382" s="3571"/>
      <c r="D382" s="1521">
        <v>20000000</v>
      </c>
      <c r="E382" s="1569">
        <v>0.05</v>
      </c>
      <c r="F382" s="1521">
        <f t="shared" si="28"/>
        <v>1000000</v>
      </c>
      <c r="G382" s="3443"/>
      <c r="H382" s="3443"/>
      <c r="I382" s="3591"/>
      <c r="J382" s="3443"/>
      <c r="K382" s="3443"/>
      <c r="L382" s="1227" t="s">
        <v>1989</v>
      </c>
      <c r="M382" s="264"/>
      <c r="N382" s="264"/>
      <c r="O382" s="264"/>
    </row>
    <row r="383" spans="1:15" ht="30" customHeight="1" x14ac:dyDescent="0.2">
      <c r="A383" s="3450">
        <v>254</v>
      </c>
      <c r="B383" s="3457" t="s">
        <v>2013</v>
      </c>
      <c r="C383" s="385"/>
      <c r="D383" s="1521">
        <v>195000000</v>
      </c>
      <c r="E383" s="1569">
        <v>0.05</v>
      </c>
      <c r="F383" s="1521">
        <f t="shared" si="28"/>
        <v>9750000</v>
      </c>
      <c r="G383" s="1542">
        <v>9750000</v>
      </c>
      <c r="H383" s="1542" t="s">
        <v>3696</v>
      </c>
      <c r="I383" s="1542" t="s">
        <v>3714</v>
      </c>
      <c r="J383" s="1521">
        <f>G383</f>
        <v>9750000</v>
      </c>
      <c r="K383" s="1521">
        <f>F383-J383</f>
        <v>0</v>
      </c>
      <c r="L383" s="1712" t="s">
        <v>3715</v>
      </c>
      <c r="M383" s="1716"/>
      <c r="N383" s="1716"/>
      <c r="O383" s="1716"/>
    </row>
    <row r="384" spans="1:15" ht="30" customHeight="1" x14ac:dyDescent="0.2">
      <c r="A384" s="3456"/>
      <c r="B384" s="3459"/>
      <c r="C384" s="756"/>
      <c r="D384" s="3325" t="s">
        <v>4030</v>
      </c>
      <c r="E384" s="3340"/>
      <c r="F384" s="3341"/>
      <c r="G384" s="1958">
        <v>20000000</v>
      </c>
      <c r="H384" s="1958" t="s">
        <v>4024</v>
      </c>
      <c r="I384" s="1968" t="s">
        <v>3081</v>
      </c>
      <c r="J384" s="1958">
        <f>G384</f>
        <v>20000000</v>
      </c>
      <c r="K384" s="1958"/>
      <c r="L384" s="1977"/>
      <c r="M384" s="264"/>
      <c r="N384" s="264"/>
      <c r="O384" s="264"/>
    </row>
    <row r="385" spans="1:15" ht="30" customHeight="1" x14ac:dyDescent="0.2">
      <c r="A385" s="3451"/>
      <c r="B385" s="3458"/>
      <c r="C385" s="1964"/>
      <c r="D385" s="1968">
        <v>175000000</v>
      </c>
      <c r="E385" s="1975">
        <v>0.05</v>
      </c>
      <c r="F385" s="1968">
        <f>D385*E385</f>
        <v>8750000</v>
      </c>
      <c r="G385" s="1958"/>
      <c r="H385" s="1958"/>
      <c r="I385" s="1968"/>
      <c r="J385" s="1958"/>
      <c r="K385" s="1958"/>
      <c r="L385" s="1977"/>
      <c r="M385" s="264"/>
      <c r="N385" s="264"/>
      <c r="O385" s="264"/>
    </row>
    <row r="386" spans="1:15" ht="30" customHeight="1" x14ac:dyDescent="0.2">
      <c r="A386" s="1572">
        <v>255</v>
      </c>
      <c r="B386" s="1570" t="s">
        <v>115</v>
      </c>
      <c r="C386" s="1541" t="s">
        <v>265</v>
      </c>
      <c r="D386" s="1521">
        <v>40000000</v>
      </c>
      <c r="E386" s="1569">
        <v>0.05</v>
      </c>
      <c r="F386" s="1521">
        <f t="shared" si="28"/>
        <v>2000000</v>
      </c>
      <c r="G386" s="1521">
        <v>2000000</v>
      </c>
      <c r="H386" s="1521" t="s">
        <v>3668</v>
      </c>
      <c r="I386" s="21" t="s">
        <v>3676</v>
      </c>
      <c r="J386" s="1521">
        <f>G386</f>
        <v>2000000</v>
      </c>
      <c r="K386" s="1521">
        <f>F386-J386</f>
        <v>0</v>
      </c>
      <c r="L386" s="1570"/>
    </row>
    <row r="387" spans="1:15" ht="30" customHeight="1" x14ac:dyDescent="0.2">
      <c r="A387" s="1572">
        <v>256</v>
      </c>
      <c r="B387" s="1570" t="s">
        <v>116</v>
      </c>
      <c r="C387" s="1541" t="s">
        <v>379</v>
      </c>
      <c r="D387" s="1521">
        <v>100000000</v>
      </c>
      <c r="E387" s="1569">
        <v>0.05</v>
      </c>
      <c r="F387" s="1521">
        <f t="shared" si="28"/>
        <v>5000000</v>
      </c>
      <c r="G387" s="1521">
        <v>5000000</v>
      </c>
      <c r="H387" s="1521" t="s">
        <v>3684</v>
      </c>
      <c r="I387" s="21" t="s">
        <v>337</v>
      </c>
      <c r="J387" s="1521">
        <f>G387</f>
        <v>5000000</v>
      </c>
      <c r="K387" s="1521">
        <f>F387-J387</f>
        <v>0</v>
      </c>
      <c r="L387" s="1570"/>
    </row>
    <row r="388" spans="1:15" ht="30" customHeight="1" x14ac:dyDescent="0.2">
      <c r="A388" s="1572">
        <v>257</v>
      </c>
      <c r="B388" s="1570" t="s">
        <v>117</v>
      </c>
      <c r="C388" s="1541" t="s">
        <v>1347</v>
      </c>
      <c r="D388" s="1521">
        <v>30000000</v>
      </c>
      <c r="E388" s="1569">
        <v>0.05</v>
      </c>
      <c r="F388" s="1521">
        <f t="shared" si="28"/>
        <v>1500000</v>
      </c>
      <c r="G388" s="1521">
        <v>1500000</v>
      </c>
      <c r="H388" s="1521" t="s">
        <v>3696</v>
      </c>
      <c r="I388" s="24" t="s">
        <v>3111</v>
      </c>
      <c r="J388" s="1521">
        <f>G388</f>
        <v>1500000</v>
      </c>
      <c r="K388" s="1521">
        <f>F388-J388</f>
        <v>0</v>
      </c>
      <c r="L388" s="1570"/>
    </row>
    <row r="389" spans="1:15" ht="30" customHeight="1" x14ac:dyDescent="0.2">
      <c r="A389" s="1572">
        <v>258</v>
      </c>
      <c r="B389" s="1570" t="s">
        <v>876</v>
      </c>
      <c r="C389" s="1541" t="s">
        <v>265</v>
      </c>
      <c r="D389" s="1521">
        <v>12000000</v>
      </c>
      <c r="E389" s="1569">
        <v>0.05</v>
      </c>
      <c r="F389" s="1521">
        <f t="shared" si="28"/>
        <v>600000</v>
      </c>
      <c r="G389" s="3442">
        <v>1600000</v>
      </c>
      <c r="H389" s="3442" t="s">
        <v>3798</v>
      </c>
      <c r="I389" s="3586" t="s">
        <v>485</v>
      </c>
      <c r="J389" s="3442">
        <f>G389</f>
        <v>1600000</v>
      </c>
      <c r="K389" s="3442">
        <f>(F389+F390)-J389</f>
        <v>0</v>
      </c>
      <c r="L389" s="3525"/>
    </row>
    <row r="390" spans="1:15" ht="30" customHeight="1" x14ac:dyDescent="0.2">
      <c r="A390" s="1572">
        <v>259</v>
      </c>
      <c r="B390" s="1570" t="s">
        <v>159</v>
      </c>
      <c r="C390" s="1541" t="s">
        <v>265</v>
      </c>
      <c r="D390" s="1521">
        <v>20000000</v>
      </c>
      <c r="E390" s="1569">
        <v>0.05</v>
      </c>
      <c r="F390" s="1521">
        <f>D390*E390</f>
        <v>1000000</v>
      </c>
      <c r="G390" s="3443"/>
      <c r="H390" s="3443"/>
      <c r="I390" s="3587"/>
      <c r="J390" s="3443"/>
      <c r="K390" s="3443"/>
      <c r="L390" s="3526"/>
    </row>
    <row r="391" spans="1:15" ht="30" customHeight="1" x14ac:dyDescent="0.2">
      <c r="A391" s="3450">
        <v>261</v>
      </c>
      <c r="B391" s="3457" t="s">
        <v>120</v>
      </c>
      <c r="C391" s="1541" t="s">
        <v>1355</v>
      </c>
      <c r="D391" s="1521">
        <v>10500000</v>
      </c>
      <c r="E391" s="1569">
        <v>0.05</v>
      </c>
      <c r="F391" s="1521">
        <f t="shared" si="28"/>
        <v>525000</v>
      </c>
      <c r="G391" s="1701">
        <v>525000</v>
      </c>
      <c r="H391" s="1701" t="s">
        <v>3798</v>
      </c>
      <c r="I391" s="21" t="s">
        <v>3809</v>
      </c>
      <c r="J391" s="1701">
        <f>G391</f>
        <v>525000</v>
      </c>
      <c r="K391" s="1695">
        <f>F391-J391</f>
        <v>0</v>
      </c>
      <c r="L391" s="1712"/>
    </row>
    <row r="392" spans="1:15" ht="30" customHeight="1" x14ac:dyDescent="0.2">
      <c r="A392" s="3456"/>
      <c r="B392" s="3459"/>
      <c r="C392" s="1668" t="s">
        <v>3458</v>
      </c>
      <c r="D392" s="1667">
        <v>10000000</v>
      </c>
      <c r="E392" s="1670">
        <v>7.0000000000000007E-2</v>
      </c>
      <c r="F392" s="1667">
        <f>D392*E392</f>
        <v>700000.00000000012</v>
      </c>
      <c r="G392" s="1701">
        <v>3150000</v>
      </c>
      <c r="H392" s="1701" t="s">
        <v>3557</v>
      </c>
      <c r="I392" s="21" t="s">
        <v>423</v>
      </c>
      <c r="J392" s="1701">
        <f>G392</f>
        <v>3150000</v>
      </c>
      <c r="K392" s="1695"/>
      <c r="L392" s="1705" t="s">
        <v>3687</v>
      </c>
    </row>
    <row r="393" spans="1:15" ht="30" customHeight="1" x14ac:dyDescent="0.2">
      <c r="A393" s="3456"/>
      <c r="B393" s="3459"/>
      <c r="C393" s="1668" t="s">
        <v>265</v>
      </c>
      <c r="D393" s="1667">
        <v>5000000</v>
      </c>
      <c r="E393" s="1670">
        <v>7.0000000000000007E-2</v>
      </c>
      <c r="F393" s="1667">
        <f>D393*E393</f>
        <v>350000.00000000006</v>
      </c>
      <c r="G393" s="1701">
        <v>350000</v>
      </c>
      <c r="H393" s="1701" t="s">
        <v>3684</v>
      </c>
      <c r="I393" s="21" t="s">
        <v>423</v>
      </c>
      <c r="J393" s="1701">
        <f>G393</f>
        <v>350000</v>
      </c>
      <c r="K393" s="1695">
        <f>F393-J393</f>
        <v>0</v>
      </c>
      <c r="L393" s="1705" t="s">
        <v>3688</v>
      </c>
    </row>
    <row r="394" spans="1:15" ht="30" customHeight="1" x14ac:dyDescent="0.2">
      <c r="A394" s="3451"/>
      <c r="B394" s="3458"/>
      <c r="C394" s="1964"/>
      <c r="D394" s="1958"/>
      <c r="E394" s="1975"/>
      <c r="F394" s="1958"/>
      <c r="G394" s="1968">
        <v>700000</v>
      </c>
      <c r="H394" s="1968" t="s">
        <v>4031</v>
      </c>
      <c r="I394" s="21" t="s">
        <v>3809</v>
      </c>
      <c r="J394" s="1968">
        <f>G394</f>
        <v>700000</v>
      </c>
      <c r="K394" s="1958"/>
      <c r="L394" s="1973" t="s">
        <v>4042</v>
      </c>
    </row>
    <row r="395" spans="1:15" ht="30" customHeight="1" x14ac:dyDescent="0.2">
      <c r="A395" s="1572">
        <v>263</v>
      </c>
      <c r="B395" s="22" t="s">
        <v>586</v>
      </c>
      <c r="C395" s="1571"/>
      <c r="D395" s="1643">
        <v>105000000</v>
      </c>
      <c r="E395" s="1652">
        <v>5.8000000000000003E-2</v>
      </c>
      <c r="F395" s="1643">
        <v>6000000</v>
      </c>
      <c r="G395" s="3478" t="s">
        <v>3615</v>
      </c>
      <c r="H395" s="3479"/>
      <c r="I395" s="3479"/>
      <c r="J395" s="3480"/>
      <c r="K395" s="1643"/>
      <c r="L395" s="1646" t="s">
        <v>3614</v>
      </c>
    </row>
    <row r="396" spans="1:15" ht="30" customHeight="1" x14ac:dyDescent="0.2">
      <c r="A396" s="1516">
        <v>264</v>
      </c>
      <c r="B396" s="1513" t="s">
        <v>122</v>
      </c>
      <c r="C396" s="1541" t="s">
        <v>265</v>
      </c>
      <c r="D396" s="1894">
        <v>50000000</v>
      </c>
      <c r="E396" s="1892">
        <f>F396/D396</f>
        <v>0.06</v>
      </c>
      <c r="F396" s="1521">
        <v>3000000</v>
      </c>
      <c r="G396" s="1521">
        <v>3000000</v>
      </c>
      <c r="H396" s="1521" t="s">
        <v>3696</v>
      </c>
      <c r="I396" s="28" t="s">
        <v>3701</v>
      </c>
      <c r="J396" s="1521">
        <f>G396</f>
        <v>3000000</v>
      </c>
      <c r="K396" s="1521">
        <f>F396-J396</f>
        <v>0</v>
      </c>
      <c r="L396" s="1905" t="s">
        <v>3998</v>
      </c>
    </row>
    <row r="397" spans="1:15" ht="30" customHeight="1" x14ac:dyDescent="0.2">
      <c r="A397" s="3450">
        <v>265</v>
      </c>
      <c r="B397" s="3687" t="s">
        <v>124</v>
      </c>
      <c r="C397" s="3686" t="s">
        <v>265</v>
      </c>
      <c r="D397" s="3442">
        <v>1000000000</v>
      </c>
      <c r="E397" s="3444">
        <v>7.0000000000000007E-2</v>
      </c>
      <c r="F397" s="3442">
        <f>D397*E397</f>
        <v>70000000</v>
      </c>
      <c r="G397" s="247"/>
      <c r="H397" s="247"/>
      <c r="I397" s="247"/>
      <c r="J397" s="247"/>
      <c r="K397" s="1521"/>
      <c r="L397" s="1551" t="s">
        <v>3418</v>
      </c>
    </row>
    <row r="398" spans="1:15" ht="30" customHeight="1" x14ac:dyDescent="0.2">
      <c r="A398" s="3456"/>
      <c r="B398" s="3687"/>
      <c r="C398" s="3686"/>
      <c r="D398" s="3443"/>
      <c r="E398" s="3445"/>
      <c r="F398" s="3443"/>
      <c r="G398" s="1542"/>
      <c r="H398" s="1542"/>
      <c r="I398" s="1542"/>
      <c r="J398" s="1542"/>
      <c r="K398" s="1521"/>
      <c r="L398" s="1594" t="s">
        <v>3515</v>
      </c>
    </row>
    <row r="399" spans="1:15" ht="30" customHeight="1" x14ac:dyDescent="0.2">
      <c r="A399" s="1572">
        <v>266</v>
      </c>
      <c r="B399" s="1513" t="s">
        <v>2038</v>
      </c>
      <c r="C399" s="1541"/>
      <c r="D399" s="1521">
        <v>80000000</v>
      </c>
      <c r="E399" s="1518">
        <v>4.4999999999999998E-2</v>
      </c>
      <c r="F399" s="1521">
        <f t="shared" ref="F399:F474" si="41">D399*E399</f>
        <v>3600000</v>
      </c>
      <c r="G399" s="1521">
        <v>3600000</v>
      </c>
      <c r="H399" s="1521" t="s">
        <v>3721</v>
      </c>
      <c r="I399" s="21" t="s">
        <v>585</v>
      </c>
      <c r="J399" s="1521">
        <f>G399</f>
        <v>3600000</v>
      </c>
      <c r="K399" s="1521">
        <f>F399-J399</f>
        <v>0</v>
      </c>
      <c r="L399" s="1570"/>
    </row>
    <row r="400" spans="1:15" ht="30" customHeight="1" x14ac:dyDescent="0.2">
      <c r="A400" s="3450">
        <v>267</v>
      </c>
      <c r="B400" s="3457" t="s">
        <v>508</v>
      </c>
      <c r="C400" s="3570" t="s">
        <v>379</v>
      </c>
      <c r="D400" s="3442">
        <v>300000000</v>
      </c>
      <c r="E400" s="3444">
        <v>0.04</v>
      </c>
      <c r="F400" s="3442">
        <f>D400*E400</f>
        <v>12000000</v>
      </c>
      <c r="G400" s="3442">
        <v>12000000</v>
      </c>
      <c r="H400" s="3442" t="s">
        <v>3696</v>
      </c>
      <c r="I400" s="3442" t="s">
        <v>3717</v>
      </c>
      <c r="J400" s="3442">
        <f>G400</f>
        <v>12000000</v>
      </c>
      <c r="K400" s="3442">
        <f>F400-J400</f>
        <v>0</v>
      </c>
      <c r="L400" s="1551" t="s">
        <v>3026</v>
      </c>
    </row>
    <row r="401" spans="1:12" ht="30" customHeight="1" x14ac:dyDescent="0.2">
      <c r="A401" s="3451"/>
      <c r="B401" s="3458"/>
      <c r="C401" s="3571"/>
      <c r="D401" s="3443"/>
      <c r="E401" s="3445"/>
      <c r="F401" s="3443"/>
      <c r="G401" s="3443"/>
      <c r="H401" s="3443"/>
      <c r="I401" s="3443"/>
      <c r="J401" s="3443"/>
      <c r="K401" s="3443"/>
      <c r="L401" s="1551" t="s">
        <v>3516</v>
      </c>
    </row>
    <row r="402" spans="1:12" ht="30" customHeight="1" x14ac:dyDescent="0.2">
      <c r="A402" s="1572">
        <v>268</v>
      </c>
      <c r="B402" s="1570" t="s">
        <v>400</v>
      </c>
      <c r="C402" s="1541" t="s">
        <v>401</v>
      </c>
      <c r="D402" s="1521">
        <v>130000000</v>
      </c>
      <c r="E402" s="1569">
        <v>4.4999999999999998E-2</v>
      </c>
      <c r="F402" s="1521">
        <f t="shared" si="41"/>
        <v>5850000</v>
      </c>
      <c r="G402" s="1521">
        <v>5850000</v>
      </c>
      <c r="H402" s="1521" t="s">
        <v>3621</v>
      </c>
      <c r="I402" s="21" t="s">
        <v>3654</v>
      </c>
      <c r="J402" s="1521">
        <f>G402</f>
        <v>5850000</v>
      </c>
      <c r="K402" s="1521">
        <f>F402-J402</f>
        <v>0</v>
      </c>
      <c r="L402" s="1570"/>
    </row>
    <row r="403" spans="1:12" ht="30" customHeight="1" x14ac:dyDescent="0.2">
      <c r="A403" s="1572">
        <v>269</v>
      </c>
      <c r="B403" s="1570" t="s">
        <v>126</v>
      </c>
      <c r="C403" s="1541" t="s">
        <v>265</v>
      </c>
      <c r="D403" s="1521">
        <v>300000000</v>
      </c>
      <c r="E403" s="1569">
        <v>0.05</v>
      </c>
      <c r="F403" s="1521">
        <f t="shared" si="41"/>
        <v>15000000</v>
      </c>
      <c r="G403" s="1521">
        <v>15000000</v>
      </c>
      <c r="H403" s="1521" t="s">
        <v>3668</v>
      </c>
      <c r="I403" s="24" t="s">
        <v>3683</v>
      </c>
      <c r="J403" s="1521">
        <f>G403</f>
        <v>15000000</v>
      </c>
      <c r="K403" s="1521">
        <f>F403-J403</f>
        <v>0</v>
      </c>
      <c r="L403" s="1570"/>
    </row>
    <row r="404" spans="1:12" ht="30" customHeight="1" x14ac:dyDescent="0.2">
      <c r="A404" s="1572">
        <v>270</v>
      </c>
      <c r="B404" s="1570" t="s">
        <v>127</v>
      </c>
      <c r="C404" s="1541"/>
      <c r="D404" s="1521">
        <v>20000000</v>
      </c>
      <c r="E404" s="1569">
        <v>5.5E-2</v>
      </c>
      <c r="F404" s="1521">
        <f t="shared" si="41"/>
        <v>1100000</v>
      </c>
      <c r="G404" s="1521">
        <v>1100000</v>
      </c>
      <c r="H404" s="1521" t="s">
        <v>3696</v>
      </c>
      <c r="I404" s="24" t="s">
        <v>503</v>
      </c>
      <c r="J404" s="1521">
        <f>G404</f>
        <v>1100000</v>
      </c>
      <c r="K404" s="1521">
        <f>F404-J404</f>
        <v>0</v>
      </c>
      <c r="L404" s="1570"/>
    </row>
    <row r="405" spans="1:12" ht="30" customHeight="1" x14ac:dyDescent="0.2">
      <c r="A405" s="1572">
        <v>271</v>
      </c>
      <c r="B405" s="22" t="s">
        <v>128</v>
      </c>
      <c r="C405" s="1571" t="s">
        <v>367</v>
      </c>
      <c r="D405" s="1542">
        <v>40000000</v>
      </c>
      <c r="E405" s="1569">
        <v>5.5E-2</v>
      </c>
      <c r="F405" s="1542">
        <f t="shared" si="41"/>
        <v>2200000</v>
      </c>
      <c r="G405" s="1542">
        <v>2200000</v>
      </c>
      <c r="H405" s="1542" t="s">
        <v>3696</v>
      </c>
      <c r="I405" s="21" t="s">
        <v>3711</v>
      </c>
      <c r="J405" s="1542">
        <f>G405</f>
        <v>2200000</v>
      </c>
      <c r="K405" s="1542">
        <f>F405-J405</f>
        <v>0</v>
      </c>
      <c r="L405" s="1570"/>
    </row>
    <row r="406" spans="1:12" ht="30" customHeight="1" x14ac:dyDescent="0.2">
      <c r="A406" s="3450"/>
      <c r="B406" s="3457" t="s">
        <v>2658</v>
      </c>
      <c r="C406" s="3570" t="s">
        <v>1342</v>
      </c>
      <c r="D406" s="1578">
        <v>520000000</v>
      </c>
      <c r="E406" s="917">
        <v>5.5E-2</v>
      </c>
      <c r="F406" s="1578">
        <f>D406*E406</f>
        <v>28600000</v>
      </c>
      <c r="G406" s="3726" t="s">
        <v>3520</v>
      </c>
      <c r="H406" s="3726"/>
      <c r="I406" s="3726"/>
      <c r="J406" s="3726"/>
      <c r="K406" s="1659"/>
      <c r="L406" s="1289"/>
    </row>
    <row r="407" spans="1:12" ht="30" customHeight="1" x14ac:dyDescent="0.2">
      <c r="A407" s="3456"/>
      <c r="B407" s="3459"/>
      <c r="C407" s="3576"/>
      <c r="D407" s="1578">
        <v>65000000</v>
      </c>
      <c r="E407" s="917">
        <v>0.06</v>
      </c>
      <c r="F407" s="1578">
        <f>D407*E407</f>
        <v>3900000</v>
      </c>
      <c r="G407" s="3726"/>
      <c r="H407" s="3726"/>
      <c r="I407" s="3726"/>
      <c r="J407" s="3726"/>
      <c r="K407" s="1660"/>
      <c r="L407" s="1290"/>
    </row>
    <row r="408" spans="1:12" ht="30" customHeight="1" x14ac:dyDescent="0.2">
      <c r="A408" s="3456"/>
      <c r="B408" s="3459"/>
      <c r="C408" s="3576"/>
      <c r="D408" s="1578">
        <v>85000000</v>
      </c>
      <c r="E408" s="917">
        <v>0.06</v>
      </c>
      <c r="F408" s="1578">
        <f>D408*E408</f>
        <v>5100000</v>
      </c>
      <c r="G408" s="3726"/>
      <c r="H408" s="3726"/>
      <c r="I408" s="3726"/>
      <c r="J408" s="3726"/>
      <c r="K408" s="1660"/>
      <c r="L408" s="3723" t="s">
        <v>3517</v>
      </c>
    </row>
    <row r="409" spans="1:12" ht="30" customHeight="1" x14ac:dyDescent="0.2">
      <c r="A409" s="3456"/>
      <c r="B409" s="3459"/>
      <c r="C409" s="3576"/>
      <c r="D409" s="3697" t="s">
        <v>1899</v>
      </c>
      <c r="E409" s="3698"/>
      <c r="F409" s="1578">
        <v>1300000</v>
      </c>
      <c r="G409" s="3726"/>
      <c r="H409" s="3726"/>
      <c r="I409" s="3726"/>
      <c r="J409" s="3726"/>
      <c r="K409" s="1660"/>
      <c r="L409" s="3723"/>
    </row>
    <row r="410" spans="1:12" ht="30" customHeight="1" x14ac:dyDescent="0.2">
      <c r="A410" s="3456"/>
      <c r="B410" s="3459"/>
      <c r="C410" s="3576"/>
      <c r="D410" s="1578">
        <v>100000000</v>
      </c>
      <c r="E410" s="917">
        <v>0.06</v>
      </c>
      <c r="F410" s="1578">
        <f>D410*E410</f>
        <v>6000000</v>
      </c>
      <c r="G410" s="3726"/>
      <c r="H410" s="3726"/>
      <c r="I410" s="3726"/>
      <c r="J410" s="3726"/>
      <c r="K410" s="1661"/>
      <c r="L410" s="1290" t="s">
        <v>3518</v>
      </c>
    </row>
    <row r="411" spans="1:12" ht="30" customHeight="1" x14ac:dyDescent="0.2">
      <c r="A411" s="3456"/>
      <c r="B411" s="3459"/>
      <c r="C411" s="3576"/>
      <c r="D411" s="1746">
        <f>D406+D407+D408+D410</f>
        <v>770000000</v>
      </c>
      <c r="E411" s="1745"/>
      <c r="F411" s="1746">
        <f>F406+F407+F408+F409+F410</f>
        <v>44900000</v>
      </c>
      <c r="G411" s="1764">
        <v>13000000</v>
      </c>
      <c r="H411" s="3856" t="s">
        <v>3798</v>
      </c>
      <c r="I411" s="3856" t="s">
        <v>841</v>
      </c>
      <c r="J411" s="1757">
        <f>G411</f>
        <v>13000000</v>
      </c>
      <c r="K411" s="1746">
        <f>F411-11100000-J411</f>
        <v>20800000</v>
      </c>
      <c r="L411" s="1595" t="s">
        <v>3509</v>
      </c>
    </row>
    <row r="412" spans="1:12" ht="30" customHeight="1" x14ac:dyDescent="0.2">
      <c r="A412" s="3456"/>
      <c r="B412" s="3459"/>
      <c r="C412" s="3576"/>
      <c r="D412" s="3881" t="s">
        <v>3800</v>
      </c>
      <c r="E412" s="3882"/>
      <c r="F412" s="3883"/>
      <c r="G412" s="1764">
        <v>5000000</v>
      </c>
      <c r="H412" s="3857"/>
      <c r="I412" s="3857"/>
      <c r="J412" s="3856">
        <f>G412+G413</f>
        <v>25000000</v>
      </c>
      <c r="K412" s="3454">
        <f>F412-11100000-J412</f>
        <v>-36100000</v>
      </c>
      <c r="L412" s="3598"/>
    </row>
    <row r="413" spans="1:12" ht="30" customHeight="1" x14ac:dyDescent="0.2">
      <c r="A413" s="3456"/>
      <c r="B413" s="3459"/>
      <c r="C413" s="3576"/>
      <c r="D413" s="3884"/>
      <c r="E413" s="3885"/>
      <c r="F413" s="3886"/>
      <c r="G413" s="1764">
        <v>20000000</v>
      </c>
      <c r="H413" s="1764" t="s">
        <v>3798</v>
      </c>
      <c r="I413" s="1764" t="s">
        <v>841</v>
      </c>
      <c r="J413" s="3857"/>
      <c r="K413" s="3455"/>
      <c r="L413" s="3599"/>
    </row>
    <row r="414" spans="1:12" ht="30" customHeight="1" x14ac:dyDescent="0.2">
      <c r="A414" s="3456"/>
      <c r="B414" s="3459"/>
      <c r="C414" s="3576"/>
      <c r="D414" s="1782">
        <v>21000000</v>
      </c>
      <c r="E414" s="1787">
        <v>0.06</v>
      </c>
      <c r="F414" s="1782">
        <f>D414*E414</f>
        <v>1260000</v>
      </c>
      <c r="G414" s="3860" t="s">
        <v>3810</v>
      </c>
      <c r="H414" s="3861"/>
      <c r="I414" s="3861"/>
      <c r="J414" s="3862"/>
      <c r="K414" s="1774"/>
      <c r="L414" s="1777"/>
    </row>
    <row r="415" spans="1:12" ht="30" customHeight="1" x14ac:dyDescent="0.2">
      <c r="A415" s="3451"/>
      <c r="B415" s="3458"/>
      <c r="C415" s="3571"/>
      <c r="D415" s="1553">
        <v>40000000</v>
      </c>
      <c r="E415" s="1561">
        <v>0.06</v>
      </c>
      <c r="F415" s="1553">
        <f>D415*E415</f>
        <v>2400000</v>
      </c>
      <c r="G415" s="3860" t="s">
        <v>3519</v>
      </c>
      <c r="H415" s="3861"/>
      <c r="I415" s="3861"/>
      <c r="J415" s="3862"/>
      <c r="K415" s="1553"/>
      <c r="L415" s="1079" t="s">
        <v>3490</v>
      </c>
    </row>
    <row r="416" spans="1:12" ht="30" customHeight="1" x14ac:dyDescent="0.2">
      <c r="A416" s="3450"/>
      <c r="B416" s="3687" t="s">
        <v>2658</v>
      </c>
      <c r="C416" s="3570" t="s">
        <v>1342</v>
      </c>
      <c r="D416" s="1789">
        <v>495000000</v>
      </c>
      <c r="E416" s="1790">
        <v>5.5E-2</v>
      </c>
      <c r="F416" s="1789">
        <f>D416*E416</f>
        <v>27225000</v>
      </c>
      <c r="G416" s="3858" t="s">
        <v>3811</v>
      </c>
      <c r="H416" s="3858"/>
      <c r="I416" s="3858"/>
      <c r="J416" s="3858"/>
      <c r="K416" s="3816"/>
      <c r="L416" s="3845"/>
    </row>
    <row r="417" spans="1:12" ht="30" customHeight="1" x14ac:dyDescent="0.2">
      <c r="A417" s="3456"/>
      <c r="B417" s="3687"/>
      <c r="C417" s="3576"/>
      <c r="D417" s="1789">
        <v>65000000</v>
      </c>
      <c r="E417" s="1790">
        <v>0.06</v>
      </c>
      <c r="F417" s="1789">
        <f>D417*E417</f>
        <v>3900000</v>
      </c>
      <c r="G417" s="3858"/>
      <c r="H417" s="3858"/>
      <c r="I417" s="3858"/>
      <c r="J417" s="3858"/>
      <c r="K417" s="3859"/>
      <c r="L417" s="3847"/>
    </row>
    <row r="418" spans="1:12" ht="30" customHeight="1" x14ac:dyDescent="0.2">
      <c r="A418" s="3456"/>
      <c r="B418" s="3687"/>
      <c r="C418" s="3576"/>
      <c r="D418" s="1789">
        <v>246000000</v>
      </c>
      <c r="E418" s="1790">
        <v>0.06</v>
      </c>
      <c r="F418" s="1789">
        <f>D418*E418</f>
        <v>14760000</v>
      </c>
      <c r="G418" s="3858"/>
      <c r="H418" s="3858"/>
      <c r="I418" s="3858"/>
      <c r="J418" s="3858"/>
      <c r="K418" s="3859"/>
      <c r="L418" s="3847"/>
    </row>
    <row r="419" spans="1:12" ht="30" customHeight="1" x14ac:dyDescent="0.2">
      <c r="A419" s="3456"/>
      <c r="B419" s="3687"/>
      <c r="C419" s="3576"/>
      <c r="D419" s="3819" t="s">
        <v>1899</v>
      </c>
      <c r="E419" s="3820"/>
      <c r="F419" s="1789">
        <v>1300000</v>
      </c>
      <c r="G419" s="3858"/>
      <c r="H419" s="3858"/>
      <c r="I419" s="3858"/>
      <c r="J419" s="3858"/>
      <c r="K419" s="3859"/>
      <c r="L419" s="3847"/>
    </row>
    <row r="420" spans="1:12" ht="30" customHeight="1" x14ac:dyDescent="0.2">
      <c r="A420" s="3456"/>
      <c r="B420" s="3687"/>
      <c r="C420" s="3576"/>
      <c r="D420" s="1774">
        <f>D416+D417+D418</f>
        <v>806000000</v>
      </c>
      <c r="E420" s="1775"/>
      <c r="F420" s="1774">
        <f>F416+F417+F418+F419</f>
        <v>47185000</v>
      </c>
      <c r="G420" s="1803"/>
      <c r="H420" s="1804"/>
      <c r="I420" s="1804"/>
      <c r="J420" s="1805"/>
      <c r="K420" s="3817"/>
      <c r="L420" s="3846"/>
    </row>
    <row r="421" spans="1:12" ht="30" customHeight="1" x14ac:dyDescent="0.2">
      <c r="A421" s="1572">
        <v>273</v>
      </c>
      <c r="B421" s="1570" t="s">
        <v>130</v>
      </c>
      <c r="C421" s="1783" t="s">
        <v>1346</v>
      </c>
      <c r="D421" s="1521">
        <v>20000000</v>
      </c>
      <c r="E421" s="1569">
        <v>0.05</v>
      </c>
      <c r="F421" s="1521">
        <f t="shared" si="41"/>
        <v>1000000</v>
      </c>
      <c r="G421" s="1521">
        <v>1000000</v>
      </c>
      <c r="H421" s="1521" t="s">
        <v>3798</v>
      </c>
      <c r="I421" s="24" t="s">
        <v>3801</v>
      </c>
      <c r="J421" s="1521">
        <f>G421</f>
        <v>1000000</v>
      </c>
      <c r="K421" s="1521">
        <f>F421-J421</f>
        <v>0</v>
      </c>
      <c r="L421" s="1570"/>
    </row>
    <row r="422" spans="1:12" ht="30" customHeight="1" x14ac:dyDescent="0.2">
      <c r="A422" s="3450">
        <v>274</v>
      </c>
      <c r="B422" s="1567" t="s">
        <v>131</v>
      </c>
      <c r="C422" s="385"/>
      <c r="D422" s="1521">
        <v>50000000</v>
      </c>
      <c r="E422" s="1569">
        <v>0.05</v>
      </c>
      <c r="F422" s="1521">
        <f>D422*E422</f>
        <v>2500000</v>
      </c>
      <c r="G422" s="1521">
        <v>2500000</v>
      </c>
      <c r="H422" s="1521" t="s">
        <v>2603</v>
      </c>
      <c r="I422" s="24" t="s">
        <v>397</v>
      </c>
      <c r="J422" s="1521">
        <f>G422</f>
        <v>2500000</v>
      </c>
      <c r="K422" s="1521">
        <f>F422-J422</f>
        <v>0</v>
      </c>
      <c r="L422" s="171"/>
    </row>
    <row r="423" spans="1:12" ht="30" customHeight="1" x14ac:dyDescent="0.2">
      <c r="A423" s="3451"/>
      <c r="B423" s="1568"/>
      <c r="C423" s="756"/>
      <c r="D423" s="1521">
        <v>50000000</v>
      </c>
      <c r="E423" s="1569">
        <v>0.05</v>
      </c>
      <c r="F423" s="1521">
        <f>D423*E423</f>
        <v>2500000</v>
      </c>
      <c r="G423" s="247"/>
      <c r="H423" s="247"/>
      <c r="I423" s="247"/>
      <c r="J423" s="247"/>
      <c r="K423" s="1521"/>
      <c r="L423" s="103" t="s">
        <v>3521</v>
      </c>
    </row>
    <row r="424" spans="1:12" ht="30" customHeight="1" x14ac:dyDescent="0.2">
      <c r="A424" s="1572">
        <v>275</v>
      </c>
      <c r="B424" s="1570" t="s">
        <v>132</v>
      </c>
      <c r="C424" s="1541" t="s">
        <v>1346</v>
      </c>
      <c r="D424" s="1521">
        <v>130000000</v>
      </c>
      <c r="E424" s="1569">
        <v>0.05</v>
      </c>
      <c r="F424" s="1521">
        <f t="shared" si="41"/>
        <v>6500000</v>
      </c>
      <c r="G424" s="1521">
        <v>6500000</v>
      </c>
      <c r="H424" s="1521" t="s">
        <v>3814</v>
      </c>
      <c r="I424" s="24" t="s">
        <v>2310</v>
      </c>
      <c r="J424" s="1521">
        <f>G424</f>
        <v>6500000</v>
      </c>
      <c r="K424" s="1521">
        <f>F424-J424</f>
        <v>0</v>
      </c>
      <c r="L424" s="1570"/>
    </row>
    <row r="425" spans="1:12" ht="30" customHeight="1" x14ac:dyDescent="0.2">
      <c r="A425" s="1572">
        <v>276</v>
      </c>
      <c r="B425" s="1570" t="s">
        <v>133</v>
      </c>
      <c r="C425" s="1541"/>
      <c r="D425" s="1521">
        <v>95000000</v>
      </c>
      <c r="E425" s="1569">
        <v>5.2999999999999999E-2</v>
      </c>
      <c r="F425" s="1521">
        <v>5000000</v>
      </c>
      <c r="G425" s="1521">
        <v>5000000</v>
      </c>
      <c r="H425" s="1521" t="s">
        <v>3853</v>
      </c>
      <c r="I425" s="24" t="s">
        <v>3639</v>
      </c>
      <c r="J425" s="1521">
        <f>G425</f>
        <v>5000000</v>
      </c>
      <c r="K425" s="1521">
        <f>F425-J425</f>
        <v>0</v>
      </c>
      <c r="L425" s="1570"/>
    </row>
    <row r="426" spans="1:12" ht="30" customHeight="1" x14ac:dyDescent="0.2">
      <c r="A426" s="1572">
        <v>277</v>
      </c>
      <c r="B426" s="1570" t="s">
        <v>134</v>
      </c>
      <c r="C426" s="1541"/>
      <c r="D426" s="1521">
        <v>200000000</v>
      </c>
      <c r="E426" s="1569">
        <v>0.05</v>
      </c>
      <c r="F426" s="1521">
        <f t="shared" si="41"/>
        <v>10000000</v>
      </c>
      <c r="G426" s="1521">
        <v>10000000</v>
      </c>
      <c r="H426" s="1521" t="s">
        <v>3814</v>
      </c>
      <c r="I426" s="24" t="s">
        <v>3864</v>
      </c>
      <c r="J426" s="1521">
        <f>G426</f>
        <v>10000000</v>
      </c>
      <c r="K426" s="1521">
        <f>F426-J426</f>
        <v>0</v>
      </c>
      <c r="L426" s="1570"/>
    </row>
    <row r="427" spans="1:12" ht="30" customHeight="1" x14ac:dyDescent="0.2">
      <c r="A427" s="3450">
        <v>278</v>
      </c>
      <c r="B427" s="3457" t="s">
        <v>634</v>
      </c>
      <c r="C427" s="3570" t="s">
        <v>3142</v>
      </c>
      <c r="D427" s="1521">
        <v>30000000</v>
      </c>
      <c r="E427" s="1569">
        <v>4.4999999999999998E-2</v>
      </c>
      <c r="F427" s="1521">
        <f>D427*E427</f>
        <v>1350000</v>
      </c>
      <c r="G427" s="3442">
        <v>1750000</v>
      </c>
      <c r="H427" s="3442" t="s">
        <v>3814</v>
      </c>
      <c r="I427" s="3452" t="s">
        <v>3823</v>
      </c>
      <c r="J427" s="3442">
        <f>G427</f>
        <v>1750000</v>
      </c>
      <c r="K427" s="3442">
        <f>(F427+F428)-J427</f>
        <v>0</v>
      </c>
      <c r="L427" s="3525"/>
    </row>
    <row r="428" spans="1:12" ht="30" customHeight="1" x14ac:dyDescent="0.2">
      <c r="A428" s="3451"/>
      <c r="B428" s="3458"/>
      <c r="C428" s="3571"/>
      <c r="D428" s="1521">
        <v>10000000</v>
      </c>
      <c r="E428" s="1569">
        <v>0.04</v>
      </c>
      <c r="F428" s="1521">
        <f>D428*E428</f>
        <v>400000</v>
      </c>
      <c r="G428" s="3443"/>
      <c r="H428" s="3443"/>
      <c r="I428" s="3453"/>
      <c r="J428" s="3443"/>
      <c r="K428" s="3443"/>
      <c r="L428" s="3526"/>
    </row>
    <row r="429" spans="1:12" ht="30" customHeight="1" x14ac:dyDescent="0.2">
      <c r="A429" s="1572">
        <v>279</v>
      </c>
      <c r="B429" s="1570" t="s">
        <v>135</v>
      </c>
      <c r="C429" s="1541"/>
      <c r="D429" s="1521">
        <v>11000000</v>
      </c>
      <c r="E429" s="1569">
        <v>4.4999999999999998E-2</v>
      </c>
      <c r="F429" s="1521">
        <v>500000</v>
      </c>
      <c r="G429" s="1521">
        <v>500000</v>
      </c>
      <c r="H429" s="1521" t="s">
        <v>3798</v>
      </c>
      <c r="I429" s="24" t="s">
        <v>3808</v>
      </c>
      <c r="J429" s="1521">
        <f>G429</f>
        <v>500000</v>
      </c>
      <c r="K429" s="1521">
        <f>F429-J429</f>
        <v>0</v>
      </c>
      <c r="L429" s="1570"/>
    </row>
    <row r="430" spans="1:12" ht="30" customHeight="1" x14ac:dyDescent="0.2">
      <c r="A430" s="1572">
        <v>280</v>
      </c>
      <c r="B430" s="1567" t="s">
        <v>468</v>
      </c>
      <c r="C430" s="421"/>
      <c r="D430" s="1542">
        <v>20000000</v>
      </c>
      <c r="E430" s="1569">
        <v>0.05</v>
      </c>
      <c r="F430" s="1542">
        <f t="shared" si="41"/>
        <v>1000000</v>
      </c>
      <c r="G430" s="1860">
        <v>1000000</v>
      </c>
      <c r="H430" s="1860" t="s">
        <v>1232</v>
      </c>
      <c r="I430" s="1860" t="s">
        <v>3894</v>
      </c>
      <c r="J430" s="1860">
        <f>G430</f>
        <v>1000000</v>
      </c>
      <c r="K430" s="1860">
        <f>F430-J430</f>
        <v>0</v>
      </c>
      <c r="L430" s="1077" t="s">
        <v>3232</v>
      </c>
    </row>
    <row r="431" spans="1:12" ht="30" customHeight="1" x14ac:dyDescent="0.2">
      <c r="A431" s="1516">
        <v>281</v>
      </c>
      <c r="B431" s="1567" t="s">
        <v>136</v>
      </c>
      <c r="C431" s="1541" t="s">
        <v>1345</v>
      </c>
      <c r="D431" s="1521">
        <v>40000000</v>
      </c>
      <c r="E431" s="1518">
        <v>0.05</v>
      </c>
      <c r="F431" s="1521">
        <f t="shared" si="41"/>
        <v>2000000</v>
      </c>
      <c r="G431" s="1521">
        <v>2000000</v>
      </c>
      <c r="H431" s="1521" t="s">
        <v>3814</v>
      </c>
      <c r="I431" s="1772" t="s">
        <v>3817</v>
      </c>
      <c r="J431" s="1521">
        <f>G431</f>
        <v>2000000</v>
      </c>
      <c r="K431" s="1521">
        <f>F431-J431</f>
        <v>0</v>
      </c>
      <c r="L431" s="1784"/>
    </row>
    <row r="432" spans="1:12" ht="30" customHeight="1" x14ac:dyDescent="0.2">
      <c r="A432" s="1572">
        <v>282</v>
      </c>
      <c r="B432" s="1570" t="s">
        <v>1054</v>
      </c>
      <c r="C432" s="1541"/>
      <c r="D432" s="1521">
        <v>20000000</v>
      </c>
      <c r="E432" s="1569">
        <v>0.04</v>
      </c>
      <c r="F432" s="1521">
        <f t="shared" si="41"/>
        <v>800000</v>
      </c>
      <c r="G432" s="1521">
        <v>800000</v>
      </c>
      <c r="H432" s="1521" t="s">
        <v>3830</v>
      </c>
      <c r="I432" s="1562" t="s">
        <v>2584</v>
      </c>
      <c r="J432" s="1521">
        <f>G432</f>
        <v>800000</v>
      </c>
      <c r="K432" s="1521">
        <f>F432-J432</f>
        <v>0</v>
      </c>
      <c r="L432" s="1570"/>
    </row>
    <row r="433" spans="1:12" ht="30" customHeight="1" x14ac:dyDescent="0.2">
      <c r="A433" s="3450"/>
      <c r="B433" s="3525" t="s">
        <v>137</v>
      </c>
      <c r="C433" s="3570" t="s">
        <v>1349</v>
      </c>
      <c r="D433" s="1521">
        <v>40823000</v>
      </c>
      <c r="E433" s="1518">
        <v>0.05</v>
      </c>
      <c r="F433" s="1521">
        <f>D433*E433</f>
        <v>2041150</v>
      </c>
      <c r="G433" s="1811">
        <v>2041150</v>
      </c>
      <c r="H433" s="1811" t="s">
        <v>3830</v>
      </c>
      <c r="I433" s="1811" t="s">
        <v>646</v>
      </c>
      <c r="J433" s="1519">
        <f>G433</f>
        <v>2041150</v>
      </c>
      <c r="K433" s="1519">
        <f>F433-J433</f>
        <v>0</v>
      </c>
      <c r="L433" s="813" t="s">
        <v>3522</v>
      </c>
    </row>
    <row r="434" spans="1:12" ht="30" customHeight="1" x14ac:dyDescent="0.2">
      <c r="A434" s="3451"/>
      <c r="B434" s="3526"/>
      <c r="C434" s="3571"/>
      <c r="D434" s="1769">
        <f>40823000+3800000</f>
        <v>44623000</v>
      </c>
      <c r="E434" s="1768">
        <v>0.05</v>
      </c>
      <c r="F434" s="1769">
        <f>D434*E434</f>
        <v>2231150</v>
      </c>
      <c r="G434" s="3615" t="s">
        <v>3805</v>
      </c>
      <c r="H434" s="3616"/>
      <c r="I434" s="3616"/>
      <c r="J434" s="3617"/>
      <c r="K434" s="1766"/>
      <c r="L434" s="813"/>
    </row>
    <row r="435" spans="1:12" ht="30" customHeight="1" x14ac:dyDescent="0.2">
      <c r="A435" s="3450">
        <v>284</v>
      </c>
      <c r="B435" s="3457" t="s">
        <v>1197</v>
      </c>
      <c r="C435" s="3570" t="s">
        <v>379</v>
      </c>
      <c r="D435" s="1596">
        <v>110000000</v>
      </c>
      <c r="E435" s="1597">
        <v>4.4999999999999998E-2</v>
      </c>
      <c r="F435" s="1596">
        <f t="shared" si="41"/>
        <v>4950000</v>
      </c>
      <c r="G435" s="3442">
        <v>94500000</v>
      </c>
      <c r="H435" s="3442" t="s">
        <v>3814</v>
      </c>
      <c r="I435" s="3452" t="s">
        <v>3822</v>
      </c>
      <c r="J435" s="3442">
        <v>9450000</v>
      </c>
      <c r="K435" s="3442">
        <f>(F435+F436+F437)-J435</f>
        <v>0</v>
      </c>
      <c r="L435" s="3495"/>
    </row>
    <row r="436" spans="1:12" ht="30" customHeight="1" x14ac:dyDescent="0.2">
      <c r="A436" s="3456"/>
      <c r="B436" s="3459"/>
      <c r="C436" s="3576"/>
      <c r="D436" s="1596">
        <v>60000000</v>
      </c>
      <c r="E436" s="1598">
        <v>0.05</v>
      </c>
      <c r="F436" s="1596">
        <f t="shared" si="41"/>
        <v>3000000</v>
      </c>
      <c r="G436" s="3461"/>
      <c r="H436" s="3461"/>
      <c r="I436" s="3653"/>
      <c r="J436" s="3461"/>
      <c r="K436" s="3461"/>
      <c r="L436" s="3855"/>
    </row>
    <row r="437" spans="1:12" ht="30" customHeight="1" x14ac:dyDescent="0.2">
      <c r="A437" s="3451"/>
      <c r="B437" s="3458"/>
      <c r="C437" s="3571"/>
      <c r="D437" s="1596">
        <v>30000000</v>
      </c>
      <c r="E437" s="1598">
        <v>0.05</v>
      </c>
      <c r="F437" s="1596">
        <f t="shared" si="41"/>
        <v>1500000</v>
      </c>
      <c r="G437" s="3443"/>
      <c r="H437" s="3443"/>
      <c r="I437" s="3453"/>
      <c r="J437" s="3443"/>
      <c r="K437" s="3443"/>
      <c r="L437" s="1528" t="s">
        <v>3028</v>
      </c>
    </row>
    <row r="438" spans="1:12" ht="30" customHeight="1" x14ac:dyDescent="0.2">
      <c r="A438" s="3450"/>
      <c r="B438" s="3457" t="s">
        <v>1197</v>
      </c>
      <c r="C438" s="3570"/>
      <c r="D438" s="1596">
        <v>100000000</v>
      </c>
      <c r="E438" s="1598">
        <v>4.4999999999999998E-2</v>
      </c>
      <c r="F438" s="1596">
        <f t="shared" si="41"/>
        <v>4500000</v>
      </c>
      <c r="G438" s="3806" t="s">
        <v>3916</v>
      </c>
      <c r="H438" s="3807"/>
      <c r="I438" s="3807"/>
      <c r="J438" s="3808"/>
      <c r="K438" s="3442"/>
      <c r="L438" s="813" t="s">
        <v>3920</v>
      </c>
    </row>
    <row r="439" spans="1:12" ht="30" customHeight="1" x14ac:dyDescent="0.2">
      <c r="A439" s="3456"/>
      <c r="B439" s="3459"/>
      <c r="C439" s="3576"/>
      <c r="D439" s="1596">
        <v>60000000</v>
      </c>
      <c r="E439" s="1598">
        <v>0.05</v>
      </c>
      <c r="F439" s="1596">
        <f t="shared" si="41"/>
        <v>3000000</v>
      </c>
      <c r="G439" s="3809"/>
      <c r="H439" s="3810"/>
      <c r="I439" s="3810"/>
      <c r="J439" s="3811"/>
      <c r="K439" s="3461"/>
      <c r="L439" s="1389"/>
    </row>
    <row r="440" spans="1:12" ht="30" customHeight="1" x14ac:dyDescent="0.2">
      <c r="A440" s="3456"/>
      <c r="B440" s="3459"/>
      <c r="C440" s="3576"/>
      <c r="D440" s="1596">
        <v>30000000</v>
      </c>
      <c r="E440" s="1598">
        <v>0.05</v>
      </c>
      <c r="F440" s="1596">
        <f t="shared" si="41"/>
        <v>1500000</v>
      </c>
      <c r="G440" s="3812"/>
      <c r="H440" s="3813"/>
      <c r="I440" s="3813"/>
      <c r="J440" s="3814"/>
      <c r="K440" s="3461"/>
      <c r="L440" s="813" t="s">
        <v>3918</v>
      </c>
    </row>
    <row r="441" spans="1:12" ht="30" customHeight="1" x14ac:dyDescent="0.2">
      <c r="A441" s="3451"/>
      <c r="B441" s="3458"/>
      <c r="C441" s="3571"/>
      <c r="D441" s="1596">
        <v>40000000</v>
      </c>
      <c r="E441" s="1598">
        <v>0.05</v>
      </c>
      <c r="F441" s="1596">
        <f t="shared" si="41"/>
        <v>2000000</v>
      </c>
      <c r="G441" s="3325" t="s">
        <v>3917</v>
      </c>
      <c r="H441" s="3340"/>
      <c r="I441" s="3340"/>
      <c r="J441" s="3341"/>
      <c r="K441" s="3443"/>
      <c r="L441" s="567"/>
    </row>
    <row r="442" spans="1:12" ht="30" customHeight="1" x14ac:dyDescent="0.2">
      <c r="A442" s="1572">
        <v>285</v>
      </c>
      <c r="B442" s="1570" t="s">
        <v>138</v>
      </c>
      <c r="C442" s="1541" t="s">
        <v>2408</v>
      </c>
      <c r="D442" s="1521">
        <v>100000000</v>
      </c>
      <c r="E442" s="1569">
        <v>7.0000000000000007E-2</v>
      </c>
      <c r="F442" s="1521">
        <f t="shared" si="41"/>
        <v>7000000.0000000009</v>
      </c>
      <c r="G442" s="1521">
        <v>7000000</v>
      </c>
      <c r="H442" s="1521" t="s">
        <v>3814</v>
      </c>
      <c r="I442" s="24" t="s">
        <v>2336</v>
      </c>
      <c r="J442" s="1521">
        <f>G442</f>
        <v>7000000</v>
      </c>
      <c r="K442" s="1521">
        <f>F442-J442</f>
        <v>0</v>
      </c>
      <c r="L442" s="1570"/>
    </row>
    <row r="443" spans="1:12" ht="30" customHeight="1" x14ac:dyDescent="0.2">
      <c r="A443" s="1514">
        <v>286</v>
      </c>
      <c r="B443" s="1567" t="s">
        <v>1715</v>
      </c>
      <c r="C443" s="1571"/>
      <c r="D443" s="1542">
        <v>35000000</v>
      </c>
      <c r="E443" s="1080">
        <v>0.05</v>
      </c>
      <c r="F443" s="1542">
        <v>1700000</v>
      </c>
      <c r="G443" s="1542">
        <v>1700000</v>
      </c>
      <c r="H443" s="1542" t="s">
        <v>3570</v>
      </c>
      <c r="I443" s="21" t="s">
        <v>312</v>
      </c>
      <c r="J443" s="1542">
        <f>G443</f>
        <v>1700000</v>
      </c>
      <c r="K443" s="2186">
        <f>F443-J443</f>
        <v>0</v>
      </c>
      <c r="L443" s="2189"/>
    </row>
    <row r="444" spans="1:12" ht="30" customHeight="1" x14ac:dyDescent="0.2">
      <c r="A444" s="3450">
        <v>287</v>
      </c>
      <c r="B444" s="3457" t="s">
        <v>140</v>
      </c>
      <c r="C444" s="3570"/>
      <c r="D444" s="1521">
        <v>15000000</v>
      </c>
      <c r="E444" s="1518">
        <v>0.05</v>
      </c>
      <c r="F444" s="1521">
        <f t="shared" si="41"/>
        <v>750000</v>
      </c>
      <c r="G444" s="3442">
        <v>3000000</v>
      </c>
      <c r="H444" s="3442" t="s">
        <v>3814</v>
      </c>
      <c r="I444" s="3452" t="s">
        <v>3114</v>
      </c>
      <c r="J444" s="3442">
        <f>G444+G445</f>
        <v>3000000</v>
      </c>
      <c r="K444" s="3442">
        <f>(F444+F445)-J444</f>
        <v>0</v>
      </c>
      <c r="L444" s="3446"/>
    </row>
    <row r="445" spans="1:12" ht="30" customHeight="1" x14ac:dyDescent="0.2">
      <c r="A445" s="3451"/>
      <c r="B445" s="3458"/>
      <c r="C445" s="3571"/>
      <c r="D445" s="1521">
        <v>45000000</v>
      </c>
      <c r="E445" s="1518">
        <v>0.05</v>
      </c>
      <c r="F445" s="1521">
        <f t="shared" si="41"/>
        <v>2250000</v>
      </c>
      <c r="G445" s="3443"/>
      <c r="H445" s="3443"/>
      <c r="I445" s="3453"/>
      <c r="J445" s="3443"/>
      <c r="K445" s="3443"/>
      <c r="L445" s="3447"/>
    </row>
    <row r="446" spans="1:12" ht="30" customHeight="1" x14ac:dyDescent="0.2">
      <c r="A446" s="1572">
        <v>288</v>
      </c>
      <c r="B446" s="1570" t="s">
        <v>141</v>
      </c>
      <c r="C446" s="1541" t="s">
        <v>1344</v>
      </c>
      <c r="D446" s="1521">
        <v>50000000</v>
      </c>
      <c r="E446" s="1569">
        <v>4.4999999999999998E-2</v>
      </c>
      <c r="F446" s="1521">
        <f t="shared" si="41"/>
        <v>2250000</v>
      </c>
      <c r="G446" s="1521">
        <v>2250000</v>
      </c>
      <c r="H446" s="1521" t="s">
        <v>3814</v>
      </c>
      <c r="I446" s="24" t="s">
        <v>2209</v>
      </c>
      <c r="J446" s="1521">
        <f t="shared" ref="J446:J456" si="42">G446</f>
        <v>2250000</v>
      </c>
      <c r="K446" s="1521">
        <f>F446-J446</f>
        <v>0</v>
      </c>
      <c r="L446" s="1570"/>
    </row>
    <row r="447" spans="1:12" ht="30" customHeight="1" x14ac:dyDescent="0.2">
      <c r="A447" s="1572">
        <v>289</v>
      </c>
      <c r="B447" s="1570" t="s">
        <v>653</v>
      </c>
      <c r="C447" s="1541" t="s">
        <v>1354</v>
      </c>
      <c r="D447" s="1521">
        <v>25000000</v>
      </c>
      <c r="E447" s="1569">
        <v>5.3999999999999999E-2</v>
      </c>
      <c r="F447" s="1521">
        <f t="shared" si="41"/>
        <v>1350000</v>
      </c>
      <c r="G447" s="1521">
        <v>1350000</v>
      </c>
      <c r="H447" s="1521" t="s">
        <v>3830</v>
      </c>
      <c r="I447" s="21" t="s">
        <v>3837</v>
      </c>
      <c r="J447" s="1521">
        <f t="shared" si="42"/>
        <v>1350000</v>
      </c>
      <c r="K447" s="1521">
        <f>F447-J447</f>
        <v>0</v>
      </c>
      <c r="L447" s="1570"/>
    </row>
    <row r="448" spans="1:12" ht="30" customHeight="1" x14ac:dyDescent="0.2">
      <c r="A448" s="3450">
        <v>290</v>
      </c>
      <c r="B448" s="3457" t="s">
        <v>3986</v>
      </c>
      <c r="C448" s="1541" t="s">
        <v>1343</v>
      </c>
      <c r="D448" s="1521">
        <v>800000000</v>
      </c>
      <c r="E448" s="1569">
        <v>5.5E-2</v>
      </c>
      <c r="F448" s="1521">
        <f t="shared" si="41"/>
        <v>44000000</v>
      </c>
      <c r="G448" s="3521" t="s">
        <v>3987</v>
      </c>
      <c r="H448" s="3613"/>
      <c r="I448" s="3613"/>
      <c r="J448" s="3522"/>
      <c r="K448" s="1521"/>
      <c r="L448" s="1902" t="s">
        <v>639</v>
      </c>
    </row>
    <row r="449" spans="1:12" ht="30" customHeight="1" x14ac:dyDescent="0.2">
      <c r="A449" s="3456"/>
      <c r="B449" s="3459"/>
      <c r="C449" s="1900"/>
      <c r="D449" s="1894">
        <v>200000000</v>
      </c>
      <c r="E449" s="3694" t="s">
        <v>3988</v>
      </c>
      <c r="F449" s="3695"/>
      <c r="G449" s="3523"/>
      <c r="H449" s="3614"/>
      <c r="I449" s="3614"/>
      <c r="J449" s="3524"/>
      <c r="K449" s="1894"/>
      <c r="L449" s="171"/>
    </row>
    <row r="450" spans="1:12" ht="30" customHeight="1" x14ac:dyDescent="0.2">
      <c r="A450" s="3456"/>
      <c r="B450" s="3459"/>
      <c r="C450" s="1900"/>
      <c r="D450" s="1894">
        <v>700000000</v>
      </c>
      <c r="E450" s="1903"/>
      <c r="F450" s="1894"/>
      <c r="G450" s="3478" t="s">
        <v>3991</v>
      </c>
      <c r="H450" s="3479"/>
      <c r="I450" s="3479"/>
      <c r="J450" s="3480"/>
      <c r="K450" s="1894"/>
      <c r="L450" s="1902" t="s">
        <v>3994</v>
      </c>
    </row>
    <row r="451" spans="1:12" ht="30" customHeight="1" x14ac:dyDescent="0.2">
      <c r="A451" s="3456"/>
      <c r="B451" s="3459"/>
      <c r="C451" s="1900"/>
      <c r="D451" s="1894">
        <v>400000000</v>
      </c>
      <c r="E451" s="1903"/>
      <c r="F451" s="1894"/>
      <c r="G451" s="3478" t="s">
        <v>3992</v>
      </c>
      <c r="H451" s="3479"/>
      <c r="I451" s="3479"/>
      <c r="J451" s="3480"/>
      <c r="K451" s="1894"/>
      <c r="L451" s="1902" t="s">
        <v>3995</v>
      </c>
    </row>
    <row r="452" spans="1:12" ht="30" customHeight="1" x14ac:dyDescent="0.2">
      <c r="A452" s="3456"/>
      <c r="B452" s="3459"/>
      <c r="C452" s="1900"/>
      <c r="D452" s="1894">
        <v>50000000</v>
      </c>
      <c r="E452" s="1903"/>
      <c r="F452" s="1894"/>
      <c r="G452" s="3478" t="s">
        <v>3993</v>
      </c>
      <c r="H452" s="3479"/>
      <c r="I452" s="3479"/>
      <c r="J452" s="3480"/>
      <c r="K452" s="1894"/>
      <c r="L452" s="171"/>
    </row>
    <row r="453" spans="1:12" ht="30" customHeight="1" x14ac:dyDescent="0.2">
      <c r="A453" s="3451"/>
      <c r="B453" s="3458"/>
      <c r="C453" s="1900"/>
      <c r="D453" s="1897">
        <v>1150000000</v>
      </c>
      <c r="E453" s="479">
        <v>7.0000000000000007E-2</v>
      </c>
      <c r="F453" s="1897">
        <f>D453*E453</f>
        <v>80500000.000000015</v>
      </c>
      <c r="G453" s="3478" t="s">
        <v>3996</v>
      </c>
      <c r="H453" s="3479"/>
      <c r="I453" s="3479"/>
      <c r="J453" s="3480"/>
      <c r="K453" s="1894"/>
      <c r="L453" s="1902" t="s">
        <v>3997</v>
      </c>
    </row>
    <row r="454" spans="1:12" ht="30" customHeight="1" x14ac:dyDescent="0.2">
      <c r="A454" s="1572">
        <v>292</v>
      </c>
      <c r="B454" s="1570" t="s">
        <v>143</v>
      </c>
      <c r="C454" s="1571" t="s">
        <v>1354</v>
      </c>
      <c r="D454" s="1521">
        <v>100000000</v>
      </c>
      <c r="E454" s="1569">
        <v>0.05</v>
      </c>
      <c r="F454" s="1521">
        <f t="shared" si="41"/>
        <v>5000000</v>
      </c>
      <c r="G454" s="1521">
        <v>5000000</v>
      </c>
      <c r="H454" s="1521" t="s">
        <v>3830</v>
      </c>
      <c r="I454" s="70" t="s">
        <v>2701</v>
      </c>
      <c r="J454" s="1521">
        <f t="shared" si="42"/>
        <v>5000000</v>
      </c>
      <c r="K454" s="1521">
        <f>F454-J454</f>
        <v>0</v>
      </c>
      <c r="L454" s="1570"/>
    </row>
    <row r="455" spans="1:12" ht="30" customHeight="1" x14ac:dyDescent="0.2">
      <c r="A455" s="1572">
        <v>293</v>
      </c>
      <c r="B455" s="1570" t="s">
        <v>144</v>
      </c>
      <c r="C455" s="1541" t="s">
        <v>1354</v>
      </c>
      <c r="D455" s="1521">
        <v>75000000</v>
      </c>
      <c r="E455" s="1569">
        <v>0.04</v>
      </c>
      <c r="F455" s="1521">
        <f>D455*E455</f>
        <v>3000000</v>
      </c>
      <c r="G455" s="1521">
        <v>3000000</v>
      </c>
      <c r="H455" s="1521" t="s">
        <v>3830</v>
      </c>
      <c r="I455" s="21" t="s">
        <v>2307</v>
      </c>
      <c r="J455" s="1521">
        <f t="shared" si="42"/>
        <v>3000000</v>
      </c>
      <c r="K455" s="1521">
        <f>F455-J455</f>
        <v>0</v>
      </c>
      <c r="L455" s="1570"/>
    </row>
    <row r="456" spans="1:12" ht="30" customHeight="1" x14ac:dyDescent="0.2">
      <c r="A456" s="3450">
        <v>295</v>
      </c>
      <c r="B456" s="1567" t="s">
        <v>145</v>
      </c>
      <c r="C456" s="3570" t="s">
        <v>1354</v>
      </c>
      <c r="D456" s="1521">
        <v>100000000</v>
      </c>
      <c r="E456" s="1569">
        <v>0.05</v>
      </c>
      <c r="F456" s="1521">
        <f t="shared" si="41"/>
        <v>5000000</v>
      </c>
      <c r="G456" s="3442">
        <v>5500000</v>
      </c>
      <c r="H456" s="3442" t="s">
        <v>3830</v>
      </c>
      <c r="I456" s="3442" t="s">
        <v>3840</v>
      </c>
      <c r="J456" s="3442">
        <f t="shared" si="42"/>
        <v>5500000</v>
      </c>
      <c r="K456" s="3442">
        <f>(F456+F457)-G456</f>
        <v>0</v>
      </c>
      <c r="L456" s="3495"/>
    </row>
    <row r="457" spans="1:12" ht="30" customHeight="1" x14ac:dyDescent="0.2">
      <c r="A457" s="3451"/>
      <c r="B457" s="1570" t="s">
        <v>727</v>
      </c>
      <c r="C457" s="3571"/>
      <c r="D457" s="1521">
        <v>10000000</v>
      </c>
      <c r="E457" s="1569">
        <v>0.05</v>
      </c>
      <c r="F457" s="1521">
        <f>D457*E457</f>
        <v>500000</v>
      </c>
      <c r="G457" s="3443"/>
      <c r="H457" s="3443"/>
      <c r="I457" s="3443"/>
      <c r="J457" s="3443"/>
      <c r="K457" s="3443"/>
      <c r="L457" s="3496"/>
    </row>
    <row r="458" spans="1:12" ht="30" customHeight="1" x14ac:dyDescent="0.2">
      <c r="A458" s="1572">
        <v>296</v>
      </c>
      <c r="B458" s="1570" t="s">
        <v>146</v>
      </c>
      <c r="C458" s="1541" t="s">
        <v>1378</v>
      </c>
      <c r="D458" s="1521">
        <v>35000000</v>
      </c>
      <c r="E458" s="1569">
        <v>0.04</v>
      </c>
      <c r="F458" s="1521">
        <f t="shared" si="41"/>
        <v>1400000</v>
      </c>
      <c r="G458" s="1521">
        <v>1400000</v>
      </c>
      <c r="H458" s="1521" t="s">
        <v>2733</v>
      </c>
      <c r="I458" s="24" t="s">
        <v>1140</v>
      </c>
      <c r="J458" s="1521">
        <f>G458</f>
        <v>1400000</v>
      </c>
      <c r="K458" s="1521">
        <f>F458-J458</f>
        <v>0</v>
      </c>
      <c r="L458" s="1570"/>
    </row>
    <row r="459" spans="1:12" ht="30" customHeight="1" x14ac:dyDescent="0.2">
      <c r="A459" s="1572">
        <v>298</v>
      </c>
      <c r="B459" s="1570" t="s">
        <v>148</v>
      </c>
      <c r="C459" s="1541" t="s">
        <v>1165</v>
      </c>
      <c r="D459" s="1521">
        <v>40000000</v>
      </c>
      <c r="E459" s="1569">
        <v>5.1999999999999998E-2</v>
      </c>
      <c r="F459" s="1521">
        <v>2000000</v>
      </c>
      <c r="G459" s="1521">
        <v>2000000</v>
      </c>
      <c r="H459" s="1521" t="s">
        <v>1232</v>
      </c>
      <c r="I459" s="24" t="s">
        <v>1010</v>
      </c>
      <c r="J459" s="1521">
        <f>G459</f>
        <v>2000000</v>
      </c>
      <c r="K459" s="1521">
        <f>F459-J459</f>
        <v>0</v>
      </c>
      <c r="L459" s="1570"/>
    </row>
    <row r="460" spans="1:12" ht="30" customHeight="1" x14ac:dyDescent="0.2">
      <c r="A460" s="1572">
        <v>300</v>
      </c>
      <c r="B460" s="1567" t="s">
        <v>150</v>
      </c>
      <c r="C460" s="1571" t="s">
        <v>917</v>
      </c>
      <c r="D460" s="1542">
        <v>178000000</v>
      </c>
      <c r="E460" s="1569">
        <v>5.8999999999999997E-2</v>
      </c>
      <c r="F460" s="1542">
        <v>10500000</v>
      </c>
      <c r="G460" s="1853">
        <v>10500000</v>
      </c>
      <c r="H460" s="1853" t="s">
        <v>1232</v>
      </c>
      <c r="I460" s="24" t="s">
        <v>3605</v>
      </c>
      <c r="J460" s="1853">
        <f>G460</f>
        <v>10500000</v>
      </c>
      <c r="K460" s="1542">
        <f>F460-J460</f>
        <v>0</v>
      </c>
      <c r="L460" s="1570"/>
    </row>
    <row r="461" spans="1:12" ht="30" customHeight="1" x14ac:dyDescent="0.2">
      <c r="A461" s="1572">
        <v>301</v>
      </c>
      <c r="B461" s="1570" t="s">
        <v>2477</v>
      </c>
      <c r="C461" s="1541"/>
      <c r="D461" s="1521">
        <v>10000000</v>
      </c>
      <c r="E461" s="1518">
        <v>0.04</v>
      </c>
      <c r="F461" s="1521">
        <f>D461*E461</f>
        <v>400000</v>
      </c>
      <c r="G461" s="1521">
        <v>400000</v>
      </c>
      <c r="H461" s="1521" t="s">
        <v>1232</v>
      </c>
      <c r="I461" s="1543" t="s">
        <v>744</v>
      </c>
      <c r="J461" s="1521">
        <f>G461</f>
        <v>400000</v>
      </c>
      <c r="K461" s="1521">
        <f>F461-J461</f>
        <v>0</v>
      </c>
      <c r="L461" s="103"/>
    </row>
    <row r="462" spans="1:12" ht="30" customHeight="1" x14ac:dyDescent="0.2">
      <c r="A462" s="1572">
        <v>302</v>
      </c>
      <c r="B462" s="1570" t="s">
        <v>152</v>
      </c>
      <c r="C462" s="1541" t="s">
        <v>1351</v>
      </c>
      <c r="D462" s="1521">
        <v>60000000</v>
      </c>
      <c r="E462" s="1569">
        <v>4.4999999999999998E-2</v>
      </c>
      <c r="F462" s="1521">
        <f t="shared" si="41"/>
        <v>2700000</v>
      </c>
      <c r="G462" s="1521">
        <v>2700000</v>
      </c>
      <c r="H462" s="1521" t="s">
        <v>3830</v>
      </c>
      <c r="I462" s="24" t="s">
        <v>1162</v>
      </c>
      <c r="J462" s="1521">
        <f>G462</f>
        <v>2700000</v>
      </c>
      <c r="K462" s="1521">
        <f>F462-J462</f>
        <v>0</v>
      </c>
      <c r="L462" s="1570"/>
    </row>
    <row r="463" spans="1:12" ht="30" customHeight="1" x14ac:dyDescent="0.2">
      <c r="A463" s="3821"/>
      <c r="B463" s="3457" t="s">
        <v>153</v>
      </c>
      <c r="C463" s="3570" t="s">
        <v>1909</v>
      </c>
      <c r="D463" s="3575">
        <v>1846000000</v>
      </c>
      <c r="E463" s="3683">
        <f>F463/D463</f>
        <v>7.3174431202600212E-2</v>
      </c>
      <c r="F463" s="3575">
        <v>135080000</v>
      </c>
      <c r="G463" s="1860"/>
      <c r="H463" s="1860"/>
      <c r="I463" s="1860"/>
      <c r="J463" s="1860"/>
      <c r="K463" s="1860"/>
      <c r="L463" s="1438" t="s">
        <v>3451</v>
      </c>
    </row>
    <row r="464" spans="1:12" ht="30" customHeight="1" x14ac:dyDescent="0.2">
      <c r="A464" s="3822"/>
      <c r="B464" s="3459"/>
      <c r="C464" s="3576"/>
      <c r="D464" s="3575"/>
      <c r="E464" s="3683"/>
      <c r="F464" s="3575"/>
      <c r="G464" s="247"/>
      <c r="H464" s="247"/>
      <c r="I464" s="247"/>
      <c r="J464" s="247"/>
      <c r="K464" s="1860"/>
      <c r="L464" s="1438" t="s">
        <v>3470</v>
      </c>
    </row>
    <row r="465" spans="1:12" ht="30" customHeight="1" x14ac:dyDescent="0.2">
      <c r="A465" s="3822"/>
      <c r="B465" s="3459"/>
      <c r="C465" s="3576"/>
      <c r="D465" s="1631">
        <v>1916000000</v>
      </c>
      <c r="E465" s="1652"/>
      <c r="F465" s="1643"/>
      <c r="G465" s="3478" t="s">
        <v>3589</v>
      </c>
      <c r="H465" s="3479"/>
      <c r="I465" s="3479"/>
      <c r="J465" s="3480"/>
      <c r="K465" s="1860"/>
      <c r="L465" s="1438" t="s">
        <v>3590</v>
      </c>
    </row>
    <row r="466" spans="1:12" ht="30" customHeight="1" x14ac:dyDescent="0.2">
      <c r="A466" s="3822"/>
      <c r="B466" s="3459"/>
      <c r="C466" s="3576"/>
      <c r="D466" s="1854"/>
      <c r="E466" s="479"/>
      <c r="F466" s="1850"/>
      <c r="G466" s="1850">
        <v>50000000</v>
      </c>
      <c r="H466" s="1850" t="s">
        <v>3909</v>
      </c>
      <c r="I466" s="1850" t="s">
        <v>2591</v>
      </c>
      <c r="J466" s="3454">
        <f>G466+G467+G468</f>
        <v>138440000</v>
      </c>
      <c r="K466" s="3442">
        <f>138440000-J466</f>
        <v>0</v>
      </c>
      <c r="L466" s="1438"/>
    </row>
    <row r="467" spans="1:12" ht="30" customHeight="1" x14ac:dyDescent="0.2">
      <c r="A467" s="3822"/>
      <c r="B467" s="3459"/>
      <c r="C467" s="3576"/>
      <c r="D467" s="1952"/>
      <c r="E467" s="479"/>
      <c r="F467" s="1951"/>
      <c r="G467" s="1953">
        <v>50000000</v>
      </c>
      <c r="H467" s="1953" t="s">
        <v>3643</v>
      </c>
      <c r="I467" s="1954" t="s">
        <v>2591</v>
      </c>
      <c r="J467" s="3818"/>
      <c r="K467" s="3461"/>
      <c r="L467" s="1438"/>
    </row>
    <row r="468" spans="1:12" ht="30" customHeight="1" x14ac:dyDescent="0.2">
      <c r="A468" s="3823"/>
      <c r="B468" s="3458"/>
      <c r="C468" s="3571"/>
      <c r="D468" s="1960"/>
      <c r="E468" s="1959"/>
      <c r="F468" s="1960"/>
      <c r="G468" s="1961">
        <v>38440000</v>
      </c>
      <c r="H468" s="1961" t="s">
        <v>4031</v>
      </c>
      <c r="I468" s="1978" t="s">
        <v>1115</v>
      </c>
      <c r="J468" s="3455"/>
      <c r="K468" s="3443"/>
      <c r="L468" s="1438"/>
    </row>
    <row r="469" spans="1:12" ht="30" customHeight="1" x14ac:dyDescent="0.2">
      <c r="A469" s="3450">
        <v>305</v>
      </c>
      <c r="B469" s="3457" t="s">
        <v>155</v>
      </c>
      <c r="C469" s="3570"/>
      <c r="D469" s="3442">
        <v>750000000</v>
      </c>
      <c r="E469" s="3444">
        <v>6.5000000000000002E-2</v>
      </c>
      <c r="F469" s="3442">
        <v>48000000</v>
      </c>
      <c r="G469" s="1521">
        <v>16000000</v>
      </c>
      <c r="H469" s="1521" t="s">
        <v>3498</v>
      </c>
      <c r="I469" s="24" t="s">
        <v>2524</v>
      </c>
      <c r="J469" s="1616">
        <f>G469</f>
        <v>16000000</v>
      </c>
      <c r="K469" s="1616">
        <f>38000000-22000000-J469</f>
        <v>0</v>
      </c>
      <c r="L469" s="385" t="s">
        <v>3126</v>
      </c>
    </row>
    <row r="470" spans="1:12" ht="30" customHeight="1" x14ac:dyDescent="0.2">
      <c r="A470" s="3456"/>
      <c r="B470" s="3459"/>
      <c r="C470" s="3576"/>
      <c r="D470" s="3461"/>
      <c r="E470" s="3474"/>
      <c r="F470" s="3461"/>
      <c r="G470" s="1521">
        <v>10000000</v>
      </c>
      <c r="H470" s="1521" t="s">
        <v>3909</v>
      </c>
      <c r="I470" s="24" t="s">
        <v>3910</v>
      </c>
      <c r="J470" s="3442">
        <f>G470+G471+G472</f>
        <v>38000000</v>
      </c>
      <c r="K470" s="3442">
        <f>38000000-J470</f>
        <v>0</v>
      </c>
      <c r="L470" s="385" t="s">
        <v>3486</v>
      </c>
    </row>
    <row r="471" spans="1:12" ht="30" customHeight="1" x14ac:dyDescent="0.2">
      <c r="A471" s="3456"/>
      <c r="B471" s="3459"/>
      <c r="C471" s="3576"/>
      <c r="D471" s="3461"/>
      <c r="E471" s="3474"/>
      <c r="F471" s="3461"/>
      <c r="G471" s="1958">
        <v>9800000</v>
      </c>
      <c r="H471" s="1958" t="s">
        <v>4031</v>
      </c>
      <c r="I471" s="24" t="s">
        <v>2524</v>
      </c>
      <c r="J471" s="3461"/>
      <c r="K471" s="3461"/>
      <c r="L471" s="385"/>
    </row>
    <row r="472" spans="1:12" ht="30" customHeight="1" x14ac:dyDescent="0.2">
      <c r="A472" s="3451"/>
      <c r="B472" s="3458"/>
      <c r="C472" s="3571"/>
      <c r="D472" s="3443"/>
      <c r="E472" s="3445"/>
      <c r="F472" s="3443"/>
      <c r="G472" s="1958">
        <v>18200000</v>
      </c>
      <c r="H472" s="1958" t="s">
        <v>4031</v>
      </c>
      <c r="I472" s="24" t="s">
        <v>2524</v>
      </c>
      <c r="J472" s="3443"/>
      <c r="K472" s="3443"/>
      <c r="L472" s="385"/>
    </row>
    <row r="473" spans="1:12" ht="30" customHeight="1" x14ac:dyDescent="0.2">
      <c r="A473" s="1572">
        <v>307</v>
      </c>
      <c r="B473" s="1570" t="s">
        <v>157</v>
      </c>
      <c r="C473" s="1541" t="s">
        <v>1378</v>
      </c>
      <c r="D473" s="1521">
        <v>260000000</v>
      </c>
      <c r="E473" s="1569">
        <v>0.05</v>
      </c>
      <c r="F473" s="1521">
        <f t="shared" si="41"/>
        <v>13000000</v>
      </c>
      <c r="G473" s="1521">
        <v>13000000</v>
      </c>
      <c r="H473" s="1521" t="s">
        <v>2733</v>
      </c>
      <c r="I473" s="24" t="s">
        <v>2539</v>
      </c>
      <c r="J473" s="1521">
        <f>G473</f>
        <v>13000000</v>
      </c>
      <c r="K473" s="1521">
        <f>F473-J473</f>
        <v>0</v>
      </c>
      <c r="L473" s="1570"/>
    </row>
    <row r="474" spans="1:12" ht="30" customHeight="1" x14ac:dyDescent="0.2">
      <c r="A474" s="1514">
        <v>308</v>
      </c>
      <c r="B474" s="1567" t="s">
        <v>158</v>
      </c>
      <c r="C474" s="1571" t="s">
        <v>1349</v>
      </c>
      <c r="D474" s="1542">
        <v>300000000</v>
      </c>
      <c r="E474" s="1569">
        <v>0.05</v>
      </c>
      <c r="F474" s="1542">
        <f t="shared" si="41"/>
        <v>15000000</v>
      </c>
      <c r="G474" s="3442">
        <v>30000000</v>
      </c>
      <c r="H474" s="3442" t="s">
        <v>3599</v>
      </c>
      <c r="I474" s="3586" t="s">
        <v>3603</v>
      </c>
      <c r="J474" s="3442">
        <f>G474</f>
        <v>30000000</v>
      </c>
      <c r="K474" s="3442">
        <f>(F474+F475)-J474</f>
        <v>-6000000</v>
      </c>
      <c r="L474" s="3627" t="s">
        <v>3642</v>
      </c>
    </row>
    <row r="475" spans="1:12" ht="30" customHeight="1" x14ac:dyDescent="0.2">
      <c r="A475" s="1572">
        <v>309</v>
      </c>
      <c r="B475" s="1567" t="s">
        <v>1994</v>
      </c>
      <c r="C475" s="1571" t="s">
        <v>380</v>
      </c>
      <c r="D475" s="1521">
        <v>180000000</v>
      </c>
      <c r="E475" s="1518">
        <v>0.05</v>
      </c>
      <c r="F475" s="1521">
        <f>D475*E475</f>
        <v>9000000</v>
      </c>
      <c r="G475" s="3443"/>
      <c r="H475" s="3443"/>
      <c r="I475" s="3587"/>
      <c r="J475" s="3443"/>
      <c r="K475" s="3443"/>
      <c r="L475" s="3628"/>
    </row>
    <row r="476" spans="1:12" ht="30" customHeight="1" x14ac:dyDescent="0.2">
      <c r="A476" s="1514">
        <v>310</v>
      </c>
      <c r="B476" s="1570" t="s">
        <v>160</v>
      </c>
      <c r="C476" s="1541" t="s">
        <v>401</v>
      </c>
      <c r="D476" s="1521">
        <v>100000000</v>
      </c>
      <c r="E476" s="1518">
        <v>0.05</v>
      </c>
      <c r="F476" s="1521">
        <f t="shared" ref="F476:F495" si="43">D476*E476</f>
        <v>5000000</v>
      </c>
      <c r="G476" s="1521">
        <v>5000000</v>
      </c>
      <c r="H476" s="1521" t="s">
        <v>3621</v>
      </c>
      <c r="I476" s="24" t="s">
        <v>3655</v>
      </c>
      <c r="J476" s="1521">
        <f>G476</f>
        <v>5000000</v>
      </c>
      <c r="K476" s="1521">
        <f t="shared" ref="K476:K485" si="44">F476-J476</f>
        <v>0</v>
      </c>
      <c r="L476" s="3257" t="s">
        <v>2171</v>
      </c>
    </row>
    <row r="477" spans="1:12" ht="30" customHeight="1" x14ac:dyDescent="0.2">
      <c r="A477" s="3450">
        <v>311</v>
      </c>
      <c r="B477" s="3457" t="s">
        <v>161</v>
      </c>
      <c r="C477" s="3570" t="s">
        <v>916</v>
      </c>
      <c r="D477" s="1521">
        <v>55000000</v>
      </c>
      <c r="E477" s="1569">
        <v>0.05</v>
      </c>
      <c r="F477" s="1521">
        <f t="shared" si="43"/>
        <v>2750000</v>
      </c>
      <c r="G477" s="1521"/>
      <c r="H477" s="1521"/>
      <c r="I477" s="1544"/>
      <c r="J477" s="1521">
        <f>G477</f>
        <v>0</v>
      </c>
      <c r="K477" s="1521">
        <f t="shared" si="44"/>
        <v>2750000</v>
      </c>
      <c r="L477" s="169"/>
    </row>
    <row r="478" spans="1:12" ht="30" customHeight="1" x14ac:dyDescent="0.2">
      <c r="A478" s="3451"/>
      <c r="B478" s="3458"/>
      <c r="C478" s="3571"/>
      <c r="D478" s="1633">
        <v>85000000</v>
      </c>
      <c r="E478" s="1652">
        <v>0.05</v>
      </c>
      <c r="F478" s="1633">
        <f t="shared" si="43"/>
        <v>4250000</v>
      </c>
      <c r="G478" s="3325" t="s">
        <v>3588</v>
      </c>
      <c r="H478" s="3340"/>
      <c r="I478" s="3340"/>
      <c r="J478" s="3341"/>
      <c r="K478" s="1633"/>
      <c r="L478" s="169"/>
    </row>
    <row r="479" spans="1:12" ht="30" customHeight="1" x14ac:dyDescent="0.2">
      <c r="A479" s="1514">
        <v>312</v>
      </c>
      <c r="B479" s="1570" t="s">
        <v>162</v>
      </c>
      <c r="C479" s="1541"/>
      <c r="D479" s="1531"/>
      <c r="E479" s="44"/>
      <c r="F479" s="1531">
        <f t="shared" si="43"/>
        <v>0</v>
      </c>
      <c r="G479" s="1521"/>
      <c r="H479" s="1521"/>
      <c r="I479" s="24"/>
      <c r="J479" s="1521">
        <f>G479</f>
        <v>0</v>
      </c>
      <c r="K479" s="1531">
        <f t="shared" si="44"/>
        <v>0</v>
      </c>
      <c r="L479" s="1570"/>
    </row>
    <row r="480" spans="1:12" ht="30" customHeight="1" x14ac:dyDescent="0.2">
      <c r="A480" s="3450">
        <v>313</v>
      </c>
      <c r="B480" s="3457" t="s">
        <v>164</v>
      </c>
      <c r="C480" s="3570"/>
      <c r="D480" s="3442">
        <v>152000000</v>
      </c>
      <c r="E480" s="3444">
        <v>0.05</v>
      </c>
      <c r="F480" s="3442">
        <f>D480*E480</f>
        <v>7600000</v>
      </c>
      <c r="G480" s="1521">
        <v>5600000</v>
      </c>
      <c r="H480" s="1521" t="s">
        <v>3599</v>
      </c>
      <c r="I480" s="24" t="s">
        <v>3604</v>
      </c>
      <c r="J480" s="3442">
        <f>G480+G481</f>
        <v>7600000</v>
      </c>
      <c r="K480" s="3442">
        <f t="shared" si="44"/>
        <v>0</v>
      </c>
      <c r="L480" s="3525"/>
    </row>
    <row r="481" spans="1:12" ht="30" customHeight="1" x14ac:dyDescent="0.2">
      <c r="A481" s="3451"/>
      <c r="B481" s="3458"/>
      <c r="C481" s="3571"/>
      <c r="D481" s="3443"/>
      <c r="E481" s="3445"/>
      <c r="F481" s="3443"/>
      <c r="G481" s="1695">
        <v>2000000</v>
      </c>
      <c r="H481" s="1695" t="s">
        <v>3696</v>
      </c>
      <c r="I481" s="24" t="s">
        <v>3698</v>
      </c>
      <c r="J481" s="3443"/>
      <c r="K481" s="3443"/>
      <c r="L481" s="3526"/>
    </row>
    <row r="482" spans="1:12" ht="30" customHeight="1" x14ac:dyDescent="0.2">
      <c r="A482" s="1514">
        <v>314</v>
      </c>
      <c r="B482" s="1513" t="s">
        <v>165</v>
      </c>
      <c r="C482" s="1541"/>
      <c r="D482" s="1521">
        <v>20000000</v>
      </c>
      <c r="E482" s="1569">
        <v>0.04</v>
      </c>
      <c r="F482" s="1521">
        <f t="shared" si="43"/>
        <v>800000</v>
      </c>
      <c r="G482" s="1521"/>
      <c r="H482" s="1521"/>
      <c r="I482" s="24"/>
      <c r="J482" s="1521"/>
      <c r="K482" s="1521">
        <f t="shared" si="44"/>
        <v>800000</v>
      </c>
      <c r="L482" s="103" t="s">
        <v>749</v>
      </c>
    </row>
    <row r="483" spans="1:12" ht="30" customHeight="1" x14ac:dyDescent="0.2">
      <c r="A483" s="1514">
        <v>315</v>
      </c>
      <c r="B483" s="22" t="s">
        <v>166</v>
      </c>
      <c r="C483" s="1571" t="s">
        <v>1219</v>
      </c>
      <c r="D483" s="1542">
        <v>400000000</v>
      </c>
      <c r="E483" s="1569">
        <v>6.3E-2</v>
      </c>
      <c r="F483" s="1542">
        <v>25000000</v>
      </c>
      <c r="G483" s="1542">
        <v>25000000</v>
      </c>
      <c r="H483" s="1542" t="s">
        <v>3621</v>
      </c>
      <c r="I483" s="1566" t="s">
        <v>1919</v>
      </c>
      <c r="J483" s="1643">
        <f t="shared" ref="J483:J494" si="45">G483</f>
        <v>25000000</v>
      </c>
      <c r="K483" s="1542">
        <f t="shared" si="44"/>
        <v>0</v>
      </c>
      <c r="L483" s="1537"/>
    </row>
    <row r="484" spans="1:12" ht="30" customHeight="1" x14ac:dyDescent="0.2">
      <c r="A484" s="1572">
        <v>316</v>
      </c>
      <c r="B484" s="1513" t="s">
        <v>167</v>
      </c>
      <c r="C484" s="1541"/>
      <c r="D484" s="1521">
        <v>35000000</v>
      </c>
      <c r="E484" s="1518">
        <v>0.04</v>
      </c>
      <c r="F484" s="1521">
        <f>D484*E484</f>
        <v>1400000</v>
      </c>
      <c r="G484" s="1521">
        <v>1400000</v>
      </c>
      <c r="H484" s="1521" t="s">
        <v>3696</v>
      </c>
      <c r="I484" s="1545" t="s">
        <v>293</v>
      </c>
      <c r="J484" s="1521">
        <f t="shared" si="45"/>
        <v>1400000</v>
      </c>
      <c r="K484" s="1521">
        <f t="shared" si="44"/>
        <v>0</v>
      </c>
      <c r="L484" s="1570"/>
    </row>
    <row r="485" spans="1:12" ht="30" customHeight="1" x14ac:dyDescent="0.2">
      <c r="A485" s="3450">
        <v>317</v>
      </c>
      <c r="B485" s="3457" t="s">
        <v>168</v>
      </c>
      <c r="C485" s="1541" t="s">
        <v>367</v>
      </c>
      <c r="D485" s="1521">
        <v>100000000</v>
      </c>
      <c r="E485" s="1569">
        <v>0.05</v>
      </c>
      <c r="F485" s="1521">
        <f>D485*E485</f>
        <v>5000000</v>
      </c>
      <c r="G485" s="1521">
        <v>5000000</v>
      </c>
      <c r="H485" s="1521" t="s">
        <v>3721</v>
      </c>
      <c r="I485" s="24" t="s">
        <v>3722</v>
      </c>
      <c r="J485" s="1521">
        <f t="shared" si="45"/>
        <v>5000000</v>
      </c>
      <c r="K485" s="1521">
        <f t="shared" si="44"/>
        <v>0</v>
      </c>
      <c r="L485" s="103" t="s">
        <v>2842</v>
      </c>
    </row>
    <row r="486" spans="1:12" ht="30" customHeight="1" x14ac:dyDescent="0.2">
      <c r="A486" s="3456"/>
      <c r="B486" s="3459"/>
      <c r="C486" s="1541" t="s">
        <v>1342</v>
      </c>
      <c r="D486" s="1521">
        <v>210000000</v>
      </c>
      <c r="E486" s="1569">
        <v>0.05</v>
      </c>
      <c r="F486" s="1521">
        <f>D486*E486</f>
        <v>10500000</v>
      </c>
      <c r="G486" s="1772">
        <v>10000000</v>
      </c>
      <c r="H486" s="1772" t="s">
        <v>3798</v>
      </c>
      <c r="I486" s="24" t="s">
        <v>3131</v>
      </c>
      <c r="J486" s="3442">
        <f>G486+G487</f>
        <v>17000000</v>
      </c>
      <c r="K486" s="3442">
        <f>17000000-J486</f>
        <v>0</v>
      </c>
      <c r="L486" s="103" t="s">
        <v>2843</v>
      </c>
    </row>
    <row r="487" spans="1:12" ht="30" customHeight="1" x14ac:dyDescent="0.2">
      <c r="A487" s="3451"/>
      <c r="B487" s="3458"/>
      <c r="C487" s="1541"/>
      <c r="D487" s="1521"/>
      <c r="E487" s="1569"/>
      <c r="F487" s="1521"/>
      <c r="G487" s="1772">
        <v>7000000</v>
      </c>
      <c r="H487" s="1772" t="s">
        <v>3814</v>
      </c>
      <c r="I487" s="24" t="s">
        <v>3722</v>
      </c>
      <c r="J487" s="3443"/>
      <c r="K487" s="3443"/>
      <c r="L487" s="103" t="s">
        <v>3427</v>
      </c>
    </row>
    <row r="488" spans="1:12" ht="30" customHeight="1" x14ac:dyDescent="0.2">
      <c r="A488" s="1572">
        <v>318</v>
      </c>
      <c r="B488" s="1570" t="s">
        <v>170</v>
      </c>
      <c r="C488" s="1541"/>
      <c r="D488" s="1521">
        <v>80000000</v>
      </c>
      <c r="E488" s="1569">
        <v>0.05</v>
      </c>
      <c r="F488" s="1521">
        <f t="shared" si="43"/>
        <v>4000000</v>
      </c>
      <c r="G488" s="1521">
        <v>4000000</v>
      </c>
      <c r="H488" s="1521" t="s">
        <v>3684</v>
      </c>
      <c r="I488" s="21" t="s">
        <v>1927</v>
      </c>
      <c r="J488" s="1521">
        <f t="shared" si="45"/>
        <v>4000000</v>
      </c>
      <c r="K488" s="1521">
        <f>F488-J488</f>
        <v>0</v>
      </c>
      <c r="L488" s="1570"/>
    </row>
    <row r="489" spans="1:12" ht="30" customHeight="1" x14ac:dyDescent="0.2">
      <c r="A489" s="1572">
        <v>319</v>
      </c>
      <c r="B489" s="1570" t="s">
        <v>171</v>
      </c>
      <c r="C489" s="1541" t="s">
        <v>1342</v>
      </c>
      <c r="D489" s="1521">
        <v>200000000</v>
      </c>
      <c r="E489" s="1569">
        <v>5.5E-2</v>
      </c>
      <c r="F489" s="1521">
        <f t="shared" si="43"/>
        <v>11000000</v>
      </c>
      <c r="G489" s="1521">
        <v>11000000</v>
      </c>
      <c r="H489" s="1521" t="s">
        <v>3814</v>
      </c>
      <c r="I489" s="24" t="s">
        <v>3861</v>
      </c>
      <c r="J489" s="1521">
        <f t="shared" si="45"/>
        <v>11000000</v>
      </c>
      <c r="K489" s="1521">
        <f>F489-J489</f>
        <v>0</v>
      </c>
      <c r="L489" s="103"/>
    </row>
    <row r="490" spans="1:12" ht="30" customHeight="1" x14ac:dyDescent="0.2">
      <c r="A490" s="3450">
        <v>320</v>
      </c>
      <c r="B490" s="3457" t="s">
        <v>172</v>
      </c>
      <c r="C490" s="3570" t="s">
        <v>2408</v>
      </c>
      <c r="D490" s="1521">
        <v>135000000</v>
      </c>
      <c r="E490" s="1569">
        <v>0.06</v>
      </c>
      <c r="F490" s="1521">
        <v>8000000</v>
      </c>
      <c r="G490" s="3442">
        <v>9750000</v>
      </c>
      <c r="H490" s="3442" t="s">
        <v>3814</v>
      </c>
      <c r="I490" s="3452" t="s">
        <v>3816</v>
      </c>
      <c r="J490" s="3442">
        <f t="shared" si="45"/>
        <v>9750000</v>
      </c>
      <c r="K490" s="3442">
        <f>(F490+F491)-J490</f>
        <v>0</v>
      </c>
      <c r="L490" s="103"/>
    </row>
    <row r="491" spans="1:12" ht="30" customHeight="1" x14ac:dyDescent="0.2">
      <c r="A491" s="3451"/>
      <c r="B491" s="3458"/>
      <c r="C491" s="3571"/>
      <c r="D491" s="1633">
        <v>35000000</v>
      </c>
      <c r="E491" s="1652">
        <v>0.05</v>
      </c>
      <c r="F491" s="1633">
        <f>D491*E491</f>
        <v>1750000</v>
      </c>
      <c r="G491" s="3443"/>
      <c r="H491" s="3443"/>
      <c r="I491" s="3453"/>
      <c r="J491" s="3443"/>
      <c r="K491" s="3443"/>
      <c r="L491" s="103" t="s">
        <v>3594</v>
      </c>
    </row>
    <row r="492" spans="1:12" ht="30" customHeight="1" x14ac:dyDescent="0.2">
      <c r="A492" s="1572">
        <v>321</v>
      </c>
      <c r="B492" s="1570" t="s">
        <v>174</v>
      </c>
      <c r="C492" s="1541"/>
      <c r="D492" s="1521">
        <v>5000000</v>
      </c>
      <c r="E492" s="1569">
        <v>0.04</v>
      </c>
      <c r="F492" s="1521">
        <f t="shared" si="43"/>
        <v>200000</v>
      </c>
      <c r="G492" s="1521">
        <v>200000</v>
      </c>
      <c r="H492" s="1521" t="s">
        <v>4031</v>
      </c>
      <c r="I492" s="24" t="s">
        <v>2460</v>
      </c>
      <c r="J492" s="1521">
        <f t="shared" si="45"/>
        <v>200000</v>
      </c>
      <c r="K492" s="1521">
        <f>F492-J492</f>
        <v>0</v>
      </c>
      <c r="L492" s="1570"/>
    </row>
    <row r="493" spans="1:12" ht="30" customHeight="1" x14ac:dyDescent="0.2">
      <c r="A493" s="3450">
        <v>322</v>
      </c>
      <c r="B493" s="3457" t="s">
        <v>1450</v>
      </c>
      <c r="C493" s="3570" t="s">
        <v>1112</v>
      </c>
      <c r="D493" s="1521">
        <v>10000000</v>
      </c>
      <c r="E493" s="1569">
        <v>0.05</v>
      </c>
      <c r="F493" s="1521">
        <f t="shared" si="43"/>
        <v>500000</v>
      </c>
      <c r="G493" s="1521">
        <v>500000</v>
      </c>
      <c r="H493" s="1521" t="s">
        <v>3570</v>
      </c>
      <c r="I493" s="1562" t="s">
        <v>1448</v>
      </c>
      <c r="J493" s="1521">
        <f t="shared" si="45"/>
        <v>500000</v>
      </c>
      <c r="K493" s="1521">
        <f>F493-J493</f>
        <v>0</v>
      </c>
      <c r="L493" s="1077" t="s">
        <v>3575</v>
      </c>
    </row>
    <row r="494" spans="1:12" ht="30" customHeight="1" x14ac:dyDescent="0.2">
      <c r="A494" s="3451"/>
      <c r="B494" s="3458"/>
      <c r="C494" s="3571"/>
      <c r="D494" s="1521">
        <v>10000000</v>
      </c>
      <c r="E494" s="1569">
        <v>0.05</v>
      </c>
      <c r="F494" s="1521">
        <f t="shared" si="43"/>
        <v>500000</v>
      </c>
      <c r="G494" s="1521">
        <v>500000</v>
      </c>
      <c r="H494" s="1521" t="s">
        <v>4031</v>
      </c>
      <c r="I494" s="1562" t="s">
        <v>4043</v>
      </c>
      <c r="J494" s="1521">
        <f t="shared" si="45"/>
        <v>500000</v>
      </c>
      <c r="K494" s="1521">
        <f>F494-J494</f>
        <v>0</v>
      </c>
      <c r="L494" s="1570"/>
    </row>
    <row r="495" spans="1:12" ht="30" customHeight="1" x14ac:dyDescent="0.2">
      <c r="A495" s="1572">
        <v>323</v>
      </c>
      <c r="B495" s="1570" t="s">
        <v>175</v>
      </c>
      <c r="C495" s="1541"/>
      <c r="D495" s="1521">
        <v>60000000</v>
      </c>
      <c r="E495" s="1569">
        <v>4.4999999999999998E-2</v>
      </c>
      <c r="F495" s="1521">
        <f t="shared" si="43"/>
        <v>2700000</v>
      </c>
      <c r="G495" s="1521"/>
      <c r="H495" s="1521"/>
      <c r="I495" s="1543"/>
      <c r="J495" s="1521">
        <f>G495</f>
        <v>0</v>
      </c>
      <c r="K495" s="1521">
        <f>F495-J495</f>
        <v>2700000</v>
      </c>
      <c r="L495" s="1570"/>
    </row>
    <row r="496" spans="1:12" ht="30" customHeight="1" x14ac:dyDescent="0.2">
      <c r="A496" s="1572">
        <v>324</v>
      </c>
      <c r="B496" s="1570" t="s">
        <v>176</v>
      </c>
      <c r="C496" s="1541" t="s">
        <v>916</v>
      </c>
      <c r="D496" s="1521">
        <v>20000000</v>
      </c>
      <c r="E496" s="1569">
        <v>0.05</v>
      </c>
      <c r="F496" s="1521">
        <f>D496*E496</f>
        <v>1000000</v>
      </c>
      <c r="G496" s="1521">
        <v>1000000</v>
      </c>
      <c r="H496" s="1521" t="s">
        <v>3684</v>
      </c>
      <c r="I496" s="24" t="s">
        <v>1839</v>
      </c>
      <c r="J496" s="1521">
        <f>G496</f>
        <v>1000000</v>
      </c>
      <c r="K496" s="1521">
        <f>F496-J496</f>
        <v>0</v>
      </c>
      <c r="L496" s="1570"/>
    </row>
    <row r="497" spans="1:12" ht="30" customHeight="1" x14ac:dyDescent="0.2">
      <c r="A497" s="3450">
        <v>325</v>
      </c>
      <c r="B497" s="3457" t="s">
        <v>273</v>
      </c>
      <c r="C497" s="3570"/>
      <c r="D497" s="1521">
        <v>300000000</v>
      </c>
      <c r="E497" s="1569">
        <v>0.1</v>
      </c>
      <c r="F497" s="1521">
        <v>30750000</v>
      </c>
      <c r="G497" s="3442">
        <v>40550000</v>
      </c>
      <c r="H497" s="3442" t="s">
        <v>3721</v>
      </c>
      <c r="I497" s="3452" t="s">
        <v>3062</v>
      </c>
      <c r="J497" s="3442">
        <f>G497</f>
        <v>40550000</v>
      </c>
      <c r="K497" s="3442">
        <f>(F497+F498)-J497</f>
        <v>0</v>
      </c>
      <c r="L497" s="3570"/>
    </row>
    <row r="498" spans="1:12" ht="30" customHeight="1" x14ac:dyDescent="0.2">
      <c r="A498" s="3451"/>
      <c r="B498" s="3458"/>
      <c r="C498" s="3571"/>
      <c r="D498" s="1521">
        <v>140000000</v>
      </c>
      <c r="E498" s="1569">
        <v>7.0000000000000007E-2</v>
      </c>
      <c r="F498" s="1521">
        <v>9800000</v>
      </c>
      <c r="G498" s="3443"/>
      <c r="H498" s="3443"/>
      <c r="I498" s="3453"/>
      <c r="J498" s="3443"/>
      <c r="K498" s="3443"/>
      <c r="L498" s="3571"/>
    </row>
    <row r="499" spans="1:12" ht="30" customHeight="1" x14ac:dyDescent="0.2">
      <c r="A499" s="3450">
        <v>326</v>
      </c>
      <c r="B499" s="3687" t="s">
        <v>179</v>
      </c>
      <c r="C499" s="3686"/>
      <c r="D499" s="3575">
        <v>500000000</v>
      </c>
      <c r="E499" s="3683">
        <v>0.05</v>
      </c>
      <c r="F499" s="3575">
        <f>D499*E499</f>
        <v>25000000</v>
      </c>
      <c r="G499" s="247"/>
      <c r="H499" s="247"/>
      <c r="I499" s="247"/>
      <c r="J499" s="247"/>
      <c r="K499" s="1542">
        <f>F499-J499</f>
        <v>25000000</v>
      </c>
      <c r="L499" s="3495" t="s">
        <v>3523</v>
      </c>
    </row>
    <row r="500" spans="1:12" ht="30" customHeight="1" x14ac:dyDescent="0.2">
      <c r="A500" s="3451"/>
      <c r="B500" s="3687"/>
      <c r="C500" s="3686"/>
      <c r="D500" s="3575"/>
      <c r="E500" s="3683"/>
      <c r="F500" s="3575"/>
      <c r="G500" s="247"/>
      <c r="H500" s="247"/>
      <c r="I500" s="247"/>
      <c r="J500" s="247"/>
      <c r="K500" s="1521"/>
      <c r="L500" s="3496"/>
    </row>
    <row r="501" spans="1:12" ht="30" customHeight="1" x14ac:dyDescent="0.2">
      <c r="A501" s="1572">
        <v>327</v>
      </c>
      <c r="B501" s="1599" t="s">
        <v>1280</v>
      </c>
      <c r="C501" s="992"/>
      <c r="D501" s="993">
        <v>60000000</v>
      </c>
      <c r="E501" s="1600">
        <v>0.05</v>
      </c>
      <c r="F501" s="993">
        <f t="shared" ref="F501:F507" si="46">D501*E501</f>
        <v>3000000</v>
      </c>
      <c r="G501" s="993">
        <v>3000000</v>
      </c>
      <c r="H501" s="993" t="s">
        <v>3643</v>
      </c>
      <c r="I501" s="996" t="s">
        <v>1279</v>
      </c>
      <c r="J501" s="993">
        <f>G501</f>
        <v>3000000</v>
      </c>
      <c r="K501" s="993">
        <f>F501-J501</f>
        <v>0</v>
      </c>
      <c r="L501" s="103"/>
    </row>
    <row r="502" spans="1:12" ht="30" customHeight="1" x14ac:dyDescent="0.2">
      <c r="A502" s="3450">
        <v>328</v>
      </c>
      <c r="B502" s="3457" t="s">
        <v>2809</v>
      </c>
      <c r="C502" s="3570" t="s">
        <v>971</v>
      </c>
      <c r="D502" s="1643">
        <v>745000000</v>
      </c>
      <c r="E502" s="1652">
        <v>0.06</v>
      </c>
      <c r="F502" s="1643">
        <f>D502*E502</f>
        <v>44700000</v>
      </c>
      <c r="G502" s="1611">
        <v>44700000</v>
      </c>
      <c r="H502" s="1611" t="s">
        <v>3553</v>
      </c>
      <c r="I502" s="24" t="s">
        <v>1506</v>
      </c>
      <c r="J502" s="1611">
        <f>G502</f>
        <v>44700000</v>
      </c>
      <c r="K502" s="1521">
        <f>F502-J502</f>
        <v>0</v>
      </c>
      <c r="L502" s="103" t="s">
        <v>4823</v>
      </c>
    </row>
    <row r="503" spans="1:12" ht="30" customHeight="1" x14ac:dyDescent="0.2">
      <c r="A503" s="3456"/>
      <c r="B503" s="3459"/>
      <c r="C503" s="3576"/>
      <c r="D503" s="3521" t="s">
        <v>3580</v>
      </c>
      <c r="E503" s="3613"/>
      <c r="F503" s="3522"/>
      <c r="G503" s="1521">
        <v>50000000</v>
      </c>
      <c r="H503" s="1521" t="s">
        <v>3563</v>
      </c>
      <c r="I503" s="24" t="s">
        <v>1506</v>
      </c>
      <c r="J503" s="3442">
        <f>G503+G504</f>
        <v>60000000</v>
      </c>
      <c r="K503" s="3442">
        <f>60000000-J503</f>
        <v>0</v>
      </c>
      <c r="L503" s="3468" t="s">
        <v>3564</v>
      </c>
    </row>
    <row r="504" spans="1:12" ht="30" customHeight="1" x14ac:dyDescent="0.2">
      <c r="A504" s="3451"/>
      <c r="B504" s="3458"/>
      <c r="C504" s="3571"/>
      <c r="D504" s="3523"/>
      <c r="E504" s="3614"/>
      <c r="F504" s="3524"/>
      <c r="G504" s="1633">
        <v>10000000</v>
      </c>
      <c r="H504" s="1633" t="s">
        <v>3576</v>
      </c>
      <c r="I504" s="24" t="s">
        <v>3579</v>
      </c>
      <c r="J504" s="3443"/>
      <c r="K504" s="3443"/>
      <c r="L504" s="3469"/>
    </row>
    <row r="505" spans="1:12" ht="30" customHeight="1" x14ac:dyDescent="0.2">
      <c r="A505" s="3450"/>
      <c r="B505" s="3457" t="s">
        <v>2809</v>
      </c>
      <c r="C505" s="3570" t="s">
        <v>971</v>
      </c>
      <c r="D505" s="3841">
        <v>685000000</v>
      </c>
      <c r="E505" s="3843">
        <v>0.06</v>
      </c>
      <c r="F505" s="3841">
        <f>D505*E505</f>
        <v>41100000</v>
      </c>
      <c r="G505" s="3478" t="s">
        <v>4824</v>
      </c>
      <c r="H505" s="3479"/>
      <c r="I505" s="3479"/>
      <c r="J505" s="3480"/>
      <c r="K505" s="1633"/>
      <c r="L505" s="1634"/>
    </row>
    <row r="506" spans="1:12" ht="30" customHeight="1" x14ac:dyDescent="0.2">
      <c r="A506" s="3451"/>
      <c r="B506" s="3458"/>
      <c r="C506" s="3571"/>
      <c r="D506" s="3842"/>
      <c r="E506" s="3844"/>
      <c r="F506" s="3842"/>
      <c r="G506" s="2540">
        <v>40000000</v>
      </c>
      <c r="H506" s="2540" t="s">
        <v>3668</v>
      </c>
      <c r="I506" s="24" t="s">
        <v>3669</v>
      </c>
      <c r="J506" s="2539">
        <f>G506</f>
        <v>40000000</v>
      </c>
      <c r="K506" s="2540"/>
      <c r="L506" s="192" t="s">
        <v>2738</v>
      </c>
    </row>
    <row r="507" spans="1:12" ht="30" customHeight="1" x14ac:dyDescent="0.2">
      <c r="A507" s="1514">
        <v>329</v>
      </c>
      <c r="B507" s="1567" t="s">
        <v>184</v>
      </c>
      <c r="C507" s="421"/>
      <c r="D507" s="1534"/>
      <c r="E507" s="44"/>
      <c r="F507" s="1534">
        <f t="shared" si="46"/>
        <v>0</v>
      </c>
      <c r="G507" s="1542"/>
      <c r="H507" s="1542"/>
      <c r="I507" s="1566"/>
      <c r="J507" s="1542"/>
      <c r="K507" s="1534">
        <f>F507-J507</f>
        <v>0</v>
      </c>
      <c r="L507" s="1537"/>
    </row>
    <row r="508" spans="1:12" ht="30" customHeight="1" x14ac:dyDescent="0.2">
      <c r="A508" s="1572">
        <v>330</v>
      </c>
      <c r="B508" s="1570" t="s">
        <v>1211</v>
      </c>
      <c r="C508" s="1541" t="s">
        <v>1175</v>
      </c>
      <c r="D508" s="1521">
        <v>30000000</v>
      </c>
      <c r="E508" s="1518">
        <f>F508/D508</f>
        <v>0.05</v>
      </c>
      <c r="F508" s="1521">
        <v>1500000</v>
      </c>
      <c r="G508" s="1521">
        <v>1500000</v>
      </c>
      <c r="H508" s="1521" t="s">
        <v>4031</v>
      </c>
      <c r="I508" s="24" t="s">
        <v>4041</v>
      </c>
      <c r="J508" s="1521">
        <f>G508</f>
        <v>1500000</v>
      </c>
      <c r="K508" s="1521">
        <f>F508-J508</f>
        <v>0</v>
      </c>
      <c r="L508" s="1570"/>
    </row>
    <row r="509" spans="1:12" ht="30" customHeight="1" x14ac:dyDescent="0.2">
      <c r="A509" s="426">
        <v>331</v>
      </c>
      <c r="B509" s="1570" t="s">
        <v>345</v>
      </c>
      <c r="C509" s="1571" t="s">
        <v>379</v>
      </c>
      <c r="D509" s="1542">
        <v>290000000</v>
      </c>
      <c r="E509" s="1569">
        <v>0.06</v>
      </c>
      <c r="F509" s="1542">
        <f t="shared" ref="F509" si="47">D509*E509</f>
        <v>17400000</v>
      </c>
      <c r="G509" s="1701">
        <v>17400000</v>
      </c>
      <c r="H509" s="1701" t="s">
        <v>3696</v>
      </c>
      <c r="I509" s="1701" t="s">
        <v>2948</v>
      </c>
      <c r="J509" s="1701">
        <f>G509</f>
        <v>17400000</v>
      </c>
      <c r="K509" s="1542">
        <f>F509-J509</f>
        <v>0</v>
      </c>
      <c r="L509" s="103" t="s">
        <v>2946</v>
      </c>
    </row>
    <row r="510" spans="1:12" ht="30" customHeight="1" x14ac:dyDescent="0.2">
      <c r="A510" s="1572">
        <v>332</v>
      </c>
      <c r="B510" s="1513" t="s">
        <v>378</v>
      </c>
      <c r="C510" s="1541" t="s">
        <v>379</v>
      </c>
      <c r="D510" s="1521">
        <v>30000000</v>
      </c>
      <c r="E510" s="1518">
        <v>0.05</v>
      </c>
      <c r="F510" s="1521">
        <f t="shared" ref="F510:F514" si="48">D510*E510</f>
        <v>1500000</v>
      </c>
      <c r="G510" s="1521">
        <v>1500000</v>
      </c>
      <c r="H510" s="1521" t="s">
        <v>3696</v>
      </c>
      <c r="I510" s="24" t="s">
        <v>3713</v>
      </c>
      <c r="J510" s="1520">
        <f>G510</f>
        <v>1500000</v>
      </c>
      <c r="K510" s="1520">
        <f>F510-J510</f>
        <v>0</v>
      </c>
      <c r="L510" s="1570"/>
    </row>
    <row r="511" spans="1:12" ht="30" customHeight="1" x14ac:dyDescent="0.2">
      <c r="A511" s="3450">
        <v>333</v>
      </c>
      <c r="B511" s="3457" t="s">
        <v>915</v>
      </c>
      <c r="C511" s="1541" t="s">
        <v>916</v>
      </c>
      <c r="D511" s="1521">
        <v>320000000</v>
      </c>
      <c r="E511" s="1569">
        <v>0.05</v>
      </c>
      <c r="F511" s="1521">
        <f t="shared" si="48"/>
        <v>16000000</v>
      </c>
      <c r="G511" s="3442">
        <v>21000000</v>
      </c>
      <c r="H511" s="3442" t="s">
        <v>3635</v>
      </c>
      <c r="I511" s="3452" t="s">
        <v>3639</v>
      </c>
      <c r="J511" s="3575">
        <f>G511</f>
        <v>21000000</v>
      </c>
      <c r="K511" s="3575">
        <f>(F511+F512)-J511</f>
        <v>0</v>
      </c>
      <c r="L511" s="3627" t="s">
        <v>3640</v>
      </c>
    </row>
    <row r="512" spans="1:12" ht="30" customHeight="1" x14ac:dyDescent="0.2">
      <c r="A512" s="3451"/>
      <c r="B512" s="3458"/>
      <c r="C512" s="1541" t="s">
        <v>917</v>
      </c>
      <c r="D512" s="1521">
        <v>100000000</v>
      </c>
      <c r="E512" s="1569">
        <v>0.05</v>
      </c>
      <c r="F512" s="1521">
        <f t="shared" si="48"/>
        <v>5000000</v>
      </c>
      <c r="G512" s="3443"/>
      <c r="H512" s="3443"/>
      <c r="I512" s="3453"/>
      <c r="J512" s="3575"/>
      <c r="K512" s="3575"/>
      <c r="L512" s="3628"/>
    </row>
    <row r="513" spans="1:12" ht="30" customHeight="1" x14ac:dyDescent="0.2">
      <c r="A513" s="3450">
        <v>335</v>
      </c>
      <c r="B513" s="3457" t="s">
        <v>1328</v>
      </c>
      <c r="C513" s="3570" t="s">
        <v>916</v>
      </c>
      <c r="D513" s="1521">
        <v>10000000</v>
      </c>
      <c r="E513" s="1569">
        <v>0.05</v>
      </c>
      <c r="F513" s="1521">
        <f t="shared" si="48"/>
        <v>500000</v>
      </c>
      <c r="G513" s="1521">
        <v>500000</v>
      </c>
      <c r="H513" s="1521" t="s">
        <v>3498</v>
      </c>
      <c r="I513" s="24" t="s">
        <v>3546</v>
      </c>
      <c r="J513" s="1521">
        <f>G513</f>
        <v>500000</v>
      </c>
      <c r="K513" s="1521">
        <f>F513-J513</f>
        <v>0</v>
      </c>
      <c r="L513" s="1570"/>
    </row>
    <row r="514" spans="1:12" ht="30" customHeight="1" x14ac:dyDescent="0.2">
      <c r="A514" s="3451"/>
      <c r="B514" s="3458"/>
      <c r="C514" s="3571"/>
      <c r="D514" s="1521">
        <v>15000000</v>
      </c>
      <c r="E514" s="1569">
        <v>0.05</v>
      </c>
      <c r="F514" s="1521">
        <f t="shared" si="48"/>
        <v>750000</v>
      </c>
      <c r="G514" s="3674" t="s">
        <v>3524</v>
      </c>
      <c r="H514" s="3675"/>
      <c r="I514" s="3675"/>
      <c r="J514" s="3676"/>
      <c r="K514" s="1521"/>
      <c r="L514" s="1570"/>
    </row>
    <row r="515" spans="1:12" ht="30" customHeight="1" x14ac:dyDescent="0.2">
      <c r="A515" s="1572">
        <v>336</v>
      </c>
      <c r="B515" s="1513" t="s">
        <v>2710</v>
      </c>
      <c r="C515" s="1541" t="s">
        <v>916</v>
      </c>
      <c r="D515" s="1521">
        <v>210000000</v>
      </c>
      <c r="E515" s="1569">
        <v>0.05</v>
      </c>
      <c r="F515" s="1521">
        <f>D515*E515</f>
        <v>10500000</v>
      </c>
      <c r="G515" s="1521">
        <v>10500000</v>
      </c>
      <c r="H515" s="1521" t="s">
        <v>3498</v>
      </c>
      <c r="I515" s="24" t="s">
        <v>3544</v>
      </c>
      <c r="J515" s="1521">
        <f>G515</f>
        <v>10500000</v>
      </c>
      <c r="K515" s="1521">
        <f>F515-J515</f>
        <v>0</v>
      </c>
      <c r="L515" s="1570"/>
    </row>
    <row r="516" spans="1:12" ht="30" customHeight="1" x14ac:dyDescent="0.2">
      <c r="A516" s="1572">
        <v>337</v>
      </c>
      <c r="B516" s="1513" t="s">
        <v>1376</v>
      </c>
      <c r="C516" s="1541" t="s">
        <v>916</v>
      </c>
      <c r="D516" s="1521">
        <v>80000000</v>
      </c>
      <c r="E516" s="1569">
        <v>7.0000000000000007E-2</v>
      </c>
      <c r="F516" s="1521">
        <f t="shared" ref="F516:F541" si="49">D516*E516</f>
        <v>5600000.0000000009</v>
      </c>
      <c r="G516" s="1521">
        <v>5600000</v>
      </c>
      <c r="H516" s="1521" t="s">
        <v>3576</v>
      </c>
      <c r="I516" s="24" t="s">
        <v>3585</v>
      </c>
      <c r="J516" s="1521">
        <f>G516</f>
        <v>5600000</v>
      </c>
      <c r="K516" s="1521">
        <f>G516-J516</f>
        <v>0</v>
      </c>
      <c r="L516" s="1570"/>
    </row>
    <row r="517" spans="1:12" ht="30" customHeight="1" x14ac:dyDescent="0.2">
      <c r="A517" s="3450">
        <v>338</v>
      </c>
      <c r="B517" s="3497" t="s">
        <v>1776</v>
      </c>
      <c r="C517" s="3598" t="s">
        <v>916</v>
      </c>
      <c r="D517" s="1525">
        <v>235500000</v>
      </c>
      <c r="E517" s="1569">
        <v>0.05</v>
      </c>
      <c r="F517" s="1521">
        <f t="shared" si="49"/>
        <v>11775000</v>
      </c>
      <c r="G517" s="3442">
        <v>40265000</v>
      </c>
      <c r="H517" s="3442" t="s">
        <v>3621</v>
      </c>
      <c r="I517" s="3442" t="s">
        <v>3660</v>
      </c>
      <c r="J517" s="3442">
        <f>G517</f>
        <v>40265000</v>
      </c>
      <c r="K517" s="3442">
        <f>F525-J517</f>
        <v>0</v>
      </c>
      <c r="L517" s="3607" t="s">
        <v>3473</v>
      </c>
    </row>
    <row r="518" spans="1:12" ht="30" customHeight="1" x14ac:dyDescent="0.2">
      <c r="A518" s="3456"/>
      <c r="B518" s="3773"/>
      <c r="C518" s="3708"/>
      <c r="D518" s="1521">
        <v>300000000</v>
      </c>
      <c r="E518" s="1569">
        <v>7.0000000000000007E-2</v>
      </c>
      <c r="F518" s="1521">
        <f t="shared" si="49"/>
        <v>21000000.000000004</v>
      </c>
      <c r="G518" s="3461"/>
      <c r="H518" s="3461"/>
      <c r="I518" s="3461"/>
      <c r="J518" s="3461"/>
      <c r="K518" s="3461"/>
      <c r="L518" s="3608"/>
    </row>
    <row r="519" spans="1:12" ht="30" customHeight="1" x14ac:dyDescent="0.2">
      <c r="A519" s="3456"/>
      <c r="B519" s="3773"/>
      <c r="C519" s="3708"/>
      <c r="D519" s="1521">
        <v>30000000</v>
      </c>
      <c r="E519" s="1569">
        <v>7.0000000000000007E-2</v>
      </c>
      <c r="F519" s="1521">
        <f t="shared" si="49"/>
        <v>2100000</v>
      </c>
      <c r="G519" s="3461"/>
      <c r="H519" s="3461"/>
      <c r="I519" s="3461"/>
      <c r="J519" s="3461"/>
      <c r="K519" s="3461"/>
      <c r="L519" s="3608"/>
    </row>
    <row r="520" spans="1:12" ht="30" customHeight="1" x14ac:dyDescent="0.2">
      <c r="A520" s="3456"/>
      <c r="B520" s="3773"/>
      <c r="C520" s="3708"/>
      <c r="D520" s="1542">
        <v>20000000</v>
      </c>
      <c r="E520" s="1517">
        <v>7.0000000000000007E-2</v>
      </c>
      <c r="F520" s="1542">
        <f>D520*E520</f>
        <v>1400000.0000000002</v>
      </c>
      <c r="G520" s="3461"/>
      <c r="H520" s="3461"/>
      <c r="I520" s="3461"/>
      <c r="J520" s="3461"/>
      <c r="K520" s="3461"/>
      <c r="L520" s="3608"/>
    </row>
    <row r="521" spans="1:12" ht="30" customHeight="1" x14ac:dyDescent="0.2">
      <c r="A521" s="3456"/>
      <c r="B521" s="3773"/>
      <c r="C521" s="3708"/>
      <c r="D521" s="1542">
        <v>12000000</v>
      </c>
      <c r="E521" s="1517">
        <v>7.0000000000000007E-2</v>
      </c>
      <c r="F521" s="1542">
        <f>D521*E521</f>
        <v>840000.00000000012</v>
      </c>
      <c r="G521" s="3461"/>
      <c r="H521" s="3461"/>
      <c r="I521" s="3461"/>
      <c r="J521" s="3461"/>
      <c r="K521" s="3461"/>
      <c r="L521" s="3608"/>
    </row>
    <row r="522" spans="1:12" ht="30" customHeight="1" x14ac:dyDescent="0.2">
      <c r="A522" s="3456"/>
      <c r="B522" s="3773"/>
      <c r="C522" s="3708"/>
      <c r="D522" s="1510">
        <f>SUM(D518:D521)</f>
        <v>362000000</v>
      </c>
      <c r="E522" s="1517">
        <v>7.0000000000000007E-2</v>
      </c>
      <c r="F522" s="1542">
        <f>D522*E522</f>
        <v>25340000.000000004</v>
      </c>
      <c r="G522" s="3461"/>
      <c r="H522" s="3461"/>
      <c r="I522" s="3461"/>
      <c r="J522" s="3461"/>
      <c r="K522" s="3461"/>
      <c r="L522" s="3608"/>
    </row>
    <row r="523" spans="1:12" ht="30" customHeight="1" x14ac:dyDescent="0.2">
      <c r="A523" s="3456"/>
      <c r="B523" s="3773"/>
      <c r="C523" s="3708"/>
      <c r="D523" s="3379">
        <f>D517+D522</f>
        <v>597500000</v>
      </c>
      <c r="E523" s="3772"/>
      <c r="F523" s="1510">
        <f>F517+F522</f>
        <v>37115000</v>
      </c>
      <c r="G523" s="3461"/>
      <c r="H523" s="3461"/>
      <c r="I523" s="3461"/>
      <c r="J523" s="3461"/>
      <c r="K523" s="3461"/>
      <c r="L523" s="3608"/>
    </row>
    <row r="524" spans="1:12" ht="30" customHeight="1" x14ac:dyDescent="0.2">
      <c r="A524" s="3456"/>
      <c r="B524" s="3773"/>
      <c r="C524" s="3708"/>
      <c r="D524" s="1510">
        <v>45000000</v>
      </c>
      <c r="E524" s="1524">
        <v>7.0000000000000007E-2</v>
      </c>
      <c r="F524" s="1510">
        <f>D524*E524</f>
        <v>3150000.0000000005</v>
      </c>
      <c r="G524" s="3443"/>
      <c r="H524" s="3443"/>
      <c r="I524" s="3443"/>
      <c r="J524" s="3443"/>
      <c r="K524" s="3443"/>
      <c r="L524" s="3608"/>
    </row>
    <row r="525" spans="1:12" ht="30" customHeight="1" x14ac:dyDescent="0.2">
      <c r="A525" s="3451"/>
      <c r="B525" s="3498"/>
      <c r="C525" s="3599"/>
      <c r="D525" s="3379">
        <f>D523+D524</f>
        <v>642500000</v>
      </c>
      <c r="E525" s="3772"/>
      <c r="F525" s="1510">
        <f>F523+F524</f>
        <v>40265000</v>
      </c>
      <c r="G525" s="3379" t="s">
        <v>3450</v>
      </c>
      <c r="H525" s="3380"/>
      <c r="I525" s="3380"/>
      <c r="J525" s="3380"/>
      <c r="K525" s="3772"/>
      <c r="L525" s="3609"/>
    </row>
    <row r="526" spans="1:12" ht="30" customHeight="1" x14ac:dyDescent="0.2">
      <c r="A526" s="3450"/>
      <c r="B526" s="3525" t="s">
        <v>1776</v>
      </c>
      <c r="C526" s="3570" t="s">
        <v>916</v>
      </c>
      <c r="D526" s="1888">
        <v>235500000</v>
      </c>
      <c r="E526" s="1886">
        <v>0.05</v>
      </c>
      <c r="F526" s="1881">
        <f t="shared" ref="F526:F528" si="50">D526*E526</f>
        <v>11775000</v>
      </c>
      <c r="G526" s="1872"/>
      <c r="H526" s="1873"/>
      <c r="I526" s="1873"/>
      <c r="J526" s="1873"/>
      <c r="K526" s="1658"/>
      <c r="L526" s="1887"/>
    </row>
    <row r="527" spans="1:12" ht="30" customHeight="1" x14ac:dyDescent="0.2">
      <c r="A527" s="3456"/>
      <c r="B527" s="3643"/>
      <c r="C527" s="3576"/>
      <c r="D527" s="1881">
        <v>300000000</v>
      </c>
      <c r="E527" s="1886">
        <v>7.0000000000000007E-2</v>
      </c>
      <c r="F527" s="1881">
        <f t="shared" si="50"/>
        <v>21000000.000000004</v>
      </c>
      <c r="G527" s="1872"/>
      <c r="H527" s="1873"/>
      <c r="I527" s="1873"/>
      <c r="J527" s="1873"/>
      <c r="K527" s="1658"/>
      <c r="L527" s="1887"/>
    </row>
    <row r="528" spans="1:12" ht="30" customHeight="1" x14ac:dyDescent="0.2">
      <c r="A528" s="3456"/>
      <c r="B528" s="3643"/>
      <c r="C528" s="3576"/>
      <c r="D528" s="1881">
        <v>30000000</v>
      </c>
      <c r="E528" s="1886">
        <v>7.0000000000000007E-2</v>
      </c>
      <c r="F528" s="1881">
        <f t="shared" si="50"/>
        <v>2100000</v>
      </c>
      <c r="G528" s="1872"/>
      <c r="H528" s="1873"/>
      <c r="I528" s="1873"/>
      <c r="J528" s="1873"/>
      <c r="K528" s="1658"/>
      <c r="L528" s="1887"/>
    </row>
    <row r="529" spans="1:17" ht="30" customHeight="1" x14ac:dyDescent="0.2">
      <c r="A529" s="3456"/>
      <c r="B529" s="3643"/>
      <c r="C529" s="3576"/>
      <c r="D529" s="1885">
        <v>20000000</v>
      </c>
      <c r="E529" s="1879">
        <v>7.0000000000000007E-2</v>
      </c>
      <c r="F529" s="1885">
        <f>D529*E529</f>
        <v>1400000.0000000002</v>
      </c>
      <c r="G529" s="1872"/>
      <c r="H529" s="1873"/>
      <c r="I529" s="1873"/>
      <c r="J529" s="1873"/>
      <c r="K529" s="1658"/>
      <c r="L529" s="1887"/>
    </row>
    <row r="530" spans="1:17" ht="30" customHeight="1" x14ac:dyDescent="0.2">
      <c r="A530" s="3456"/>
      <c r="B530" s="3643"/>
      <c r="C530" s="3576"/>
      <c r="D530" s="1885">
        <v>12000000</v>
      </c>
      <c r="E530" s="1879">
        <v>7.0000000000000007E-2</v>
      </c>
      <c r="F530" s="1885">
        <f>D530*E530</f>
        <v>840000.00000000012</v>
      </c>
      <c r="G530" s="1872"/>
      <c r="H530" s="1873"/>
      <c r="I530" s="1873"/>
      <c r="J530" s="1873"/>
      <c r="K530" s="1658"/>
      <c r="L530" s="1887"/>
    </row>
    <row r="531" spans="1:17" ht="30" customHeight="1" x14ac:dyDescent="0.2">
      <c r="A531" s="3456"/>
      <c r="B531" s="3643"/>
      <c r="C531" s="3576"/>
      <c r="D531" s="1914">
        <f>SUM(D527:D530)</f>
        <v>362000000</v>
      </c>
      <c r="E531" s="1879">
        <v>7.0000000000000007E-2</v>
      </c>
      <c r="F531" s="1885">
        <f>D531*E531</f>
        <v>25340000.000000004</v>
      </c>
      <c r="G531" s="1872"/>
      <c r="H531" s="1873"/>
      <c r="I531" s="1873"/>
      <c r="J531" s="1873"/>
      <c r="K531" s="1658"/>
      <c r="L531" s="1887"/>
    </row>
    <row r="532" spans="1:17" ht="30" customHeight="1" x14ac:dyDescent="0.2">
      <c r="A532" s="3456"/>
      <c r="B532" s="3643"/>
      <c r="C532" s="3576"/>
      <c r="D532" s="3819">
        <f>D526+D531</f>
        <v>597500000</v>
      </c>
      <c r="E532" s="3820"/>
      <c r="F532" s="1914">
        <f>F526+F531</f>
        <v>37115000</v>
      </c>
      <c r="G532" s="1872"/>
      <c r="H532" s="1873"/>
      <c r="I532" s="1873"/>
      <c r="J532" s="1873"/>
      <c r="K532" s="1658"/>
      <c r="L532" s="1887"/>
    </row>
    <row r="533" spans="1:17" ht="30" customHeight="1" x14ac:dyDescent="0.2">
      <c r="A533" s="3456"/>
      <c r="B533" s="3643"/>
      <c r="C533" s="3576"/>
      <c r="D533" s="1914">
        <v>45000000</v>
      </c>
      <c r="E533" s="1889">
        <v>7.0000000000000007E-2</v>
      </c>
      <c r="F533" s="1914">
        <f>D533*E533</f>
        <v>3150000.0000000005</v>
      </c>
      <c r="G533" s="1872"/>
      <c r="H533" s="1873"/>
      <c r="I533" s="1873"/>
      <c r="J533" s="1873"/>
      <c r="K533" s="1658"/>
      <c r="L533" s="1887"/>
    </row>
    <row r="534" spans="1:17" ht="30" customHeight="1" x14ac:dyDescent="0.2">
      <c r="A534" s="3456"/>
      <c r="B534" s="3643"/>
      <c r="C534" s="3576"/>
      <c r="D534" s="1914">
        <v>100000000</v>
      </c>
      <c r="E534" s="1889">
        <v>7.0000000000000007E-2</v>
      </c>
      <c r="F534" s="1914">
        <f>D534*E534</f>
        <v>7000000.0000000009</v>
      </c>
      <c r="G534" s="3478" t="s">
        <v>3929</v>
      </c>
      <c r="H534" s="3479"/>
      <c r="I534" s="3479"/>
      <c r="J534" s="3479"/>
      <c r="K534" s="3480"/>
      <c r="L534" s="1887"/>
    </row>
    <row r="535" spans="1:17" ht="30" customHeight="1" x14ac:dyDescent="0.2">
      <c r="A535" s="3456"/>
      <c r="B535" s="3643"/>
      <c r="C535" s="3576"/>
      <c r="D535" s="1914">
        <v>80000000</v>
      </c>
      <c r="E535" s="1889">
        <v>7.0000000000000007E-2</v>
      </c>
      <c r="F535" s="1914">
        <f t="shared" ref="F535:F536" si="51">D535*E535</f>
        <v>5600000.0000000009</v>
      </c>
      <c r="G535" s="3478" t="s">
        <v>3930</v>
      </c>
      <c r="H535" s="3479"/>
      <c r="I535" s="3479"/>
      <c r="J535" s="3479"/>
      <c r="K535" s="3480"/>
      <c r="L535" s="1887"/>
    </row>
    <row r="536" spans="1:17" ht="30" customHeight="1" x14ac:dyDescent="0.2">
      <c r="A536" s="3456"/>
      <c r="B536" s="3643"/>
      <c r="C536" s="3576"/>
      <c r="D536" s="1914">
        <v>55000000</v>
      </c>
      <c r="E536" s="1889">
        <v>7.0000000000000007E-2</v>
      </c>
      <c r="F536" s="1914">
        <f t="shared" si="51"/>
        <v>3850000.0000000005</v>
      </c>
      <c r="G536" s="3478" t="s">
        <v>3931</v>
      </c>
      <c r="H536" s="3479"/>
      <c r="I536" s="3479"/>
      <c r="J536" s="3479"/>
      <c r="K536" s="3480"/>
      <c r="L536" s="1887"/>
    </row>
    <row r="537" spans="1:17" ht="30" customHeight="1" x14ac:dyDescent="0.2">
      <c r="A537" s="3456"/>
      <c r="B537" s="3643"/>
      <c r="C537" s="3576"/>
      <c r="D537" s="3819">
        <f>D532+D533+D534+D535+D536</f>
        <v>877500000</v>
      </c>
      <c r="E537" s="3820"/>
      <c r="F537" s="1914">
        <f>F532+F533+F534+F535+F536</f>
        <v>56715000</v>
      </c>
      <c r="G537" s="3827" t="s">
        <v>3811</v>
      </c>
      <c r="H537" s="3828"/>
      <c r="I537" s="3828"/>
      <c r="J537" s="3828"/>
      <c r="K537" s="3829"/>
      <c r="L537" s="1887"/>
    </row>
    <row r="538" spans="1:17" ht="30" customHeight="1" x14ac:dyDescent="0.2">
      <c r="A538" s="3456"/>
      <c r="B538" s="3643"/>
      <c r="C538" s="3576"/>
      <c r="D538" s="1914">
        <v>150000000</v>
      </c>
      <c r="E538" s="1980">
        <v>7.0000000000000007E-2</v>
      </c>
      <c r="F538" s="1914">
        <f>D538*E538</f>
        <v>10500000.000000002</v>
      </c>
      <c r="G538" s="3478" t="s">
        <v>4019</v>
      </c>
      <c r="H538" s="3479"/>
      <c r="I538" s="3479"/>
      <c r="J538" s="3479"/>
      <c r="K538" s="3480"/>
      <c r="L538" s="1970"/>
    </row>
    <row r="539" spans="1:17" ht="30" customHeight="1" x14ac:dyDescent="0.2">
      <c r="A539" s="3456"/>
      <c r="B539" s="3643"/>
      <c r="C539" s="3576"/>
      <c r="D539" s="3819">
        <f>D537+D538</f>
        <v>1027500000</v>
      </c>
      <c r="E539" s="3820"/>
      <c r="F539" s="1914">
        <f>F537+F538</f>
        <v>67215000</v>
      </c>
      <c r="G539" s="3827" t="s">
        <v>4020</v>
      </c>
      <c r="H539" s="3828"/>
      <c r="I539" s="3828"/>
      <c r="J539" s="3828"/>
      <c r="K539" s="3829"/>
      <c r="L539" s="1970"/>
    </row>
    <row r="540" spans="1:17" ht="30" customHeight="1" x14ac:dyDescent="0.2">
      <c r="A540" s="3451"/>
      <c r="B540" s="3526"/>
      <c r="C540" s="3571"/>
      <c r="D540" s="1914"/>
      <c r="E540" s="1980"/>
      <c r="F540" s="1914"/>
      <c r="G540" s="1965"/>
      <c r="H540" s="1966"/>
      <c r="I540" s="1966"/>
      <c r="J540" s="1966"/>
      <c r="K540" s="1967"/>
      <c r="L540" s="1970"/>
    </row>
    <row r="541" spans="1:17" ht="30" customHeight="1" x14ac:dyDescent="0.2">
      <c r="A541" s="1076">
        <v>339</v>
      </c>
      <c r="B541" s="1568" t="s">
        <v>173</v>
      </c>
      <c r="C541" s="1541" t="s">
        <v>1378</v>
      </c>
      <c r="D541" s="1542">
        <v>200000000</v>
      </c>
      <c r="E541" s="1569">
        <v>7.0000000000000007E-2</v>
      </c>
      <c r="F541" s="1542">
        <f t="shared" si="49"/>
        <v>14000000.000000002</v>
      </c>
      <c r="G541" s="247"/>
      <c r="H541" s="247"/>
      <c r="I541" s="1441"/>
      <c r="J541" s="247"/>
      <c r="K541" s="430"/>
      <c r="L541" s="428"/>
      <c r="M541" s="429"/>
      <c r="N541" s="429"/>
      <c r="O541" s="429"/>
      <c r="P541" s="429"/>
      <c r="Q541" s="429"/>
    </row>
    <row r="542" spans="1:17" ht="30" customHeight="1" x14ac:dyDescent="0.2">
      <c r="A542" s="3450">
        <v>340</v>
      </c>
      <c r="B542" s="3525" t="s">
        <v>68</v>
      </c>
      <c r="C542" s="3570" t="s">
        <v>1175</v>
      </c>
      <c r="D542" s="1521">
        <v>60000000</v>
      </c>
      <c r="E542" s="1569">
        <v>0.05</v>
      </c>
      <c r="F542" s="1521">
        <f>D542*E542</f>
        <v>3000000</v>
      </c>
      <c r="G542" s="3325" t="s">
        <v>2534</v>
      </c>
      <c r="H542" s="3340"/>
      <c r="I542" s="3341"/>
      <c r="J542" s="1542" t="str">
        <f t="shared" ref="J542:J551" si="52">G542</f>
        <v>به اصل مبلغ اضافه شد.</v>
      </c>
      <c r="K542" s="1509" t="e">
        <f>F542-J542</f>
        <v>#VALUE!</v>
      </c>
      <c r="L542" s="1555" t="s">
        <v>3407</v>
      </c>
      <c r="M542" s="429"/>
      <c r="N542" s="429"/>
      <c r="O542" s="429"/>
      <c r="P542" s="429"/>
      <c r="Q542" s="429"/>
    </row>
    <row r="543" spans="1:17" ht="30" customHeight="1" x14ac:dyDescent="0.2">
      <c r="A543" s="3451"/>
      <c r="B543" s="3526"/>
      <c r="C543" s="3571"/>
      <c r="D543" s="2369">
        <v>25000000</v>
      </c>
      <c r="E543" s="2379">
        <v>0.05</v>
      </c>
      <c r="F543" s="2369">
        <f>D543*E543</f>
        <v>1250000</v>
      </c>
      <c r="G543" s="3478" t="s">
        <v>4391</v>
      </c>
      <c r="H543" s="3479"/>
      <c r="I543" s="3479"/>
      <c r="J543" s="3480"/>
      <c r="K543" s="2377"/>
      <c r="L543" s="2349" t="s">
        <v>4392</v>
      </c>
      <c r="M543" s="429"/>
      <c r="N543" s="429"/>
      <c r="O543" s="429"/>
      <c r="P543" s="429"/>
      <c r="Q543" s="429"/>
    </row>
    <row r="544" spans="1:17" ht="30" customHeight="1" x14ac:dyDescent="0.2">
      <c r="A544" s="1516">
        <v>341</v>
      </c>
      <c r="B544" s="1513" t="s">
        <v>1429</v>
      </c>
      <c r="C544" s="1541"/>
      <c r="D544" s="1521">
        <v>75000000</v>
      </c>
      <c r="E544" s="1569">
        <v>4.4999999999999998E-2</v>
      </c>
      <c r="F544" s="1521">
        <v>3500000</v>
      </c>
      <c r="G544" s="1521">
        <v>3500000</v>
      </c>
      <c r="H544" s="1521" t="s">
        <v>3498</v>
      </c>
      <c r="I544" s="1535" t="s">
        <v>3543</v>
      </c>
      <c r="J544" s="1521">
        <f t="shared" si="52"/>
        <v>3500000</v>
      </c>
      <c r="K544" s="1558">
        <f>G544-J544</f>
        <v>0</v>
      </c>
      <c r="L544" s="428"/>
      <c r="M544" s="429"/>
      <c r="N544" s="429"/>
      <c r="O544" s="429"/>
      <c r="P544" s="429"/>
      <c r="Q544" s="429"/>
    </row>
    <row r="545" spans="1:17" ht="30" customHeight="1" x14ac:dyDescent="0.2">
      <c r="A545" s="1516">
        <v>342</v>
      </c>
      <c r="B545" s="1513" t="s">
        <v>72</v>
      </c>
      <c r="C545" s="1541" t="s">
        <v>2493</v>
      </c>
      <c r="D545" s="1521">
        <v>110000000</v>
      </c>
      <c r="E545" s="1569">
        <v>0.05</v>
      </c>
      <c r="F545" s="1521">
        <f>D545*E545</f>
        <v>5500000</v>
      </c>
      <c r="G545" s="1521">
        <v>5500000</v>
      </c>
      <c r="H545" s="1521" t="s">
        <v>3498</v>
      </c>
      <c r="I545" s="1535" t="s">
        <v>3549</v>
      </c>
      <c r="J545" s="1521">
        <f t="shared" si="52"/>
        <v>5500000</v>
      </c>
      <c r="K545" s="1558">
        <f>F545-J545</f>
        <v>0</v>
      </c>
      <c r="L545" s="428" t="s">
        <v>3550</v>
      </c>
      <c r="M545" s="429"/>
      <c r="N545" s="429"/>
      <c r="O545" s="429"/>
      <c r="P545" s="429"/>
      <c r="Q545" s="429"/>
    </row>
    <row r="546" spans="1:17" ht="30" customHeight="1" x14ac:dyDescent="0.2">
      <c r="A546" s="1081">
        <v>343</v>
      </c>
      <c r="B546" s="22" t="s">
        <v>1437</v>
      </c>
      <c r="C546" s="1571" t="s">
        <v>1909</v>
      </c>
      <c r="D546" s="1542">
        <v>8000000</v>
      </c>
      <c r="E546" s="1569">
        <v>0.04</v>
      </c>
      <c r="F546" s="1542">
        <f>D546*E546</f>
        <v>320000</v>
      </c>
      <c r="G546" s="1542">
        <v>320000</v>
      </c>
      <c r="H546" s="1542" t="s">
        <v>3643</v>
      </c>
      <c r="I546" s="1542" t="s">
        <v>1438</v>
      </c>
      <c r="J546" s="1542">
        <f t="shared" si="52"/>
        <v>320000</v>
      </c>
      <c r="K546" s="1509">
        <f>F546-J546</f>
        <v>0</v>
      </c>
      <c r="L546" s="1557"/>
      <c r="M546" s="429"/>
      <c r="N546" s="429"/>
      <c r="O546" s="429"/>
      <c r="P546" s="429"/>
      <c r="Q546" s="429"/>
    </row>
    <row r="547" spans="1:17" ht="30" customHeight="1" x14ac:dyDescent="0.2">
      <c r="A547" s="1516">
        <v>344</v>
      </c>
      <c r="B547" s="1513" t="s">
        <v>1445</v>
      </c>
      <c r="C547" s="1541"/>
      <c r="D547" s="1531"/>
      <c r="E547" s="1533"/>
      <c r="F547" s="1531"/>
      <c r="G547" s="1521">
        <v>6500000</v>
      </c>
      <c r="H547" s="1521" t="s">
        <v>3563</v>
      </c>
      <c r="I547" s="1535" t="s">
        <v>3565</v>
      </c>
      <c r="J547" s="1521">
        <f t="shared" si="52"/>
        <v>6500000</v>
      </c>
      <c r="K547" s="1563">
        <f>F547-J547</f>
        <v>-6500000</v>
      </c>
      <c r="L547" s="428"/>
      <c r="M547" s="429"/>
      <c r="N547" s="429"/>
      <c r="O547" s="429"/>
      <c r="P547" s="429"/>
      <c r="Q547" s="429"/>
    </row>
    <row r="548" spans="1:17" ht="30" customHeight="1" x14ac:dyDescent="0.2">
      <c r="A548" s="1516">
        <v>345</v>
      </c>
      <c r="B548" s="1513" t="s">
        <v>2206</v>
      </c>
      <c r="C548" s="1541" t="s">
        <v>1354</v>
      </c>
      <c r="D548" s="1521">
        <v>60000000</v>
      </c>
      <c r="E548" s="1569">
        <v>7.0000000000000007E-2</v>
      </c>
      <c r="F548" s="1521">
        <f>D548*E548</f>
        <v>4200000</v>
      </c>
      <c r="G548" s="1521">
        <v>4200000</v>
      </c>
      <c r="H548" s="1521" t="s">
        <v>3830</v>
      </c>
      <c r="I548" s="1535" t="s">
        <v>2207</v>
      </c>
      <c r="J548" s="1521">
        <f t="shared" si="52"/>
        <v>4200000</v>
      </c>
      <c r="K548" s="1558">
        <f>G548-J548</f>
        <v>0</v>
      </c>
      <c r="L548" s="428"/>
      <c r="M548" s="429"/>
      <c r="N548" s="429"/>
      <c r="O548" s="429"/>
      <c r="P548" s="429"/>
      <c r="Q548" s="429"/>
    </row>
    <row r="549" spans="1:17" ht="30" customHeight="1" x14ac:dyDescent="0.2">
      <c r="A549" s="1516">
        <v>346</v>
      </c>
      <c r="B549" s="1513" t="s">
        <v>1452</v>
      </c>
      <c r="C549" s="1541"/>
      <c r="D549" s="1531"/>
      <c r="E549" s="44"/>
      <c r="F549" s="1531"/>
      <c r="G549" s="1521"/>
      <c r="H549" s="1521"/>
      <c r="I549" s="1535"/>
      <c r="J549" s="1521">
        <f t="shared" si="52"/>
        <v>0</v>
      </c>
      <c r="K549" s="1563">
        <f t="shared" ref="K549:K557" si="53">F549-J549</f>
        <v>0</v>
      </c>
      <c r="L549" s="428"/>
      <c r="M549" s="429"/>
      <c r="N549" s="429"/>
      <c r="O549" s="429"/>
      <c r="P549" s="429"/>
      <c r="Q549" s="429"/>
    </row>
    <row r="550" spans="1:17" ht="30" customHeight="1" x14ac:dyDescent="0.2">
      <c r="A550" s="1516">
        <v>347</v>
      </c>
      <c r="B550" s="1513" t="s">
        <v>181</v>
      </c>
      <c r="C550" s="1541" t="s">
        <v>1909</v>
      </c>
      <c r="D550" s="1521">
        <v>130000000</v>
      </c>
      <c r="E550" s="1569">
        <v>0.05</v>
      </c>
      <c r="F550" s="1521">
        <f>D550*E550</f>
        <v>6500000</v>
      </c>
      <c r="G550" s="1521">
        <v>6500000</v>
      </c>
      <c r="H550" s="1521" t="s">
        <v>4082</v>
      </c>
      <c r="I550" s="1535" t="s">
        <v>4091</v>
      </c>
      <c r="J550" s="1521">
        <f t="shared" si="52"/>
        <v>6500000</v>
      </c>
      <c r="K550" s="1558">
        <f t="shared" si="53"/>
        <v>0</v>
      </c>
      <c r="L550" s="428"/>
      <c r="M550" s="429"/>
      <c r="N550" s="429"/>
      <c r="O550" s="429"/>
      <c r="P550" s="429"/>
      <c r="Q550" s="429"/>
    </row>
    <row r="551" spans="1:17" ht="30" customHeight="1" x14ac:dyDescent="0.2">
      <c r="A551" s="1572">
        <v>348</v>
      </c>
      <c r="B551" s="22" t="s">
        <v>1480</v>
      </c>
      <c r="C551" s="1571" t="s">
        <v>1378</v>
      </c>
      <c r="D551" s="1542">
        <v>50000000</v>
      </c>
      <c r="E551" s="1569">
        <v>0.04</v>
      </c>
      <c r="F551" s="1542">
        <f>D551*E551</f>
        <v>2000000</v>
      </c>
      <c r="G551" s="1542">
        <v>2000000</v>
      </c>
      <c r="H551" s="1542" t="s">
        <v>4031</v>
      </c>
      <c r="I551" s="1535" t="s">
        <v>4045</v>
      </c>
      <c r="J551" s="1521">
        <f t="shared" si="52"/>
        <v>2000000</v>
      </c>
      <c r="K551" s="1558">
        <f t="shared" si="53"/>
        <v>0</v>
      </c>
      <c r="L551" s="428"/>
      <c r="M551" s="429"/>
      <c r="N551" s="429"/>
      <c r="O551" s="429"/>
      <c r="P551" s="429"/>
      <c r="Q551" s="429"/>
    </row>
    <row r="552" spans="1:17" ht="30" customHeight="1" x14ac:dyDescent="0.2">
      <c r="A552" s="1516">
        <v>349</v>
      </c>
      <c r="B552" s="1513" t="s">
        <v>1619</v>
      </c>
      <c r="C552" s="1541"/>
      <c r="D552" s="1521">
        <v>80000000</v>
      </c>
      <c r="E552" s="1518">
        <v>0.04</v>
      </c>
      <c r="F552" s="1521">
        <f>D552*E552</f>
        <v>3200000</v>
      </c>
      <c r="G552" s="1521"/>
      <c r="H552" s="1521"/>
      <c r="I552" s="1535"/>
      <c r="J552" s="1521"/>
      <c r="K552" s="1558">
        <f t="shared" si="53"/>
        <v>3200000</v>
      </c>
      <c r="L552" s="428"/>
      <c r="M552" s="429"/>
      <c r="N552" s="429"/>
      <c r="O552" s="429"/>
      <c r="P552" s="429"/>
      <c r="Q552" s="429"/>
    </row>
    <row r="553" spans="1:17" ht="30" customHeight="1" x14ac:dyDescent="0.2">
      <c r="A553" s="1516">
        <v>350</v>
      </c>
      <c r="B553" s="1513" t="s">
        <v>1647</v>
      </c>
      <c r="C553" s="1541"/>
      <c r="D553" s="1521">
        <v>110000000</v>
      </c>
      <c r="E553" s="3712" t="s">
        <v>1649</v>
      </c>
      <c r="F553" s="3713"/>
      <c r="G553" s="1521">
        <v>4400000</v>
      </c>
      <c r="H553" s="1521" t="s">
        <v>3599</v>
      </c>
      <c r="I553" s="1535" t="s">
        <v>3605</v>
      </c>
      <c r="J553" s="1521">
        <f t="shared" ref="J553:J559" si="54">G553</f>
        <v>4400000</v>
      </c>
      <c r="K553" s="1563">
        <f t="shared" si="53"/>
        <v>-4400000</v>
      </c>
      <c r="L553" s="428"/>
      <c r="M553" s="429"/>
      <c r="N553" s="429"/>
      <c r="O553" s="429"/>
      <c r="P553" s="429"/>
      <c r="Q553" s="429"/>
    </row>
    <row r="554" spans="1:17" ht="30" customHeight="1" x14ac:dyDescent="0.2">
      <c r="A554" s="1572"/>
      <c r="B554" s="22" t="s">
        <v>1651</v>
      </c>
      <c r="C554" s="1571" t="s">
        <v>1215</v>
      </c>
      <c r="D554" s="1542">
        <v>680000000</v>
      </c>
      <c r="E554" s="1569">
        <v>7.0000000000000007E-2</v>
      </c>
      <c r="F554" s="1542">
        <f t="shared" ref="F554:F560" si="55">D554*E554</f>
        <v>47600000.000000007</v>
      </c>
      <c r="G554" s="1701">
        <v>47600000</v>
      </c>
      <c r="H554" s="1701" t="s">
        <v>3721</v>
      </c>
      <c r="I554" s="1701" t="s">
        <v>2591</v>
      </c>
      <c r="J554" s="1701">
        <f t="shared" si="54"/>
        <v>47600000</v>
      </c>
      <c r="K554" s="1704">
        <f t="shared" si="53"/>
        <v>0</v>
      </c>
      <c r="L554" s="951" t="s">
        <v>2866</v>
      </c>
      <c r="M554" s="429"/>
      <c r="N554" s="429"/>
      <c r="O554" s="429"/>
      <c r="P554" s="429"/>
      <c r="Q554" s="429"/>
    </row>
    <row r="555" spans="1:17" ht="30" customHeight="1" x14ac:dyDescent="0.2">
      <c r="A555" s="1516">
        <v>352</v>
      </c>
      <c r="B555" s="1513" t="s">
        <v>1654</v>
      </c>
      <c r="C555" s="1541"/>
      <c r="D555" s="1521">
        <v>50000000</v>
      </c>
      <c r="E555" s="1518">
        <v>7.0000000000000007E-2</v>
      </c>
      <c r="F555" s="1521">
        <f t="shared" si="55"/>
        <v>3500000.0000000005</v>
      </c>
      <c r="G555" s="1521">
        <v>3500000</v>
      </c>
      <c r="H555" s="1521" t="s">
        <v>3621</v>
      </c>
      <c r="I555" s="24" t="s">
        <v>3653</v>
      </c>
      <c r="J555" s="1521">
        <f t="shared" si="54"/>
        <v>3500000</v>
      </c>
      <c r="K555" s="1558">
        <f t="shared" si="53"/>
        <v>0</v>
      </c>
      <c r="L555" s="428"/>
      <c r="M555" s="429"/>
      <c r="N555" s="429"/>
      <c r="O555" s="429"/>
      <c r="P555" s="429"/>
      <c r="Q555" s="429"/>
    </row>
    <row r="556" spans="1:17" ht="30" customHeight="1" x14ac:dyDescent="0.2">
      <c r="A556" s="3693">
        <v>353</v>
      </c>
      <c r="B556" s="3687" t="s">
        <v>1658</v>
      </c>
      <c r="C556" s="1571" t="s">
        <v>1215</v>
      </c>
      <c r="D556" s="1521">
        <v>50000000</v>
      </c>
      <c r="E556" s="1569">
        <v>0.05</v>
      </c>
      <c r="F556" s="1521">
        <f t="shared" si="55"/>
        <v>2500000</v>
      </c>
      <c r="G556" s="1521">
        <v>2500000</v>
      </c>
      <c r="H556" s="1521" t="s">
        <v>3599</v>
      </c>
      <c r="I556" s="1535" t="s">
        <v>2981</v>
      </c>
      <c r="J556" s="1521">
        <f t="shared" si="54"/>
        <v>2500000</v>
      </c>
      <c r="K556" s="1558">
        <f t="shared" si="53"/>
        <v>0</v>
      </c>
      <c r="L556" s="428"/>
      <c r="M556" s="429"/>
      <c r="N556" s="429"/>
      <c r="O556" s="429"/>
      <c r="P556" s="429"/>
      <c r="Q556" s="429"/>
    </row>
    <row r="557" spans="1:17" ht="30" customHeight="1" x14ac:dyDescent="0.2">
      <c r="A557" s="3693"/>
      <c r="B557" s="3687"/>
      <c r="C557" s="1571" t="s">
        <v>1354</v>
      </c>
      <c r="D557" s="1521">
        <v>20000000</v>
      </c>
      <c r="E557" s="1569">
        <v>0.05</v>
      </c>
      <c r="F557" s="1521">
        <f t="shared" si="55"/>
        <v>1000000</v>
      </c>
      <c r="G557" s="1508">
        <v>1000000</v>
      </c>
      <c r="H557" s="1508" t="s">
        <v>2733</v>
      </c>
      <c r="I557" s="1508" t="s">
        <v>3856</v>
      </c>
      <c r="J557" s="1508">
        <f t="shared" si="54"/>
        <v>1000000</v>
      </c>
      <c r="K557" s="1558">
        <f t="shared" si="53"/>
        <v>0</v>
      </c>
      <c r="L557" s="428" t="s">
        <v>3044</v>
      </c>
      <c r="M557" s="429"/>
      <c r="N557" s="429"/>
      <c r="O557" s="429"/>
      <c r="P557" s="429"/>
      <c r="Q557" s="429"/>
    </row>
    <row r="558" spans="1:17" ht="30" customHeight="1" x14ac:dyDescent="0.2">
      <c r="A558" s="1516">
        <v>355</v>
      </c>
      <c r="B558" s="1513" t="s">
        <v>1675</v>
      </c>
      <c r="C558" s="1541" t="s">
        <v>2778</v>
      </c>
      <c r="D558" s="1521">
        <v>115000000</v>
      </c>
      <c r="E558" s="1569">
        <v>0.05</v>
      </c>
      <c r="F558" s="1521">
        <f t="shared" si="55"/>
        <v>5750000</v>
      </c>
      <c r="G558" s="1521">
        <v>5750000</v>
      </c>
      <c r="H558" s="1521" t="s">
        <v>3498</v>
      </c>
      <c r="I558" s="516" t="s">
        <v>3547</v>
      </c>
      <c r="J558" s="1521">
        <f t="shared" si="54"/>
        <v>5750000</v>
      </c>
      <c r="K558" s="1558">
        <f>F558-J558</f>
        <v>0</v>
      </c>
      <c r="L558" s="428"/>
      <c r="M558" s="429"/>
      <c r="N558" s="429"/>
      <c r="O558" s="429"/>
      <c r="P558" s="429"/>
      <c r="Q558" s="429"/>
    </row>
    <row r="559" spans="1:17" ht="30" customHeight="1" x14ac:dyDescent="0.2">
      <c r="A559" s="3450">
        <v>356</v>
      </c>
      <c r="B559" s="3457" t="s">
        <v>1683</v>
      </c>
      <c r="C559" s="3570"/>
      <c r="D559" s="1944">
        <v>60000000</v>
      </c>
      <c r="E559" s="1947">
        <v>0.04</v>
      </c>
      <c r="F559" s="1944">
        <f t="shared" si="55"/>
        <v>2400000</v>
      </c>
      <c r="G559" s="3442">
        <v>2800000</v>
      </c>
      <c r="H559" s="3442" t="s">
        <v>3599</v>
      </c>
      <c r="I559" s="3703" t="s">
        <v>3600</v>
      </c>
      <c r="J559" s="3442">
        <f t="shared" si="54"/>
        <v>2800000</v>
      </c>
      <c r="K559" s="3625">
        <f>(F559+F560)-J559</f>
        <v>0</v>
      </c>
      <c r="L559" s="3625"/>
      <c r="M559" s="429"/>
      <c r="N559" s="429"/>
      <c r="O559" s="429"/>
      <c r="P559" s="429"/>
      <c r="Q559" s="429"/>
    </row>
    <row r="560" spans="1:17" ht="30" customHeight="1" x14ac:dyDescent="0.2">
      <c r="A560" s="3451"/>
      <c r="B560" s="3458"/>
      <c r="C560" s="3571"/>
      <c r="D560" s="1944">
        <v>10000000</v>
      </c>
      <c r="E560" s="1947">
        <v>0.04</v>
      </c>
      <c r="F560" s="1944">
        <f t="shared" si="55"/>
        <v>400000</v>
      </c>
      <c r="G560" s="3443"/>
      <c r="H560" s="3443"/>
      <c r="I560" s="3704"/>
      <c r="J560" s="3443"/>
      <c r="K560" s="3626"/>
      <c r="L560" s="3626"/>
      <c r="M560" s="429"/>
      <c r="N560" s="429"/>
      <c r="O560" s="429"/>
      <c r="P560" s="429"/>
      <c r="Q560" s="429"/>
    </row>
    <row r="561" spans="1:17" ht="30" customHeight="1" x14ac:dyDescent="0.2">
      <c r="A561" s="1516">
        <v>357</v>
      </c>
      <c r="B561" s="1513" t="s">
        <v>1685</v>
      </c>
      <c r="C561" s="1541"/>
      <c r="D561" s="1521">
        <v>70000000</v>
      </c>
      <c r="E561" s="44"/>
      <c r="F561" s="1531"/>
      <c r="G561" s="1521"/>
      <c r="H561" s="1521"/>
      <c r="I561" s="516"/>
      <c r="J561" s="1521"/>
      <c r="K561" s="1563"/>
      <c r="L561" s="428" t="s">
        <v>1686</v>
      </c>
      <c r="M561" s="429"/>
      <c r="N561" s="429"/>
      <c r="O561" s="429"/>
      <c r="P561" s="429"/>
      <c r="Q561" s="429"/>
    </row>
    <row r="562" spans="1:17" ht="30" customHeight="1" x14ac:dyDescent="0.2">
      <c r="A562" s="3450">
        <v>358</v>
      </c>
      <c r="B562" s="3457" t="s">
        <v>1690</v>
      </c>
      <c r="C562" s="3570"/>
      <c r="D562" s="3505"/>
      <c r="E562" s="3507"/>
      <c r="F562" s="3505"/>
      <c r="G562" s="1521">
        <v>50000000</v>
      </c>
      <c r="H562" s="1521" t="s">
        <v>3696</v>
      </c>
      <c r="I562" s="516" t="s">
        <v>3720</v>
      </c>
      <c r="J562" s="3442">
        <f>G562+G563</f>
        <v>105000000</v>
      </c>
      <c r="K562" s="3654">
        <f>F562-J562</f>
        <v>-105000000</v>
      </c>
      <c r="L562" s="3625"/>
      <c r="M562" s="429"/>
      <c r="N562" s="429"/>
      <c r="O562" s="429"/>
      <c r="P562" s="429"/>
      <c r="Q562" s="429"/>
    </row>
    <row r="563" spans="1:17" ht="30" customHeight="1" x14ac:dyDescent="0.2">
      <c r="A563" s="3451"/>
      <c r="B563" s="3458"/>
      <c r="C563" s="3571"/>
      <c r="D563" s="3506"/>
      <c r="E563" s="3508"/>
      <c r="F563" s="3506"/>
      <c r="G563" s="1727">
        <v>55000000</v>
      </c>
      <c r="H563" s="1727" t="s">
        <v>3733</v>
      </c>
      <c r="I563" s="516" t="s">
        <v>2789</v>
      </c>
      <c r="J563" s="3443"/>
      <c r="K563" s="3655"/>
      <c r="L563" s="3626"/>
      <c r="M563" s="429"/>
      <c r="N563" s="429"/>
      <c r="O563" s="429"/>
      <c r="P563" s="429"/>
      <c r="Q563" s="429"/>
    </row>
    <row r="564" spans="1:17" ht="30" customHeight="1" x14ac:dyDescent="0.2">
      <c r="A564" s="3450">
        <v>359</v>
      </c>
      <c r="B564" s="3457" t="s">
        <v>1692</v>
      </c>
      <c r="C564" s="3570"/>
      <c r="D564" s="3505"/>
      <c r="E564" s="3507"/>
      <c r="F564" s="3505"/>
      <c r="G564" s="1521"/>
      <c r="H564" s="1521"/>
      <c r="I564" s="516"/>
      <c r="J564" s="3442">
        <f>G564+G565</f>
        <v>0</v>
      </c>
      <c r="K564" s="3654">
        <f>F564-J564</f>
        <v>0</v>
      </c>
      <c r="L564" s="3625"/>
      <c r="M564" s="429"/>
      <c r="N564" s="429"/>
      <c r="O564" s="429"/>
      <c r="P564" s="429"/>
      <c r="Q564" s="429"/>
    </row>
    <row r="565" spans="1:17" ht="30" customHeight="1" x14ac:dyDescent="0.2">
      <c r="A565" s="3451"/>
      <c r="B565" s="3458"/>
      <c r="C565" s="3571"/>
      <c r="D565" s="3506"/>
      <c r="E565" s="3508"/>
      <c r="F565" s="3506"/>
      <c r="G565" s="1521"/>
      <c r="H565" s="1521"/>
      <c r="I565" s="516"/>
      <c r="J565" s="3443"/>
      <c r="K565" s="3655"/>
      <c r="L565" s="3626"/>
      <c r="M565" s="429"/>
      <c r="N565" s="429"/>
      <c r="O565" s="429"/>
      <c r="P565" s="429"/>
      <c r="Q565" s="429"/>
    </row>
    <row r="566" spans="1:17" ht="30" customHeight="1" x14ac:dyDescent="0.2">
      <c r="A566" s="3450">
        <v>360</v>
      </c>
      <c r="B566" s="3457" t="s">
        <v>1707</v>
      </c>
      <c r="C566" s="3570" t="s">
        <v>916</v>
      </c>
      <c r="D566" s="1542">
        <v>290000000</v>
      </c>
      <c r="E566" s="1569">
        <v>0.05</v>
      </c>
      <c r="F566" s="1542">
        <f>D566*E566</f>
        <v>14500000</v>
      </c>
      <c r="G566" s="3442">
        <v>27100000</v>
      </c>
      <c r="H566" s="3442" t="s">
        <v>3570</v>
      </c>
      <c r="I566" s="3703" t="s">
        <v>1704</v>
      </c>
      <c r="J566" s="3442">
        <f>G566+G567</f>
        <v>27100000</v>
      </c>
      <c r="K566" s="3625">
        <f>(F566+F567)-G566</f>
        <v>0</v>
      </c>
      <c r="L566" s="3625"/>
      <c r="M566" s="429"/>
      <c r="N566" s="429"/>
      <c r="O566" s="429"/>
      <c r="P566" s="429"/>
      <c r="Q566" s="429"/>
    </row>
    <row r="567" spans="1:17" ht="30" customHeight="1" x14ac:dyDescent="0.2">
      <c r="A567" s="3451"/>
      <c r="B567" s="3458"/>
      <c r="C567" s="3571"/>
      <c r="D567" s="1542">
        <v>210000000</v>
      </c>
      <c r="E567" s="1569">
        <v>0.06</v>
      </c>
      <c r="F567" s="1542">
        <f>D567*E567</f>
        <v>12600000</v>
      </c>
      <c r="G567" s="3443"/>
      <c r="H567" s="3443"/>
      <c r="I567" s="3704"/>
      <c r="J567" s="3443"/>
      <c r="K567" s="3626"/>
      <c r="L567" s="3626"/>
      <c r="M567" s="429"/>
      <c r="N567" s="429"/>
      <c r="O567" s="429"/>
      <c r="P567" s="429"/>
      <c r="Q567" s="429"/>
    </row>
    <row r="568" spans="1:17" ht="30" customHeight="1" x14ac:dyDescent="0.2">
      <c r="A568" s="3450">
        <v>361</v>
      </c>
      <c r="B568" s="3457" t="s">
        <v>1705</v>
      </c>
      <c r="C568" s="3570"/>
      <c r="D568" s="3442">
        <v>3045000000</v>
      </c>
      <c r="E568" s="3444"/>
      <c r="F568" s="3442">
        <v>103600000</v>
      </c>
      <c r="G568" s="1521">
        <v>9600000</v>
      </c>
      <c r="H568" s="1521" t="s">
        <v>3498</v>
      </c>
      <c r="I568" s="516" t="s">
        <v>1706</v>
      </c>
      <c r="J568" s="1610">
        <f>G568</f>
        <v>9600000</v>
      </c>
      <c r="K568" s="1618">
        <f>103600000-94000000-J568</f>
        <v>0</v>
      </c>
      <c r="L568" s="1554" t="s">
        <v>3126</v>
      </c>
      <c r="M568" s="429"/>
      <c r="N568" s="429"/>
      <c r="O568" s="429"/>
      <c r="P568" s="429"/>
      <c r="Q568" s="429"/>
    </row>
    <row r="569" spans="1:17" ht="30" customHeight="1" x14ac:dyDescent="0.2">
      <c r="A569" s="3456"/>
      <c r="B569" s="3459"/>
      <c r="C569" s="3576"/>
      <c r="D569" s="3461"/>
      <c r="E569" s="3474"/>
      <c r="F569" s="3461"/>
      <c r="G569" s="1521">
        <v>50000000</v>
      </c>
      <c r="H569" s="1521"/>
      <c r="I569" s="516"/>
      <c r="J569" s="3575">
        <f>G569+G570+G571+G572+G573+G574+G575+G576+G577+G578</f>
        <v>103600000</v>
      </c>
      <c r="K569" s="3329">
        <f>F568-J569</f>
        <v>0</v>
      </c>
      <c r="L569" s="1574" t="s">
        <v>3014</v>
      </c>
      <c r="M569" s="429"/>
      <c r="N569" s="429"/>
      <c r="O569" s="429"/>
      <c r="P569" s="429"/>
      <c r="Q569" s="429"/>
    </row>
    <row r="570" spans="1:17" ht="30" customHeight="1" x14ac:dyDescent="0.2">
      <c r="A570" s="3456"/>
      <c r="B570" s="3459"/>
      <c r="C570" s="3576"/>
      <c r="D570" s="3461"/>
      <c r="E570" s="3474"/>
      <c r="F570" s="3461"/>
      <c r="G570" s="1521">
        <v>2000000</v>
      </c>
      <c r="H570" s="1521" t="s">
        <v>3553</v>
      </c>
      <c r="I570" s="516" t="s">
        <v>2598</v>
      </c>
      <c r="J570" s="3575"/>
      <c r="K570" s="3329"/>
      <c r="L570" s="898"/>
      <c r="M570" s="429"/>
      <c r="N570" s="429"/>
      <c r="O570" s="429"/>
      <c r="P570" s="429"/>
      <c r="Q570" s="429"/>
    </row>
    <row r="571" spans="1:17" ht="30" customHeight="1" x14ac:dyDescent="0.2">
      <c r="A571" s="3456"/>
      <c r="B571" s="3459"/>
      <c r="C571" s="3576"/>
      <c r="D571" s="3461"/>
      <c r="E571" s="3474"/>
      <c r="F571" s="3461"/>
      <c r="G571" s="1521">
        <v>11600000</v>
      </c>
      <c r="H571" s="1521" t="s">
        <v>3696</v>
      </c>
      <c r="I571" s="516" t="s">
        <v>1706</v>
      </c>
      <c r="J571" s="3575"/>
      <c r="K571" s="3329"/>
      <c r="L571" s="898"/>
      <c r="M571" s="429"/>
      <c r="N571" s="429"/>
      <c r="O571" s="429"/>
      <c r="P571" s="429"/>
      <c r="Q571" s="429"/>
    </row>
    <row r="572" spans="1:17" ht="30" customHeight="1" x14ac:dyDescent="0.2">
      <c r="A572" s="3456"/>
      <c r="B572" s="3459"/>
      <c r="C572" s="3576"/>
      <c r="D572" s="3461"/>
      <c r="E572" s="3474"/>
      <c r="F572" s="3461"/>
      <c r="G572" s="1521">
        <v>40000000</v>
      </c>
      <c r="H572" s="1521" t="s">
        <v>3814</v>
      </c>
      <c r="I572" s="516" t="s">
        <v>1706</v>
      </c>
      <c r="J572" s="3575"/>
      <c r="K572" s="3329"/>
      <c r="L572" s="898"/>
      <c r="M572" s="429"/>
      <c r="N572" s="429"/>
      <c r="O572" s="429"/>
      <c r="P572" s="429"/>
      <c r="Q572" s="429"/>
    </row>
    <row r="573" spans="1:17" ht="30" customHeight="1" x14ac:dyDescent="0.2">
      <c r="A573" s="3456"/>
      <c r="B573" s="3459"/>
      <c r="C573" s="3576"/>
      <c r="D573" s="3461"/>
      <c r="E573" s="3474"/>
      <c r="F573" s="3461"/>
      <c r="G573" s="1521"/>
      <c r="H573" s="1521"/>
      <c r="I573" s="516"/>
      <c r="J573" s="3575"/>
      <c r="K573" s="3329"/>
      <c r="L573" s="898"/>
      <c r="M573" s="429"/>
      <c r="N573" s="429"/>
      <c r="O573" s="429"/>
      <c r="P573" s="429"/>
      <c r="Q573" s="429"/>
    </row>
    <row r="574" spans="1:17" ht="30" customHeight="1" x14ac:dyDescent="0.2">
      <c r="A574" s="3456"/>
      <c r="B574" s="3459"/>
      <c r="C574" s="3576"/>
      <c r="D574" s="3461"/>
      <c r="E574" s="3474"/>
      <c r="F574" s="3461"/>
      <c r="G574" s="1521"/>
      <c r="H574" s="1521"/>
      <c r="I574" s="516"/>
      <c r="J574" s="3575"/>
      <c r="K574" s="3329"/>
      <c r="L574" s="898"/>
      <c r="M574" s="429"/>
      <c r="N574" s="429"/>
      <c r="O574" s="429"/>
      <c r="P574" s="429"/>
      <c r="Q574" s="429"/>
    </row>
    <row r="575" spans="1:17" ht="30" customHeight="1" x14ac:dyDescent="0.2">
      <c r="A575" s="3456"/>
      <c r="B575" s="3459"/>
      <c r="C575" s="3576"/>
      <c r="D575" s="3461"/>
      <c r="E575" s="3474"/>
      <c r="F575" s="3461"/>
      <c r="G575" s="1521"/>
      <c r="H575" s="1521"/>
      <c r="I575" s="516"/>
      <c r="J575" s="3575"/>
      <c r="K575" s="3329"/>
      <c r="L575" s="898"/>
      <c r="M575" s="429"/>
      <c r="N575" s="429"/>
      <c r="O575" s="429"/>
      <c r="P575" s="429"/>
      <c r="Q575" s="429"/>
    </row>
    <row r="576" spans="1:17" ht="30" customHeight="1" x14ac:dyDescent="0.2">
      <c r="A576" s="3456"/>
      <c r="B576" s="3459"/>
      <c r="C576" s="3576"/>
      <c r="D576" s="3461"/>
      <c r="E576" s="3474"/>
      <c r="F576" s="3461"/>
      <c r="G576" s="1521"/>
      <c r="H576" s="1521"/>
      <c r="I576" s="516"/>
      <c r="J576" s="3575"/>
      <c r="K576" s="3329"/>
      <c r="L576" s="898"/>
      <c r="M576" s="429"/>
      <c r="N576" s="429"/>
      <c r="O576" s="429"/>
      <c r="P576" s="429"/>
      <c r="Q576" s="429"/>
    </row>
    <row r="577" spans="1:17" ht="30" customHeight="1" x14ac:dyDescent="0.2">
      <c r="A577" s="3456"/>
      <c r="B577" s="3459"/>
      <c r="C577" s="3576"/>
      <c r="D577" s="3461"/>
      <c r="E577" s="3474"/>
      <c r="F577" s="3461"/>
      <c r="G577" s="1521"/>
      <c r="H577" s="1521"/>
      <c r="I577" s="516"/>
      <c r="J577" s="3575"/>
      <c r="K577" s="3329"/>
      <c r="L577" s="898"/>
      <c r="M577" s="429"/>
      <c r="N577" s="429"/>
      <c r="O577" s="429"/>
      <c r="P577" s="429"/>
      <c r="Q577" s="429"/>
    </row>
    <row r="578" spans="1:17" ht="30" customHeight="1" x14ac:dyDescent="0.2">
      <c r="A578" s="3451"/>
      <c r="B578" s="3458"/>
      <c r="C578" s="3571"/>
      <c r="D578" s="3443"/>
      <c r="E578" s="3445"/>
      <c r="F578" s="3443"/>
      <c r="G578" s="1521"/>
      <c r="H578" s="1521"/>
      <c r="I578" s="516"/>
      <c r="J578" s="3575"/>
      <c r="K578" s="3329"/>
      <c r="L578" s="951"/>
      <c r="M578" s="429"/>
      <c r="N578" s="429"/>
      <c r="O578" s="429"/>
      <c r="P578" s="429"/>
      <c r="Q578" s="429"/>
    </row>
    <row r="579" spans="1:17" ht="30" customHeight="1" x14ac:dyDescent="0.2">
      <c r="A579" s="3450">
        <v>362</v>
      </c>
      <c r="B579" s="3525" t="s">
        <v>1712</v>
      </c>
      <c r="C579" s="3570" t="s">
        <v>1746</v>
      </c>
      <c r="D579" s="1521">
        <v>300000000</v>
      </c>
      <c r="E579" s="1569">
        <v>4.4999999999999998E-2</v>
      </c>
      <c r="F579" s="1521">
        <f>D579*E579</f>
        <v>13500000</v>
      </c>
      <c r="G579" s="1521">
        <v>13500000</v>
      </c>
      <c r="H579" s="1521" t="s">
        <v>3570</v>
      </c>
      <c r="I579" s="516" t="s">
        <v>1713</v>
      </c>
      <c r="J579" s="1521">
        <f>G579</f>
        <v>13500000</v>
      </c>
      <c r="K579" s="1558">
        <f>F579-J579</f>
        <v>0</v>
      </c>
      <c r="L579" s="428"/>
      <c r="M579" s="429"/>
      <c r="N579" s="429"/>
      <c r="O579" s="429"/>
      <c r="P579" s="429"/>
      <c r="Q579" s="429"/>
    </row>
    <row r="580" spans="1:17" ht="30" customHeight="1" x14ac:dyDescent="0.2">
      <c r="A580" s="3451"/>
      <c r="B580" s="3526"/>
      <c r="C580" s="3571"/>
      <c r="D580" s="1633">
        <v>360000000</v>
      </c>
      <c r="E580" s="1652">
        <v>4.4999999999999998E-2</v>
      </c>
      <c r="F580" s="1633">
        <v>16500000</v>
      </c>
      <c r="G580" s="3478" t="s">
        <v>3587</v>
      </c>
      <c r="H580" s="3479"/>
      <c r="I580" s="3479"/>
      <c r="J580" s="3480"/>
      <c r="K580" s="1649"/>
      <c r="L580" s="428"/>
      <c r="M580" s="429"/>
      <c r="N580" s="429"/>
      <c r="O580" s="429"/>
      <c r="P580" s="429"/>
      <c r="Q580" s="429"/>
    </row>
    <row r="581" spans="1:17" ht="30" customHeight="1" x14ac:dyDescent="0.2">
      <c r="A581" s="1516">
        <v>363</v>
      </c>
      <c r="B581" s="1513" t="s">
        <v>1734</v>
      </c>
      <c r="C581" s="1541"/>
      <c r="D581" s="1531"/>
      <c r="E581" s="44"/>
      <c r="F581" s="1531"/>
      <c r="G581" s="1521">
        <v>1175000</v>
      </c>
      <c r="H581" s="1521" t="s">
        <v>3570</v>
      </c>
      <c r="I581" s="516" t="s">
        <v>1714</v>
      </c>
      <c r="J581" s="1521">
        <f>G581</f>
        <v>1175000</v>
      </c>
      <c r="K581" s="1558">
        <f>F581-J581</f>
        <v>-1175000</v>
      </c>
      <c r="L581" s="428"/>
      <c r="M581" s="429"/>
      <c r="N581" s="429"/>
      <c r="O581" s="429"/>
      <c r="P581" s="429"/>
      <c r="Q581" s="429"/>
    </row>
    <row r="582" spans="1:17" ht="30" customHeight="1" x14ac:dyDescent="0.2">
      <c r="A582" s="1516">
        <v>364</v>
      </c>
      <c r="B582" s="1513" t="s">
        <v>1730</v>
      </c>
      <c r="C582" s="1541"/>
      <c r="D582" s="1531"/>
      <c r="E582" s="44"/>
      <c r="F582" s="1531"/>
      <c r="G582" s="1521">
        <v>6600000</v>
      </c>
      <c r="H582" s="1521" t="s">
        <v>3563</v>
      </c>
      <c r="I582" s="516" t="s">
        <v>2910</v>
      </c>
      <c r="J582" s="1521">
        <f>G582</f>
        <v>6600000</v>
      </c>
      <c r="K582" s="1563">
        <f>F582-J582</f>
        <v>-6600000</v>
      </c>
      <c r="L582" s="428"/>
      <c r="M582" s="429"/>
      <c r="N582" s="429"/>
      <c r="O582" s="429"/>
      <c r="P582" s="429"/>
      <c r="Q582" s="429"/>
    </row>
    <row r="583" spans="1:17" ht="30" customHeight="1" x14ac:dyDescent="0.2">
      <c r="A583" s="1572">
        <v>365</v>
      </c>
      <c r="B583" s="1570" t="s">
        <v>1732</v>
      </c>
      <c r="C583" s="1571" t="s">
        <v>1817</v>
      </c>
      <c r="D583" s="1521">
        <v>250000000</v>
      </c>
      <c r="E583" s="1569">
        <v>0.05</v>
      </c>
      <c r="F583" s="1521">
        <f>D583*E583</f>
        <v>12500000</v>
      </c>
      <c r="G583" s="1542">
        <v>12500000</v>
      </c>
      <c r="H583" s="1542" t="s">
        <v>3621</v>
      </c>
      <c r="I583" s="1542" t="s">
        <v>2942</v>
      </c>
      <c r="J583" s="1542">
        <f>G583</f>
        <v>12500000</v>
      </c>
      <c r="K583" s="1558">
        <f>F583-J583</f>
        <v>0</v>
      </c>
      <c r="L583" s="1555" t="s">
        <v>2875</v>
      </c>
      <c r="M583" s="429"/>
      <c r="N583" s="429"/>
      <c r="O583" s="429"/>
      <c r="P583" s="429"/>
      <c r="Q583" s="429"/>
    </row>
    <row r="584" spans="1:17" ht="30" customHeight="1" x14ac:dyDescent="0.2">
      <c r="A584" s="1516">
        <v>366</v>
      </c>
      <c r="B584" s="1513" t="s">
        <v>1818</v>
      </c>
      <c r="C584" s="1541" t="s">
        <v>1138</v>
      </c>
      <c r="D584" s="1521">
        <v>70000000</v>
      </c>
      <c r="E584" s="1569">
        <v>6.3E-2</v>
      </c>
      <c r="F584" s="1521">
        <v>4400000</v>
      </c>
      <c r="G584" s="1521">
        <v>4400000</v>
      </c>
      <c r="H584" s="1521" t="s">
        <v>2603</v>
      </c>
      <c r="I584" s="516" t="s">
        <v>3911</v>
      </c>
      <c r="J584" s="1521">
        <f>G584</f>
        <v>4400000</v>
      </c>
      <c r="K584" s="1558">
        <f>F584-J584</f>
        <v>0</v>
      </c>
      <c r="L584" s="428"/>
      <c r="M584" s="429"/>
      <c r="N584" s="429"/>
      <c r="O584" s="429"/>
      <c r="P584" s="429"/>
      <c r="Q584" s="429"/>
    </row>
    <row r="585" spans="1:17" ht="30" customHeight="1" x14ac:dyDescent="0.2">
      <c r="A585" s="1516">
        <v>367</v>
      </c>
      <c r="B585" s="1513" t="s">
        <v>1760</v>
      </c>
      <c r="C585" s="1541"/>
      <c r="D585" s="1531"/>
      <c r="E585" s="44"/>
      <c r="F585" s="1531">
        <f>D585*E585</f>
        <v>0</v>
      </c>
      <c r="G585" s="1521">
        <v>1250000</v>
      </c>
      <c r="H585" s="1521" t="s">
        <v>3599</v>
      </c>
      <c r="I585" s="516" t="s">
        <v>1761</v>
      </c>
      <c r="J585" s="1521">
        <f>G585</f>
        <v>1250000</v>
      </c>
      <c r="K585" s="1563">
        <f>F585-J585</f>
        <v>-1250000</v>
      </c>
      <c r="L585" s="428"/>
      <c r="M585" s="429"/>
      <c r="N585" s="429"/>
      <c r="O585" s="429"/>
      <c r="P585" s="429"/>
      <c r="Q585" s="429"/>
    </row>
    <row r="586" spans="1:17" ht="30" customHeight="1" x14ac:dyDescent="0.2">
      <c r="A586" s="3693">
        <v>368</v>
      </c>
      <c r="B586" s="3687" t="s">
        <v>1905</v>
      </c>
      <c r="C586" s="3686"/>
      <c r="D586" s="3575">
        <v>800000000</v>
      </c>
      <c r="E586" s="3683">
        <v>7.0000000000000007E-2</v>
      </c>
      <c r="F586" s="3575">
        <f>D586*E586</f>
        <v>56000000.000000007</v>
      </c>
      <c r="G586" s="1616">
        <v>20000000</v>
      </c>
      <c r="H586" s="1616" t="s">
        <v>3557</v>
      </c>
      <c r="I586" s="1082" t="s">
        <v>2713</v>
      </c>
      <c r="J586" s="3575">
        <f>G586+G587</f>
        <v>40000000</v>
      </c>
      <c r="K586" s="3329">
        <f>F586-16000000-J586</f>
        <v>0</v>
      </c>
      <c r="L586" s="3620" t="s">
        <v>3525</v>
      </c>
      <c r="M586" s="429"/>
      <c r="N586" s="429"/>
      <c r="O586" s="429"/>
      <c r="P586" s="429"/>
      <c r="Q586" s="429"/>
    </row>
    <row r="587" spans="1:17" ht="30" customHeight="1" x14ac:dyDescent="0.2">
      <c r="A587" s="3693"/>
      <c r="B587" s="3687"/>
      <c r="C587" s="3686"/>
      <c r="D587" s="3575"/>
      <c r="E587" s="3683"/>
      <c r="F587" s="3575"/>
      <c r="G587" s="1616">
        <v>20000000</v>
      </c>
      <c r="H587" s="1616" t="s">
        <v>3664</v>
      </c>
      <c r="I587" s="1082" t="s">
        <v>2713</v>
      </c>
      <c r="J587" s="3575"/>
      <c r="K587" s="3329"/>
      <c r="L587" s="3621"/>
      <c r="M587" s="429"/>
      <c r="N587" s="429"/>
      <c r="O587" s="429"/>
      <c r="P587" s="429"/>
      <c r="Q587" s="429"/>
    </row>
    <row r="588" spans="1:17" ht="30" customHeight="1" x14ac:dyDescent="0.2">
      <c r="A588" s="3450">
        <v>369</v>
      </c>
      <c r="B588" s="3457" t="s">
        <v>1771</v>
      </c>
      <c r="C588" s="3570" t="s">
        <v>1746</v>
      </c>
      <c r="D588" s="1521">
        <v>250000000</v>
      </c>
      <c r="E588" s="1612">
        <v>0.05</v>
      </c>
      <c r="F588" s="1521">
        <f>D588*E588</f>
        <v>12500000</v>
      </c>
      <c r="G588" s="1521">
        <v>12500000</v>
      </c>
      <c r="H588" s="1521" t="s">
        <v>3632</v>
      </c>
      <c r="I588" s="3478" t="s">
        <v>3633</v>
      </c>
      <c r="J588" s="3479"/>
      <c r="K588" s="3480"/>
      <c r="L588" s="428"/>
      <c r="M588" s="429"/>
      <c r="N588" s="429"/>
      <c r="O588" s="429"/>
      <c r="P588" s="429"/>
      <c r="Q588" s="429"/>
    </row>
    <row r="589" spans="1:17" ht="30" customHeight="1" x14ac:dyDescent="0.2">
      <c r="A589" s="3456"/>
      <c r="B589" s="3459"/>
      <c r="C589" s="3576"/>
      <c r="D589" s="1853">
        <v>150000000</v>
      </c>
      <c r="E589" s="1852">
        <v>0.06</v>
      </c>
      <c r="F589" s="1853">
        <f>D589*E589</f>
        <v>9000000</v>
      </c>
      <c r="G589" s="3815" t="s">
        <v>4022</v>
      </c>
      <c r="H589" s="3815"/>
      <c r="I589" s="3815"/>
      <c r="J589" s="3815"/>
      <c r="K589" s="1871"/>
      <c r="L589" s="1867"/>
      <c r="M589" s="429"/>
      <c r="N589" s="429"/>
      <c r="O589" s="429"/>
      <c r="P589" s="429"/>
      <c r="Q589" s="429"/>
    </row>
    <row r="590" spans="1:17" ht="30" customHeight="1" x14ac:dyDescent="0.2">
      <c r="A590" s="3451"/>
      <c r="B590" s="3458"/>
      <c r="C590" s="3571"/>
      <c r="D590" s="1958">
        <v>50000000</v>
      </c>
      <c r="E590" s="1956">
        <v>0.06</v>
      </c>
      <c r="F590" s="1958">
        <f>D590*E590</f>
        <v>3000000</v>
      </c>
      <c r="G590" s="3478" t="s">
        <v>4023</v>
      </c>
      <c r="H590" s="3479"/>
      <c r="I590" s="3479"/>
      <c r="J590" s="3480"/>
      <c r="K590" s="1979"/>
      <c r="L590" s="1971"/>
      <c r="M590" s="429"/>
      <c r="N590" s="429"/>
      <c r="O590" s="429"/>
      <c r="P590" s="429"/>
      <c r="Q590" s="429"/>
    </row>
    <row r="591" spans="1:17" ht="30" customHeight="1" x14ac:dyDescent="0.2">
      <c r="A591" s="2130">
        <v>370</v>
      </c>
      <c r="B591" s="2137" t="s">
        <v>1795</v>
      </c>
      <c r="C591" s="1541" t="s">
        <v>3458</v>
      </c>
      <c r="D591" s="2132">
        <v>200000000</v>
      </c>
      <c r="E591" s="2135">
        <v>0.05</v>
      </c>
      <c r="F591" s="2132">
        <f>D591*E591</f>
        <v>10000000</v>
      </c>
      <c r="G591" s="2132">
        <v>10000000</v>
      </c>
      <c r="H591" s="2132" t="s">
        <v>3498</v>
      </c>
      <c r="I591" s="516" t="s">
        <v>3536</v>
      </c>
      <c r="J591" s="2132">
        <f>G591</f>
        <v>10000000</v>
      </c>
      <c r="K591" s="2134">
        <f>F591-J591</f>
        <v>0</v>
      </c>
      <c r="L591" s="2133"/>
      <c r="M591" s="429"/>
      <c r="N591" s="429"/>
      <c r="O591" s="429"/>
      <c r="P591" s="429"/>
      <c r="Q591" s="429"/>
    </row>
    <row r="592" spans="1:17" ht="30" customHeight="1" x14ac:dyDescent="0.2">
      <c r="A592" s="3450">
        <v>371</v>
      </c>
      <c r="B592" s="3457" t="s">
        <v>1797</v>
      </c>
      <c r="C592" s="3570" t="s">
        <v>971</v>
      </c>
      <c r="D592" s="3442">
        <v>50000000</v>
      </c>
      <c r="E592" s="3444">
        <v>0.04</v>
      </c>
      <c r="F592" s="3442">
        <f>D592*E592</f>
        <v>2000000</v>
      </c>
      <c r="G592" s="1521">
        <v>2000000</v>
      </c>
      <c r="H592" s="1521" t="s">
        <v>3535</v>
      </c>
      <c r="I592" s="516" t="s">
        <v>1798</v>
      </c>
      <c r="J592" s="1521">
        <f>G592</f>
        <v>2000000</v>
      </c>
      <c r="K592" s="1558">
        <f>F592-J592</f>
        <v>0</v>
      </c>
      <c r="L592" s="428"/>
      <c r="M592" s="429"/>
      <c r="N592" s="429"/>
      <c r="O592" s="429"/>
      <c r="P592" s="429"/>
      <c r="Q592" s="429"/>
    </row>
    <row r="593" spans="1:17" ht="30" customHeight="1" x14ac:dyDescent="0.2">
      <c r="A593" s="3451"/>
      <c r="B593" s="3458"/>
      <c r="C593" s="3571"/>
      <c r="D593" s="3443"/>
      <c r="E593" s="3445"/>
      <c r="F593" s="3443"/>
      <c r="G593" s="1958">
        <v>2000000</v>
      </c>
      <c r="H593" s="1958" t="s">
        <v>4031</v>
      </c>
      <c r="I593" s="516" t="s">
        <v>1798</v>
      </c>
      <c r="J593" s="1958">
        <f>G593</f>
        <v>2000000</v>
      </c>
      <c r="K593" s="1972">
        <f>F592-J593</f>
        <v>0</v>
      </c>
      <c r="L593" s="1976"/>
      <c r="M593" s="429"/>
      <c r="N593" s="429"/>
      <c r="O593" s="429"/>
      <c r="P593" s="429"/>
      <c r="Q593" s="429"/>
    </row>
    <row r="594" spans="1:17" ht="30" customHeight="1" x14ac:dyDescent="0.2">
      <c r="A594" s="1516">
        <v>372</v>
      </c>
      <c r="B594" s="1513" t="s">
        <v>1805</v>
      </c>
      <c r="C594" s="1541"/>
      <c r="D594" s="1531"/>
      <c r="E594" s="44"/>
      <c r="F594" s="1531"/>
      <c r="G594" s="1521"/>
      <c r="H594" s="1521"/>
      <c r="I594" s="516"/>
      <c r="J594" s="1521">
        <f>G594</f>
        <v>0</v>
      </c>
      <c r="K594" s="1563"/>
      <c r="L594" s="428"/>
      <c r="M594" s="429"/>
      <c r="N594" s="429"/>
      <c r="O594" s="429"/>
      <c r="P594" s="429"/>
      <c r="Q594" s="429"/>
    </row>
    <row r="595" spans="1:17" ht="30" customHeight="1" x14ac:dyDescent="0.2">
      <c r="A595" s="3450"/>
      <c r="B595" s="3457" t="s">
        <v>1824</v>
      </c>
      <c r="C595" s="3570"/>
      <c r="D595" s="3442">
        <v>20000000</v>
      </c>
      <c r="E595" s="3444">
        <v>0.05</v>
      </c>
      <c r="F595" s="3442">
        <f>D595*E595</f>
        <v>1000000</v>
      </c>
      <c r="G595" s="1643">
        <v>500000</v>
      </c>
      <c r="H595" s="1643" t="s">
        <v>3621</v>
      </c>
      <c r="I595" s="1643" t="s">
        <v>3622</v>
      </c>
      <c r="J595" s="3442">
        <f>G595+G596</f>
        <v>1000000</v>
      </c>
      <c r="K595" s="3625">
        <f>F595-J595</f>
        <v>0</v>
      </c>
      <c r="L595" s="3620" t="s">
        <v>2905</v>
      </c>
      <c r="M595" s="429"/>
      <c r="N595" s="429"/>
      <c r="O595" s="429"/>
      <c r="P595" s="429"/>
      <c r="Q595" s="429"/>
    </row>
    <row r="596" spans="1:17" ht="30" customHeight="1" x14ac:dyDescent="0.2">
      <c r="A596" s="3451"/>
      <c r="B596" s="3458"/>
      <c r="C596" s="3571"/>
      <c r="D596" s="3443"/>
      <c r="E596" s="3445"/>
      <c r="F596" s="3443"/>
      <c r="G596" s="1633">
        <v>500000</v>
      </c>
      <c r="H596" s="1633" t="s">
        <v>3621</v>
      </c>
      <c r="I596" s="1643" t="s">
        <v>3622</v>
      </c>
      <c r="J596" s="3443"/>
      <c r="K596" s="3626"/>
      <c r="L596" s="3621"/>
      <c r="M596" s="429"/>
      <c r="N596" s="429"/>
      <c r="O596" s="429"/>
      <c r="P596" s="429"/>
      <c r="Q596" s="429"/>
    </row>
    <row r="597" spans="1:17" ht="30" customHeight="1" x14ac:dyDescent="0.2">
      <c r="A597" s="1516">
        <v>374</v>
      </c>
      <c r="B597" s="1513" t="s">
        <v>1826</v>
      </c>
      <c r="C597" s="1541"/>
      <c r="D597" s="1531"/>
      <c r="E597" s="1533"/>
      <c r="F597" s="1531"/>
      <c r="G597" s="1521"/>
      <c r="H597" s="1521"/>
      <c r="I597" s="516"/>
      <c r="J597" s="1521">
        <f>G597</f>
        <v>0</v>
      </c>
      <c r="K597" s="1563">
        <f t="shared" ref="K597:K602" si="56">F597-J597</f>
        <v>0</v>
      </c>
      <c r="L597" s="428"/>
      <c r="M597" s="429"/>
      <c r="N597" s="429"/>
      <c r="O597" s="429"/>
      <c r="P597" s="429"/>
      <c r="Q597" s="429"/>
    </row>
    <row r="598" spans="1:17" ht="30" customHeight="1" x14ac:dyDescent="0.2">
      <c r="A598" s="1516">
        <v>375</v>
      </c>
      <c r="B598" s="1513" t="s">
        <v>1834</v>
      </c>
      <c r="C598" s="1541"/>
      <c r="D598" s="1521">
        <v>100000000</v>
      </c>
      <c r="E598" s="1569">
        <v>0.05</v>
      </c>
      <c r="F598" s="1521">
        <f>D598*E598</f>
        <v>5000000</v>
      </c>
      <c r="G598" s="1521">
        <v>5000000</v>
      </c>
      <c r="H598" s="1521" t="s">
        <v>3557</v>
      </c>
      <c r="I598" s="516" t="s">
        <v>3562</v>
      </c>
      <c r="J598" s="1521">
        <f>G598</f>
        <v>5000000</v>
      </c>
      <c r="K598" s="1558">
        <f t="shared" si="56"/>
        <v>0</v>
      </c>
      <c r="L598" s="428"/>
      <c r="M598" s="429"/>
      <c r="N598" s="429"/>
      <c r="O598" s="429"/>
      <c r="P598" s="429"/>
      <c r="Q598" s="429"/>
    </row>
    <row r="599" spans="1:17" ht="30" customHeight="1" x14ac:dyDescent="0.2">
      <c r="A599" s="1516">
        <v>376</v>
      </c>
      <c r="B599" s="1513" t="s">
        <v>3718</v>
      </c>
      <c r="C599" s="1541"/>
      <c r="D599" s="2141">
        <v>50000000</v>
      </c>
      <c r="E599" s="2144">
        <v>0.06</v>
      </c>
      <c r="F599" s="2141">
        <f>D599*E599</f>
        <v>3000000</v>
      </c>
      <c r="G599" s="2141">
        <v>3000000</v>
      </c>
      <c r="H599" s="2141" t="s">
        <v>3696</v>
      </c>
      <c r="I599" s="516" t="s">
        <v>1842</v>
      </c>
      <c r="J599" s="2141">
        <f>G599</f>
        <v>3000000</v>
      </c>
      <c r="K599" s="2143">
        <f t="shared" si="56"/>
        <v>0</v>
      </c>
      <c r="L599" s="428"/>
      <c r="M599" s="429"/>
      <c r="N599" s="429"/>
      <c r="O599" s="429"/>
      <c r="P599" s="429"/>
      <c r="Q599" s="429"/>
    </row>
    <row r="600" spans="1:17" ht="30" customHeight="1" x14ac:dyDescent="0.2">
      <c r="A600" s="1516">
        <v>377</v>
      </c>
      <c r="B600" s="1513" t="s">
        <v>1855</v>
      </c>
      <c r="C600" s="1541" t="s">
        <v>1746</v>
      </c>
      <c r="D600" s="1521">
        <v>153000000</v>
      </c>
      <c r="E600" s="1569">
        <v>7.0000000000000007E-2</v>
      </c>
      <c r="F600" s="1521">
        <f>D600*E600</f>
        <v>10710000.000000002</v>
      </c>
      <c r="G600" s="1521">
        <v>10710000</v>
      </c>
      <c r="H600" s="1521" t="s">
        <v>3668</v>
      </c>
      <c r="I600" s="516" t="s">
        <v>2072</v>
      </c>
      <c r="J600" s="1521">
        <f>G600</f>
        <v>10710000</v>
      </c>
      <c r="K600" s="1558">
        <f t="shared" si="56"/>
        <v>0</v>
      </c>
      <c r="L600" s="428"/>
      <c r="M600" s="429"/>
      <c r="N600" s="429"/>
      <c r="O600" s="429"/>
      <c r="P600" s="429"/>
      <c r="Q600" s="429"/>
    </row>
    <row r="601" spans="1:17" ht="30" customHeight="1" x14ac:dyDescent="0.2">
      <c r="A601" s="1516">
        <v>378</v>
      </c>
      <c r="B601" s="1513" t="s">
        <v>1902</v>
      </c>
      <c r="C601" s="1541" t="s">
        <v>916</v>
      </c>
      <c r="D601" s="1521">
        <v>300000000</v>
      </c>
      <c r="E601" s="1569">
        <v>5.0999999999999997E-2</v>
      </c>
      <c r="F601" s="1521">
        <v>15500000</v>
      </c>
      <c r="G601" s="1521">
        <v>15500000</v>
      </c>
      <c r="H601" s="1521" t="s">
        <v>3563</v>
      </c>
      <c r="I601" s="516" t="s">
        <v>3197</v>
      </c>
      <c r="J601" s="1521">
        <f>G601</f>
        <v>15500000</v>
      </c>
      <c r="K601" s="1558">
        <f t="shared" si="56"/>
        <v>0</v>
      </c>
      <c r="L601" s="428"/>
      <c r="M601" s="429"/>
      <c r="N601" s="429"/>
      <c r="O601" s="429"/>
      <c r="P601" s="429"/>
      <c r="Q601" s="429"/>
    </row>
    <row r="602" spans="1:17" ht="30" customHeight="1" x14ac:dyDescent="0.2">
      <c r="A602" s="3450">
        <v>379</v>
      </c>
      <c r="B602" s="3457" t="s">
        <v>1861</v>
      </c>
      <c r="C602" s="3570" t="s">
        <v>380</v>
      </c>
      <c r="D602" s="3442">
        <v>50000000</v>
      </c>
      <c r="E602" s="3444">
        <v>0.04</v>
      </c>
      <c r="F602" s="3442">
        <f>D602*E602</f>
        <v>2000000</v>
      </c>
      <c r="G602" s="3442">
        <v>2000000</v>
      </c>
      <c r="H602" s="3442" t="s">
        <v>3668</v>
      </c>
      <c r="I602" s="3703" t="s">
        <v>3674</v>
      </c>
      <c r="J602" s="3442">
        <f>G602+G603</f>
        <v>2000000</v>
      </c>
      <c r="K602" s="3625">
        <f t="shared" si="56"/>
        <v>0</v>
      </c>
      <c r="L602" s="3625"/>
      <c r="M602" s="429"/>
      <c r="N602" s="429"/>
      <c r="O602" s="429"/>
      <c r="P602" s="429"/>
      <c r="Q602" s="429"/>
    </row>
    <row r="603" spans="1:17" ht="30" customHeight="1" x14ac:dyDescent="0.2">
      <c r="A603" s="3451"/>
      <c r="B603" s="3458"/>
      <c r="C603" s="3571"/>
      <c r="D603" s="3443"/>
      <c r="E603" s="3445"/>
      <c r="F603" s="3443"/>
      <c r="G603" s="3443"/>
      <c r="H603" s="3443"/>
      <c r="I603" s="3704"/>
      <c r="J603" s="3443"/>
      <c r="K603" s="3626"/>
      <c r="L603" s="3626"/>
      <c r="M603" s="429"/>
      <c r="N603" s="429"/>
      <c r="O603" s="429"/>
      <c r="P603" s="429"/>
      <c r="Q603" s="429"/>
    </row>
    <row r="604" spans="1:17" ht="30" customHeight="1" x14ac:dyDescent="0.2">
      <c r="A604" s="1516">
        <v>380</v>
      </c>
      <c r="B604" s="1513" t="s">
        <v>1907</v>
      </c>
      <c r="C604" s="1541" t="s">
        <v>1131</v>
      </c>
      <c r="D604" s="1521">
        <v>10000000</v>
      </c>
      <c r="E604" s="1569">
        <v>0.05</v>
      </c>
      <c r="F604" s="1521">
        <f>D604*E604</f>
        <v>500000</v>
      </c>
      <c r="G604" s="1521"/>
      <c r="H604" s="1521"/>
      <c r="I604" s="516"/>
      <c r="J604" s="1521">
        <f>G604</f>
        <v>0</v>
      </c>
      <c r="K604" s="1558">
        <f>F604-J604</f>
        <v>500000</v>
      </c>
      <c r="L604" s="428" t="s">
        <v>1991</v>
      </c>
      <c r="M604" s="429"/>
      <c r="N604" s="429"/>
      <c r="O604" s="429"/>
      <c r="P604" s="429"/>
      <c r="Q604" s="429"/>
    </row>
    <row r="605" spans="1:17" ht="30" customHeight="1" x14ac:dyDescent="0.2">
      <c r="A605" s="1516">
        <v>381</v>
      </c>
      <c r="B605" s="1513" t="s">
        <v>1910</v>
      </c>
      <c r="C605" s="1541" t="s">
        <v>916</v>
      </c>
      <c r="D605" s="1521">
        <v>50000000</v>
      </c>
      <c r="E605" s="1569">
        <v>0.05</v>
      </c>
      <c r="F605" s="1521">
        <f>D605*E605</f>
        <v>2500000</v>
      </c>
      <c r="G605" s="1521">
        <v>2500000</v>
      </c>
      <c r="H605" s="1521" t="s">
        <v>3621</v>
      </c>
      <c r="I605" s="516" t="s">
        <v>3652</v>
      </c>
      <c r="J605" s="1521">
        <f>G605</f>
        <v>2500000</v>
      </c>
      <c r="K605" s="1558">
        <f>F605-J605</f>
        <v>0</v>
      </c>
      <c r="L605" s="428"/>
      <c r="M605" s="429"/>
      <c r="N605" s="429"/>
      <c r="O605" s="429"/>
      <c r="P605" s="429"/>
      <c r="Q605" s="429"/>
    </row>
    <row r="606" spans="1:17" ht="30" customHeight="1" x14ac:dyDescent="0.2">
      <c r="A606" s="1516">
        <v>382</v>
      </c>
      <c r="B606" s="1513" t="s">
        <v>1925</v>
      </c>
      <c r="C606" s="1541" t="s">
        <v>265</v>
      </c>
      <c r="D606" s="1521">
        <v>150000000</v>
      </c>
      <c r="E606" s="1569"/>
      <c r="F606" s="1521"/>
      <c r="G606" s="1521"/>
      <c r="H606" s="1521"/>
      <c r="I606" s="516"/>
      <c r="J606" s="1521"/>
      <c r="K606" s="1558"/>
      <c r="L606" s="428"/>
      <c r="M606" s="429"/>
      <c r="N606" s="429"/>
      <c r="O606" s="429"/>
      <c r="P606" s="429"/>
      <c r="Q606" s="429"/>
    </row>
    <row r="607" spans="1:17" ht="30" customHeight="1" x14ac:dyDescent="0.2">
      <c r="A607" s="1516">
        <v>383</v>
      </c>
      <c r="B607" s="1513" t="s">
        <v>1936</v>
      </c>
      <c r="C607" s="1541" t="s">
        <v>265</v>
      </c>
      <c r="D607" s="1521">
        <v>10000000</v>
      </c>
      <c r="E607" s="1569">
        <v>7.0000000000000007E-2</v>
      </c>
      <c r="F607" s="1521">
        <f t="shared" ref="F607:F612" si="57">D607*E607</f>
        <v>700000.00000000012</v>
      </c>
      <c r="G607" s="1521">
        <v>700000</v>
      </c>
      <c r="H607" s="1521" t="s">
        <v>3684</v>
      </c>
      <c r="I607" s="516" t="s">
        <v>3063</v>
      </c>
      <c r="J607" s="1521">
        <f>G607</f>
        <v>700000</v>
      </c>
      <c r="K607" s="1558">
        <f>F607-J607</f>
        <v>0</v>
      </c>
      <c r="L607" s="428"/>
      <c r="M607" s="429"/>
      <c r="N607" s="429"/>
      <c r="O607" s="429"/>
      <c r="P607" s="429"/>
      <c r="Q607" s="429"/>
    </row>
    <row r="608" spans="1:17" ht="30" customHeight="1" x14ac:dyDescent="0.2">
      <c r="A608" s="670">
        <v>384</v>
      </c>
      <c r="B608" s="1513" t="s">
        <v>1981</v>
      </c>
      <c r="C608" s="1541" t="s">
        <v>265</v>
      </c>
      <c r="D608" s="1521">
        <v>150000000</v>
      </c>
      <c r="E608" s="1569">
        <v>7.0000000000000007E-2</v>
      </c>
      <c r="F608" s="1521">
        <f t="shared" si="57"/>
        <v>10500000.000000002</v>
      </c>
      <c r="G608" s="1521">
        <v>10500000</v>
      </c>
      <c r="H608" s="1521" t="s">
        <v>3814</v>
      </c>
      <c r="I608" s="516" t="s">
        <v>2080</v>
      </c>
      <c r="J608" s="1521">
        <f>G608</f>
        <v>10500000</v>
      </c>
      <c r="K608" s="1558">
        <f>F608-J608</f>
        <v>0</v>
      </c>
      <c r="L608" s="428"/>
      <c r="M608" s="429"/>
      <c r="N608" s="429"/>
      <c r="O608" s="429"/>
      <c r="P608" s="429"/>
      <c r="Q608" s="429"/>
    </row>
    <row r="609" spans="1:17" ht="30" customHeight="1" x14ac:dyDescent="0.2">
      <c r="A609" s="1516">
        <v>385</v>
      </c>
      <c r="B609" s="1513" t="s">
        <v>1997</v>
      </c>
      <c r="C609" s="1541" t="s">
        <v>379</v>
      </c>
      <c r="D609" s="1521">
        <v>12000000</v>
      </c>
      <c r="E609" s="1569">
        <v>0.05</v>
      </c>
      <c r="F609" s="1521">
        <f t="shared" si="57"/>
        <v>600000</v>
      </c>
      <c r="G609" s="1521">
        <v>600000</v>
      </c>
      <c r="H609" s="1521" t="s">
        <v>3696</v>
      </c>
      <c r="I609" s="516" t="s">
        <v>3712</v>
      </c>
      <c r="J609" s="1521">
        <f>G609</f>
        <v>600000</v>
      </c>
      <c r="K609" s="1558">
        <f>F609-J609</f>
        <v>0</v>
      </c>
      <c r="L609" s="428" t="s">
        <v>1998</v>
      </c>
      <c r="M609" s="429"/>
      <c r="N609" s="429"/>
      <c r="O609" s="429"/>
      <c r="P609" s="429"/>
      <c r="Q609" s="429"/>
    </row>
    <row r="610" spans="1:17" ht="30" customHeight="1" x14ac:dyDescent="0.2">
      <c r="A610" s="426">
        <v>386</v>
      </c>
      <c r="B610" s="1567" t="s">
        <v>3227</v>
      </c>
      <c r="C610" s="1540" t="s">
        <v>1378</v>
      </c>
      <c r="D610" s="1519">
        <v>200000000</v>
      </c>
      <c r="E610" s="1517">
        <v>0.06</v>
      </c>
      <c r="F610" s="1519">
        <f t="shared" si="57"/>
        <v>12000000</v>
      </c>
      <c r="G610" s="1521">
        <v>12000000</v>
      </c>
      <c r="H610" s="1521" t="s">
        <v>3850</v>
      </c>
      <c r="I610" s="516" t="s">
        <v>2063</v>
      </c>
      <c r="J610" s="1519">
        <f>G610</f>
        <v>12000000</v>
      </c>
      <c r="K610" s="1557">
        <f>F610-J610</f>
        <v>0</v>
      </c>
      <c r="L610" s="1557"/>
      <c r="M610" s="429"/>
      <c r="N610" s="429"/>
      <c r="O610" s="429"/>
      <c r="P610" s="429"/>
      <c r="Q610" s="429"/>
    </row>
    <row r="611" spans="1:17" ht="30" customHeight="1" x14ac:dyDescent="0.2">
      <c r="A611" s="1514">
        <v>387</v>
      </c>
      <c r="B611" s="1570" t="s">
        <v>2043</v>
      </c>
      <c r="C611" s="1571"/>
      <c r="D611" s="1542">
        <v>60000000</v>
      </c>
      <c r="E611" s="1569">
        <v>0.04</v>
      </c>
      <c r="F611" s="1542">
        <f t="shared" si="57"/>
        <v>2400000</v>
      </c>
      <c r="G611" s="1542">
        <v>2400000</v>
      </c>
      <c r="H611" s="1542" t="s">
        <v>1232</v>
      </c>
      <c r="I611" s="1082" t="s">
        <v>3892</v>
      </c>
      <c r="J611" s="1542">
        <f>G611</f>
        <v>2400000</v>
      </c>
      <c r="K611" s="1509">
        <f>F611-J611</f>
        <v>0</v>
      </c>
      <c r="L611" s="1557"/>
      <c r="M611" s="429"/>
      <c r="N611" s="429"/>
      <c r="O611" s="429"/>
      <c r="P611" s="429"/>
      <c r="Q611" s="429"/>
    </row>
    <row r="612" spans="1:17" ht="30" customHeight="1" x14ac:dyDescent="0.2">
      <c r="A612" s="3693"/>
      <c r="B612" s="3687" t="s">
        <v>2073</v>
      </c>
      <c r="C612" s="3686" t="s">
        <v>3437</v>
      </c>
      <c r="D612" s="3575">
        <v>150000000</v>
      </c>
      <c r="E612" s="3683">
        <v>0.05</v>
      </c>
      <c r="F612" s="3575">
        <f t="shared" si="57"/>
        <v>7500000</v>
      </c>
      <c r="G612" s="3848" t="s">
        <v>3435</v>
      </c>
      <c r="H612" s="3849"/>
      <c r="I612" s="3849"/>
      <c r="J612" s="3850"/>
      <c r="K612" s="3625"/>
      <c r="L612" s="428" t="s">
        <v>3345</v>
      </c>
      <c r="M612" s="429"/>
      <c r="N612" s="429"/>
      <c r="O612" s="429"/>
      <c r="P612" s="429"/>
      <c r="Q612" s="429"/>
    </row>
    <row r="613" spans="1:17" ht="30" customHeight="1" x14ac:dyDescent="0.2">
      <c r="A613" s="3693"/>
      <c r="B613" s="3687"/>
      <c r="C613" s="3686"/>
      <c r="D613" s="3575"/>
      <c r="E613" s="3683"/>
      <c r="F613" s="3575"/>
      <c r="G613" s="3851"/>
      <c r="H613" s="3852"/>
      <c r="I613" s="3852"/>
      <c r="J613" s="3853"/>
      <c r="K613" s="3626"/>
      <c r="L613" s="428" t="s">
        <v>3436</v>
      </c>
      <c r="M613" s="429"/>
      <c r="N613" s="429"/>
      <c r="O613" s="429"/>
      <c r="P613" s="429"/>
      <c r="Q613" s="429"/>
    </row>
    <row r="614" spans="1:17" ht="30" customHeight="1" x14ac:dyDescent="0.2">
      <c r="A614" s="1516">
        <v>390</v>
      </c>
      <c r="B614" s="1513" t="s">
        <v>2122</v>
      </c>
      <c r="C614" s="1541" t="s">
        <v>916</v>
      </c>
      <c r="D614" s="1521">
        <v>5000000</v>
      </c>
      <c r="E614" s="1518">
        <v>0.05</v>
      </c>
      <c r="F614" s="1521">
        <f>D614*E614</f>
        <v>250000</v>
      </c>
      <c r="G614" s="1521">
        <v>250000</v>
      </c>
      <c r="H614" s="1521" t="s">
        <v>3498</v>
      </c>
      <c r="I614" s="516" t="s">
        <v>2667</v>
      </c>
      <c r="J614" s="1521">
        <f>G614</f>
        <v>250000</v>
      </c>
      <c r="K614" s="1558">
        <f>F614-J614</f>
        <v>0</v>
      </c>
      <c r="L614" s="428"/>
      <c r="M614" s="429"/>
      <c r="N614" s="429"/>
      <c r="O614" s="429"/>
      <c r="P614" s="429"/>
      <c r="Q614" s="429"/>
    </row>
    <row r="615" spans="1:17" ht="30" customHeight="1" x14ac:dyDescent="0.2">
      <c r="A615" s="3693">
        <v>391</v>
      </c>
      <c r="B615" s="3687" t="s">
        <v>2129</v>
      </c>
      <c r="C615" s="3686" t="s">
        <v>3526</v>
      </c>
      <c r="D615" s="3575">
        <v>1000000000</v>
      </c>
      <c r="E615" s="3683">
        <v>0.05</v>
      </c>
      <c r="F615" s="3575">
        <f>D615*E615</f>
        <v>50000000</v>
      </c>
      <c r="G615" s="3442">
        <v>50000000</v>
      </c>
      <c r="H615" s="3442" t="s">
        <v>3830</v>
      </c>
      <c r="I615" s="3442" t="s">
        <v>3335</v>
      </c>
      <c r="J615" s="3442">
        <f>G615</f>
        <v>50000000</v>
      </c>
      <c r="K615" s="3442">
        <f>F615-J615</f>
        <v>0</v>
      </c>
      <c r="L615" s="3620" t="s">
        <v>3337</v>
      </c>
      <c r="M615" s="429"/>
      <c r="N615" s="429"/>
      <c r="O615" s="429"/>
      <c r="P615" s="429"/>
      <c r="Q615" s="429"/>
    </row>
    <row r="616" spans="1:17" ht="30" customHeight="1" x14ac:dyDescent="0.2">
      <c r="A616" s="3693"/>
      <c r="B616" s="3687"/>
      <c r="C616" s="3686"/>
      <c r="D616" s="3575"/>
      <c r="E616" s="3683"/>
      <c r="F616" s="3575"/>
      <c r="G616" s="3443"/>
      <c r="H616" s="3443"/>
      <c r="I616" s="3443"/>
      <c r="J616" s="3443"/>
      <c r="K616" s="3443"/>
      <c r="L616" s="3621"/>
      <c r="M616" s="429"/>
      <c r="N616" s="429"/>
      <c r="O616" s="429"/>
      <c r="P616" s="429"/>
      <c r="Q616" s="429"/>
    </row>
    <row r="617" spans="1:17" ht="30" customHeight="1" x14ac:dyDescent="0.2">
      <c r="A617" s="1516">
        <v>392</v>
      </c>
      <c r="B617" s="1513" t="s">
        <v>2174</v>
      </c>
      <c r="C617" s="1541" t="s">
        <v>1349</v>
      </c>
      <c r="D617" s="1521">
        <v>50000000</v>
      </c>
      <c r="E617" s="1569">
        <v>0.05</v>
      </c>
      <c r="F617" s="1521">
        <f>D617*E617</f>
        <v>2500000</v>
      </c>
      <c r="G617" s="1521">
        <v>2500000</v>
      </c>
      <c r="H617" s="1521" t="s">
        <v>2603</v>
      </c>
      <c r="I617" s="516" t="s">
        <v>3182</v>
      </c>
      <c r="J617" s="1521">
        <f>G617</f>
        <v>2500000</v>
      </c>
      <c r="K617" s="1558">
        <f>F617-J617</f>
        <v>0</v>
      </c>
      <c r="L617" s="428" t="s">
        <v>2162</v>
      </c>
      <c r="M617" s="429"/>
      <c r="N617" s="429"/>
      <c r="O617" s="429"/>
      <c r="P617" s="429"/>
      <c r="Q617" s="429"/>
    </row>
    <row r="618" spans="1:17" ht="30" customHeight="1" x14ac:dyDescent="0.2">
      <c r="A618" s="3450">
        <v>393</v>
      </c>
      <c r="B618" s="3457" t="s">
        <v>2166</v>
      </c>
      <c r="C618" s="1541"/>
      <c r="D618" s="1718">
        <v>30000000</v>
      </c>
      <c r="E618" s="1723">
        <f>F618/D618</f>
        <v>0.05</v>
      </c>
      <c r="F618" s="1718">
        <v>1500000</v>
      </c>
      <c r="G618" s="1718">
        <v>1500000</v>
      </c>
      <c r="H618" s="1718" t="s">
        <v>3830</v>
      </c>
      <c r="I618" s="516" t="s">
        <v>3839</v>
      </c>
      <c r="J618" s="1718">
        <f>G618</f>
        <v>1500000</v>
      </c>
      <c r="K618" s="1722">
        <f>F618-J618</f>
        <v>0</v>
      </c>
      <c r="L618" s="428"/>
      <c r="M618" s="429"/>
      <c r="N618" s="429"/>
      <c r="O618" s="429"/>
      <c r="P618" s="429"/>
      <c r="Q618" s="429"/>
    </row>
    <row r="619" spans="1:17" ht="30" customHeight="1" x14ac:dyDescent="0.2">
      <c r="A619" s="3456"/>
      <c r="B619" s="3459"/>
      <c r="C619" s="3570"/>
      <c r="D619" s="3521"/>
      <c r="E619" s="3613"/>
      <c r="F619" s="3522"/>
      <c r="G619" s="3478" t="s">
        <v>3723</v>
      </c>
      <c r="H619" s="3479"/>
      <c r="I619" s="3479"/>
      <c r="J619" s="3480"/>
      <c r="K619" s="3625"/>
      <c r="L619" s="428"/>
      <c r="M619" s="429"/>
      <c r="N619" s="429"/>
      <c r="O619" s="429"/>
      <c r="P619" s="429"/>
      <c r="Q619" s="429"/>
    </row>
    <row r="620" spans="1:17" ht="30" customHeight="1" x14ac:dyDescent="0.2">
      <c r="A620" s="3456"/>
      <c r="B620" s="3459"/>
      <c r="C620" s="3576"/>
      <c r="D620" s="3691"/>
      <c r="E620" s="3355"/>
      <c r="F620" s="3692"/>
      <c r="G620" s="3478" t="s">
        <v>3724</v>
      </c>
      <c r="H620" s="3479"/>
      <c r="I620" s="3479"/>
      <c r="J620" s="3480"/>
      <c r="K620" s="3696"/>
      <c r="L620" s="428"/>
      <c r="M620" s="429"/>
      <c r="N620" s="429"/>
      <c r="O620" s="429"/>
      <c r="P620" s="429"/>
      <c r="Q620" s="429"/>
    </row>
    <row r="621" spans="1:17" ht="30" customHeight="1" x14ac:dyDescent="0.2">
      <c r="A621" s="3456"/>
      <c r="B621" s="3459"/>
      <c r="C621" s="3576"/>
      <c r="D621" s="3691"/>
      <c r="E621" s="3355"/>
      <c r="F621" s="3692"/>
      <c r="G621" s="3478" t="s">
        <v>3725</v>
      </c>
      <c r="H621" s="3479"/>
      <c r="I621" s="3479"/>
      <c r="J621" s="3480"/>
      <c r="K621" s="3696"/>
      <c r="L621" s="428"/>
      <c r="M621" s="429"/>
      <c r="N621" s="429"/>
      <c r="O621" s="429"/>
      <c r="P621" s="429"/>
      <c r="Q621" s="429"/>
    </row>
    <row r="622" spans="1:17" ht="30" customHeight="1" x14ac:dyDescent="0.2">
      <c r="A622" s="3456"/>
      <c r="B622" s="3459"/>
      <c r="C622" s="3576"/>
      <c r="D622" s="3523"/>
      <c r="E622" s="3614"/>
      <c r="F622" s="3524"/>
      <c r="G622" s="3478" t="s">
        <v>3726</v>
      </c>
      <c r="H622" s="3479"/>
      <c r="I622" s="3479"/>
      <c r="J622" s="3480"/>
      <c r="K622" s="3626"/>
      <c r="L622" s="428"/>
      <c r="M622" s="429"/>
      <c r="N622" s="429"/>
      <c r="O622" s="429"/>
      <c r="P622" s="429"/>
      <c r="Q622" s="429"/>
    </row>
    <row r="623" spans="1:17" ht="30" customHeight="1" x14ac:dyDescent="0.2">
      <c r="A623" s="3451"/>
      <c r="B623" s="3458"/>
      <c r="C623" s="3571"/>
      <c r="D623" s="1718">
        <v>70000000</v>
      </c>
      <c r="E623" s="1723"/>
      <c r="F623" s="1718"/>
      <c r="G623" s="1719"/>
      <c r="H623" s="1721"/>
      <c r="I623" s="1721"/>
      <c r="J623" s="1720"/>
      <c r="K623" s="1722"/>
      <c r="L623" s="428"/>
      <c r="M623" s="429"/>
      <c r="N623" s="429"/>
      <c r="O623" s="429"/>
      <c r="P623" s="429"/>
      <c r="Q623" s="429"/>
    </row>
    <row r="624" spans="1:17" ht="30" customHeight="1" x14ac:dyDescent="0.2">
      <c r="A624" s="3450"/>
      <c r="B624" s="722" t="s">
        <v>2178</v>
      </c>
      <c r="C624" s="3845" t="s">
        <v>1378</v>
      </c>
      <c r="D624" s="724">
        <v>600000000</v>
      </c>
      <c r="E624" s="725">
        <v>0.06</v>
      </c>
      <c r="F624" s="724">
        <f>D624*E624</f>
        <v>36000000</v>
      </c>
      <c r="G624" s="3442"/>
      <c r="H624" s="3442"/>
      <c r="I624" s="3703"/>
      <c r="J624" s="3442"/>
      <c r="K624" s="1558"/>
      <c r="L624" s="428" t="s">
        <v>2162</v>
      </c>
      <c r="M624" s="429"/>
      <c r="N624" s="429"/>
      <c r="O624" s="429"/>
      <c r="P624" s="429"/>
      <c r="Q624" s="429"/>
    </row>
    <row r="625" spans="1:17" ht="30" customHeight="1" x14ac:dyDescent="0.2">
      <c r="A625" s="3456"/>
      <c r="B625" s="722" t="s">
        <v>2175</v>
      </c>
      <c r="C625" s="3847"/>
      <c r="D625" s="724">
        <v>310000000</v>
      </c>
      <c r="E625" s="725">
        <v>0.06</v>
      </c>
      <c r="F625" s="724">
        <f t="shared" ref="F625:F628" si="58">D625*E625</f>
        <v>18600000</v>
      </c>
      <c r="G625" s="3461"/>
      <c r="H625" s="3461"/>
      <c r="I625" s="3854"/>
      <c r="J625" s="3461"/>
      <c r="K625" s="1558"/>
      <c r="L625" s="428" t="s">
        <v>2162</v>
      </c>
      <c r="M625" s="429"/>
      <c r="N625" s="429"/>
      <c r="O625" s="429"/>
      <c r="P625" s="429"/>
      <c r="Q625" s="429"/>
    </row>
    <row r="626" spans="1:17" ht="30" customHeight="1" x14ac:dyDescent="0.2">
      <c r="A626" s="3456"/>
      <c r="B626" s="722" t="s">
        <v>2179</v>
      </c>
      <c r="C626" s="3847"/>
      <c r="D626" s="724">
        <v>50000000</v>
      </c>
      <c r="E626" s="725">
        <v>0.06</v>
      </c>
      <c r="F626" s="724">
        <f t="shared" si="58"/>
        <v>3000000</v>
      </c>
      <c r="G626" s="3461"/>
      <c r="H626" s="3461"/>
      <c r="I626" s="3854"/>
      <c r="J626" s="3461"/>
      <c r="K626" s="1558"/>
      <c r="L626" s="428" t="s">
        <v>2162</v>
      </c>
      <c r="M626" s="429"/>
      <c r="N626" s="429"/>
      <c r="O626" s="429"/>
      <c r="P626" s="429"/>
      <c r="Q626" s="429"/>
    </row>
    <row r="627" spans="1:17" ht="30" customHeight="1" x14ac:dyDescent="0.2">
      <c r="A627" s="3456"/>
      <c r="B627" s="722" t="s">
        <v>2176</v>
      </c>
      <c r="C627" s="3847"/>
      <c r="D627" s="724">
        <v>110000000</v>
      </c>
      <c r="E627" s="725">
        <v>0.06</v>
      </c>
      <c r="F627" s="724">
        <f t="shared" si="58"/>
        <v>6600000</v>
      </c>
      <c r="G627" s="3461"/>
      <c r="H627" s="3461"/>
      <c r="I627" s="3854"/>
      <c r="J627" s="3461"/>
      <c r="K627" s="1558"/>
      <c r="L627" s="428" t="s">
        <v>2162</v>
      </c>
      <c r="M627" s="429"/>
      <c r="N627" s="429"/>
      <c r="O627" s="429"/>
      <c r="P627" s="429"/>
      <c r="Q627" s="429"/>
    </row>
    <row r="628" spans="1:17" ht="30" customHeight="1" x14ac:dyDescent="0.2">
      <c r="A628" s="3456"/>
      <c r="B628" s="722" t="s">
        <v>2177</v>
      </c>
      <c r="C628" s="3846"/>
      <c r="D628" s="724">
        <v>100000000</v>
      </c>
      <c r="E628" s="725">
        <v>0.06</v>
      </c>
      <c r="F628" s="724">
        <f t="shared" si="58"/>
        <v>6000000</v>
      </c>
      <c r="G628" s="3443"/>
      <c r="H628" s="3443"/>
      <c r="I628" s="3704"/>
      <c r="J628" s="3443"/>
      <c r="K628" s="1558"/>
      <c r="L628" s="428" t="s">
        <v>2162</v>
      </c>
      <c r="M628" s="429"/>
      <c r="N628" s="429"/>
      <c r="O628" s="429"/>
      <c r="P628" s="429"/>
      <c r="Q628" s="429"/>
    </row>
    <row r="629" spans="1:17" ht="30" customHeight="1" x14ac:dyDescent="0.2">
      <c r="A629" s="3456"/>
      <c r="B629" s="3839" t="s">
        <v>3559</v>
      </c>
      <c r="C629" s="3845" t="s">
        <v>1378</v>
      </c>
      <c r="D629" s="3816">
        <f>SUM(D624:D628)</f>
        <v>1170000000</v>
      </c>
      <c r="E629" s="3899"/>
      <c r="F629" s="3816">
        <f>SUM(F624:F628)</f>
        <v>70200000</v>
      </c>
      <c r="G629" s="1521">
        <v>20000000</v>
      </c>
      <c r="H629" s="1521" t="s">
        <v>3557</v>
      </c>
      <c r="I629" s="516" t="s">
        <v>3558</v>
      </c>
      <c r="J629" s="3442">
        <f>G629+G630</f>
        <v>60200000</v>
      </c>
      <c r="K629" s="3625">
        <f>F629-J629</f>
        <v>10000000</v>
      </c>
      <c r="L629" s="3625"/>
      <c r="M629" s="429"/>
      <c r="N629" s="429"/>
      <c r="O629" s="429"/>
      <c r="P629" s="429"/>
      <c r="Q629" s="429"/>
    </row>
    <row r="630" spans="1:17" ht="30" customHeight="1" x14ac:dyDescent="0.2">
      <c r="A630" s="3451"/>
      <c r="B630" s="3840"/>
      <c r="C630" s="3846"/>
      <c r="D630" s="3817"/>
      <c r="E630" s="3900"/>
      <c r="F630" s="3817"/>
      <c r="G630" s="1611">
        <v>40200000</v>
      </c>
      <c r="H630" s="1611" t="s">
        <v>3576</v>
      </c>
      <c r="I630" s="516">
        <v>8792421809</v>
      </c>
      <c r="J630" s="3443"/>
      <c r="K630" s="3626"/>
      <c r="L630" s="3626"/>
      <c r="M630" s="429"/>
      <c r="N630" s="429"/>
      <c r="O630" s="429"/>
      <c r="P630" s="429"/>
      <c r="Q630" s="429"/>
    </row>
    <row r="631" spans="1:17" ht="30" customHeight="1" x14ac:dyDescent="0.2">
      <c r="A631" s="1572"/>
      <c r="B631" s="1570" t="s">
        <v>2195</v>
      </c>
      <c r="C631" s="1571"/>
      <c r="D631" s="1542">
        <v>200000000</v>
      </c>
      <c r="E631" s="1569">
        <v>7.0000000000000007E-2</v>
      </c>
      <c r="F631" s="1542">
        <f t="shared" ref="F631:F635" si="59">D631*E631</f>
        <v>14000000.000000002</v>
      </c>
      <c r="G631" s="1521">
        <v>14000000</v>
      </c>
      <c r="H631" s="1521" t="s">
        <v>4024</v>
      </c>
      <c r="I631" s="516" t="s">
        <v>1106</v>
      </c>
      <c r="J631" s="1542">
        <f>G631</f>
        <v>14000000</v>
      </c>
      <c r="K631" s="1509">
        <f>F631-J631</f>
        <v>0</v>
      </c>
      <c r="L631" s="1557"/>
      <c r="M631" s="429"/>
      <c r="N631" s="429"/>
      <c r="O631" s="429"/>
      <c r="P631" s="429"/>
      <c r="Q631" s="429"/>
    </row>
    <row r="632" spans="1:17" ht="30" customHeight="1" x14ac:dyDescent="0.2">
      <c r="A632" s="1516"/>
      <c r="B632" s="1513" t="s">
        <v>2215</v>
      </c>
      <c r="C632" s="1541"/>
      <c r="D632" s="1521">
        <v>13000000</v>
      </c>
      <c r="E632" s="1569">
        <v>0.05</v>
      </c>
      <c r="F632" s="1521">
        <f t="shared" si="59"/>
        <v>650000</v>
      </c>
      <c r="G632" s="1521">
        <v>650000</v>
      </c>
      <c r="H632" s="1521" t="s">
        <v>3814</v>
      </c>
      <c r="I632" s="516" t="s">
        <v>3119</v>
      </c>
      <c r="J632" s="1521">
        <f>G632</f>
        <v>650000</v>
      </c>
      <c r="K632" s="1558">
        <f>F632-J632</f>
        <v>0</v>
      </c>
      <c r="L632" s="428"/>
      <c r="M632" s="429"/>
      <c r="N632" s="429"/>
      <c r="O632" s="429"/>
      <c r="P632" s="429"/>
      <c r="Q632" s="429"/>
    </row>
    <row r="633" spans="1:17" ht="30" customHeight="1" x14ac:dyDescent="0.2">
      <c r="A633" s="1516"/>
      <c r="B633" s="1513" t="s">
        <v>2254</v>
      </c>
      <c r="C633" s="1541" t="s">
        <v>1342</v>
      </c>
      <c r="D633" s="1521">
        <v>50000000</v>
      </c>
      <c r="E633" s="1569">
        <v>0.04</v>
      </c>
      <c r="F633" s="1521">
        <f t="shared" si="59"/>
        <v>2000000</v>
      </c>
      <c r="G633" s="1521">
        <v>2000000</v>
      </c>
      <c r="H633" s="1521" t="s">
        <v>4082</v>
      </c>
      <c r="I633" s="516" t="s">
        <v>2295</v>
      </c>
      <c r="J633" s="1521">
        <f>G633</f>
        <v>2000000</v>
      </c>
      <c r="K633" s="1558">
        <f>F633-G633</f>
        <v>0</v>
      </c>
      <c r="L633" s="428"/>
      <c r="M633" s="429"/>
      <c r="N633" s="429"/>
      <c r="O633" s="429"/>
      <c r="P633" s="429"/>
      <c r="Q633" s="429"/>
    </row>
    <row r="634" spans="1:17" ht="30" customHeight="1" x14ac:dyDescent="0.2">
      <c r="A634" s="1690"/>
      <c r="B634" s="1706" t="s">
        <v>2255</v>
      </c>
      <c r="C634" s="385"/>
      <c r="D634" s="1693">
        <v>100000000</v>
      </c>
      <c r="E634" s="1691">
        <v>0.05</v>
      </c>
      <c r="F634" s="1693">
        <f t="shared" si="59"/>
        <v>5000000</v>
      </c>
      <c r="G634" s="1694">
        <v>5000000</v>
      </c>
      <c r="H634" s="1694" t="s">
        <v>3696</v>
      </c>
      <c r="I634" s="1717" t="s">
        <v>3719</v>
      </c>
      <c r="J634" s="1693">
        <f>G634</f>
        <v>5000000</v>
      </c>
      <c r="K634" s="1703">
        <f>F634-J634</f>
        <v>0</v>
      </c>
      <c r="L634" s="1703"/>
      <c r="M634" s="429"/>
      <c r="N634" s="429"/>
      <c r="O634" s="429"/>
      <c r="P634" s="429"/>
      <c r="Q634" s="429"/>
    </row>
    <row r="635" spans="1:17" s="1593" customFormat="1" ht="30" customHeight="1" x14ac:dyDescent="0.2">
      <c r="A635" s="1710"/>
      <c r="B635" s="1709" t="s">
        <v>2334</v>
      </c>
      <c r="C635" s="1708" t="s">
        <v>1378</v>
      </c>
      <c r="D635" s="1701">
        <v>30000000</v>
      </c>
      <c r="E635" s="1707">
        <v>0.05</v>
      </c>
      <c r="F635" s="1701">
        <f t="shared" si="59"/>
        <v>1500000</v>
      </c>
      <c r="G635" s="1701">
        <v>1500000</v>
      </c>
      <c r="H635" s="1701" t="s">
        <v>2733</v>
      </c>
      <c r="I635" s="1701" t="s">
        <v>3339</v>
      </c>
      <c r="J635" s="1701">
        <f>G635</f>
        <v>1500000</v>
      </c>
      <c r="K635" s="1701">
        <f>F635-J635</f>
        <v>0</v>
      </c>
      <c r="L635" s="428"/>
      <c r="M635" s="430"/>
      <c r="N635" s="430"/>
      <c r="O635" s="430"/>
      <c r="P635" s="430"/>
      <c r="Q635" s="430"/>
    </row>
    <row r="636" spans="1:17" ht="30" customHeight="1" x14ac:dyDescent="0.2">
      <c r="A636" s="1516"/>
      <c r="B636" s="1513" t="s">
        <v>2422</v>
      </c>
      <c r="C636" s="1541"/>
      <c r="D636" s="1531"/>
      <c r="E636" s="44"/>
      <c r="F636" s="1531"/>
      <c r="G636" s="1521"/>
      <c r="H636" s="1521"/>
      <c r="I636" s="516"/>
      <c r="J636" s="1521">
        <f t="shared" ref="J636:J644" si="60">G636</f>
        <v>0</v>
      </c>
      <c r="K636" s="1563"/>
      <c r="L636" s="428" t="s">
        <v>2205</v>
      </c>
      <c r="M636" s="429"/>
      <c r="N636" s="429"/>
      <c r="O636" s="429"/>
      <c r="P636" s="429"/>
      <c r="Q636" s="429"/>
    </row>
    <row r="637" spans="1:17" ht="30" customHeight="1" x14ac:dyDescent="0.2">
      <c r="A637" s="1516"/>
      <c r="B637" s="3066" t="s">
        <v>2433</v>
      </c>
      <c r="C637" s="3067"/>
      <c r="D637" s="3064">
        <v>100000000</v>
      </c>
      <c r="E637" s="3069">
        <v>4.4999999999999998E-2</v>
      </c>
      <c r="F637" s="3064">
        <f>D637*E637</f>
        <v>4500000</v>
      </c>
      <c r="G637" s="3064">
        <v>9000000</v>
      </c>
      <c r="H637" s="3064" t="s">
        <v>1232</v>
      </c>
      <c r="I637" s="516" t="s">
        <v>2434</v>
      </c>
      <c r="J637" s="3064">
        <f t="shared" si="60"/>
        <v>9000000</v>
      </c>
      <c r="K637" s="3068">
        <f>F637-J637</f>
        <v>-4500000</v>
      </c>
      <c r="L637" s="428" t="s">
        <v>3893</v>
      </c>
      <c r="M637" s="429"/>
      <c r="N637" s="429"/>
      <c r="O637" s="429"/>
      <c r="P637" s="429"/>
      <c r="Q637" s="429"/>
    </row>
    <row r="638" spans="1:17" ht="30" customHeight="1" x14ac:dyDescent="0.2">
      <c r="A638" s="1516"/>
      <c r="B638" s="1513" t="s">
        <v>2474</v>
      </c>
      <c r="C638" s="1541" t="s">
        <v>1378</v>
      </c>
      <c r="D638" s="1521">
        <v>25000000</v>
      </c>
      <c r="E638" s="1569">
        <v>0.04</v>
      </c>
      <c r="F638" s="1521">
        <f>D638*E638</f>
        <v>1000000</v>
      </c>
      <c r="G638" s="1521"/>
      <c r="H638" s="1521"/>
      <c r="I638" s="516"/>
      <c r="J638" s="1521">
        <f t="shared" si="60"/>
        <v>0</v>
      </c>
      <c r="K638" s="1558">
        <f>F638-J638</f>
        <v>1000000</v>
      </c>
      <c r="L638" s="428"/>
      <c r="M638" s="429"/>
      <c r="N638" s="429"/>
      <c r="O638" s="429"/>
      <c r="P638" s="429"/>
      <c r="Q638" s="429"/>
    </row>
    <row r="639" spans="1:17" ht="30" customHeight="1" x14ac:dyDescent="0.2">
      <c r="A639" s="1516"/>
      <c r="B639" s="1513" t="s">
        <v>2515</v>
      </c>
      <c r="C639" s="1541"/>
      <c r="D639" s="1531"/>
      <c r="E639" s="44"/>
      <c r="F639" s="1531"/>
      <c r="G639" s="1521"/>
      <c r="H639" s="1521"/>
      <c r="I639" s="516"/>
      <c r="J639" s="1521">
        <f t="shared" si="60"/>
        <v>0</v>
      </c>
      <c r="K639" s="1563">
        <f>F639-J639</f>
        <v>0</v>
      </c>
      <c r="L639" s="428"/>
      <c r="M639" s="429"/>
      <c r="N639" s="429"/>
      <c r="O639" s="429"/>
      <c r="P639" s="429"/>
      <c r="Q639" s="429"/>
    </row>
    <row r="640" spans="1:17" ht="30" customHeight="1" x14ac:dyDescent="0.2">
      <c r="A640" s="3450"/>
      <c r="B640" s="3525" t="s">
        <v>2518</v>
      </c>
      <c r="C640" s="3570" t="s">
        <v>4909</v>
      </c>
      <c r="D640" s="3521" t="s">
        <v>4907</v>
      </c>
      <c r="E640" s="3613"/>
      <c r="F640" s="3522"/>
      <c r="G640" s="1521">
        <v>20000000</v>
      </c>
      <c r="H640" s="1521" t="s">
        <v>3745</v>
      </c>
      <c r="I640" s="516" t="s">
        <v>3757</v>
      </c>
      <c r="J640" s="3442">
        <f>G640+G641+G642</f>
        <v>60000000</v>
      </c>
      <c r="K640" s="3625"/>
      <c r="L640" s="3625"/>
      <c r="M640" s="429"/>
      <c r="N640" s="429"/>
      <c r="O640" s="429"/>
      <c r="P640" s="429"/>
      <c r="Q640" s="429"/>
    </row>
    <row r="641" spans="1:17" ht="30" customHeight="1" x14ac:dyDescent="0.2">
      <c r="A641" s="3456"/>
      <c r="B641" s="3643"/>
      <c r="C641" s="3576"/>
      <c r="D641" s="3691"/>
      <c r="E641" s="3355"/>
      <c r="F641" s="3692"/>
      <c r="G641" s="1743">
        <v>20000000</v>
      </c>
      <c r="H641" s="1743" t="s">
        <v>3798</v>
      </c>
      <c r="I641" s="516" t="s">
        <v>3757</v>
      </c>
      <c r="J641" s="3461"/>
      <c r="K641" s="3696"/>
      <c r="L641" s="3696"/>
      <c r="M641" s="429"/>
      <c r="N641" s="429"/>
      <c r="O641" s="429"/>
      <c r="P641" s="429"/>
      <c r="Q641" s="429"/>
    </row>
    <row r="642" spans="1:17" ht="30" customHeight="1" x14ac:dyDescent="0.2">
      <c r="A642" s="3456"/>
      <c r="B642" s="3643"/>
      <c r="C642" s="3576"/>
      <c r="D642" s="3523"/>
      <c r="E642" s="3614"/>
      <c r="F642" s="3524"/>
      <c r="G642" s="3230">
        <v>20000000</v>
      </c>
      <c r="H642" s="3230" t="s">
        <v>3814</v>
      </c>
      <c r="I642" s="516" t="s">
        <v>3757</v>
      </c>
      <c r="J642" s="3443"/>
      <c r="K642" s="3626"/>
      <c r="L642" s="3238"/>
      <c r="M642" s="429"/>
      <c r="N642" s="429"/>
      <c r="O642" s="429"/>
      <c r="P642" s="429"/>
      <c r="Q642" s="429"/>
    </row>
    <row r="643" spans="1:17" ht="30" customHeight="1" x14ac:dyDescent="0.2">
      <c r="A643" s="3451"/>
      <c r="B643" s="3526"/>
      <c r="C643" s="3571"/>
      <c r="D643" s="3228">
        <v>25000000</v>
      </c>
      <c r="E643" s="3239">
        <v>0.05</v>
      </c>
      <c r="F643" s="3228">
        <f t="shared" ref="F643:F648" si="61">D643*E643</f>
        <v>1250000</v>
      </c>
      <c r="G643" s="3478" t="s">
        <v>4908</v>
      </c>
      <c r="H643" s="3479"/>
      <c r="I643" s="3479"/>
      <c r="J643" s="3480"/>
      <c r="K643" s="3238"/>
      <c r="L643" s="3238"/>
      <c r="M643" s="429"/>
      <c r="N643" s="429"/>
      <c r="O643" s="429"/>
      <c r="P643" s="429"/>
      <c r="Q643" s="429"/>
    </row>
    <row r="644" spans="1:17" ht="30" customHeight="1" x14ac:dyDescent="0.2">
      <c r="A644" s="3450"/>
      <c r="B644" s="3457" t="s">
        <v>2781</v>
      </c>
      <c r="C644" s="3686" t="s">
        <v>1746</v>
      </c>
      <c r="D644" s="1521">
        <v>100000000</v>
      </c>
      <c r="E644" s="1569">
        <v>0.05</v>
      </c>
      <c r="F644" s="1521">
        <f t="shared" si="61"/>
        <v>5000000</v>
      </c>
      <c r="G644" s="1542">
        <v>5000000</v>
      </c>
      <c r="H644" s="1542" t="s">
        <v>3576</v>
      </c>
      <c r="I644" s="1542" t="s">
        <v>2782</v>
      </c>
      <c r="J644" s="1542">
        <f t="shared" si="60"/>
        <v>5000000</v>
      </c>
      <c r="K644" s="1558">
        <f>F644-J644</f>
        <v>0</v>
      </c>
      <c r="L644" s="428" t="s">
        <v>3348</v>
      </c>
      <c r="M644" s="429"/>
      <c r="N644" s="429"/>
      <c r="O644" s="429"/>
      <c r="P644" s="429"/>
      <c r="Q644" s="429"/>
    </row>
    <row r="645" spans="1:17" ht="30" customHeight="1" x14ac:dyDescent="0.2">
      <c r="A645" s="3456"/>
      <c r="B645" s="3459"/>
      <c r="C645" s="3686"/>
      <c r="D645" s="1521">
        <v>220000000</v>
      </c>
      <c r="E645" s="1569">
        <v>0.05</v>
      </c>
      <c r="F645" s="1521">
        <f t="shared" si="61"/>
        <v>11000000</v>
      </c>
      <c r="G645" s="3478" t="s">
        <v>3347</v>
      </c>
      <c r="H645" s="3479"/>
      <c r="I645" s="3479"/>
      <c r="J645" s="3480"/>
      <c r="K645" s="1558"/>
      <c r="L645" s="428" t="s">
        <v>3527</v>
      </c>
      <c r="M645" s="429"/>
      <c r="N645" s="429"/>
      <c r="O645" s="429"/>
      <c r="P645" s="429"/>
      <c r="Q645" s="429"/>
    </row>
    <row r="646" spans="1:17" ht="30" customHeight="1" x14ac:dyDescent="0.2">
      <c r="A646" s="3451"/>
      <c r="B646" s="3458"/>
      <c r="C646" s="1776" t="s">
        <v>3526</v>
      </c>
      <c r="D646" s="1772">
        <v>1000000000</v>
      </c>
      <c r="E646" s="1781">
        <v>6.5000000000000002E-2</v>
      </c>
      <c r="F646" s="1772">
        <f t="shared" si="61"/>
        <v>65000000</v>
      </c>
      <c r="G646" s="3478" t="s">
        <v>3828</v>
      </c>
      <c r="H646" s="3479"/>
      <c r="I646" s="3479"/>
      <c r="J646" s="3480"/>
      <c r="K646" s="1780"/>
      <c r="L646" s="428"/>
      <c r="M646" s="429"/>
      <c r="N646" s="429"/>
      <c r="O646" s="429"/>
      <c r="P646" s="429"/>
      <c r="Q646" s="429"/>
    </row>
    <row r="647" spans="1:17" ht="30" customHeight="1" x14ac:dyDescent="0.2">
      <c r="A647" s="1516"/>
      <c r="B647" s="1513" t="s">
        <v>2537</v>
      </c>
      <c r="C647" s="1541"/>
      <c r="D647" s="1521">
        <v>20000000</v>
      </c>
      <c r="E647" s="1569">
        <v>0.05</v>
      </c>
      <c r="F647" s="1521">
        <f t="shared" si="61"/>
        <v>1000000</v>
      </c>
      <c r="G647" s="1521">
        <v>1000000</v>
      </c>
      <c r="H647" s="1521" t="s">
        <v>3830</v>
      </c>
      <c r="I647" s="516" t="s">
        <v>3129</v>
      </c>
      <c r="J647" s="1521">
        <f>G647</f>
        <v>1000000</v>
      </c>
      <c r="K647" s="1558">
        <f>F647-J647</f>
        <v>0</v>
      </c>
      <c r="L647" s="428"/>
      <c r="M647" s="429"/>
      <c r="N647" s="429"/>
      <c r="O647" s="429"/>
      <c r="P647" s="429"/>
      <c r="Q647" s="429"/>
    </row>
    <row r="648" spans="1:17" ht="30" customHeight="1" x14ac:dyDescent="0.2">
      <c r="A648" s="3450"/>
      <c r="B648" s="3457" t="s">
        <v>2602</v>
      </c>
      <c r="C648" s="3570" t="s">
        <v>916</v>
      </c>
      <c r="D648" s="1521">
        <v>51000000</v>
      </c>
      <c r="E648" s="1569">
        <v>0.06</v>
      </c>
      <c r="F648" s="1521">
        <f t="shared" si="61"/>
        <v>3060000</v>
      </c>
      <c r="G648" s="3325" t="s">
        <v>3647</v>
      </c>
      <c r="H648" s="3340"/>
      <c r="I648" s="3340"/>
      <c r="J648" s="3340"/>
      <c r="K648" s="1658"/>
      <c r="L648" s="428"/>
      <c r="M648" s="429"/>
      <c r="N648" s="429"/>
      <c r="O648" s="429"/>
      <c r="P648" s="429"/>
      <c r="Q648" s="429"/>
    </row>
    <row r="649" spans="1:17" ht="30" customHeight="1" x14ac:dyDescent="0.2">
      <c r="A649" s="3456"/>
      <c r="B649" s="3459"/>
      <c r="C649" s="3576"/>
      <c r="D649" s="1521">
        <f>D648+F648+F648</f>
        <v>57120000</v>
      </c>
      <c r="E649" s="1569">
        <v>0.06</v>
      </c>
      <c r="F649" s="1521">
        <v>3425000</v>
      </c>
      <c r="G649" s="3325" t="s">
        <v>3648</v>
      </c>
      <c r="H649" s="3340"/>
      <c r="I649" s="3340"/>
      <c r="J649" s="3341"/>
      <c r="K649" s="1536"/>
      <c r="L649" s="428"/>
      <c r="M649" s="429"/>
      <c r="N649" s="429"/>
      <c r="O649" s="429"/>
      <c r="P649" s="429"/>
      <c r="Q649" s="429"/>
    </row>
    <row r="650" spans="1:17" ht="30" customHeight="1" x14ac:dyDescent="0.2">
      <c r="A650" s="3451"/>
      <c r="B650" s="3458"/>
      <c r="C650" s="3571"/>
      <c r="D650" s="1521"/>
      <c r="E650" s="1569"/>
      <c r="F650" s="1521"/>
      <c r="G650" s="1685">
        <v>3427000</v>
      </c>
      <c r="H650" s="1685" t="s">
        <v>3621</v>
      </c>
      <c r="I650" s="1685" t="s">
        <v>3646</v>
      </c>
      <c r="J650" s="1685">
        <f>G650</f>
        <v>3427000</v>
      </c>
      <c r="K650" s="1536"/>
      <c r="L650" s="428" t="s">
        <v>3509</v>
      </c>
      <c r="M650" s="429"/>
      <c r="N650" s="429"/>
      <c r="O650" s="429"/>
      <c r="P650" s="429"/>
      <c r="Q650" s="429"/>
    </row>
    <row r="651" spans="1:17" ht="30" customHeight="1" x14ac:dyDescent="0.2">
      <c r="A651" s="3450"/>
      <c r="B651" s="3457" t="s">
        <v>2651</v>
      </c>
      <c r="C651" s="3570" t="s">
        <v>1110</v>
      </c>
      <c r="D651" s="1521">
        <v>80000000</v>
      </c>
      <c r="E651" s="1569">
        <v>0.05</v>
      </c>
      <c r="F651" s="1611">
        <f>D651*E651</f>
        <v>4000000</v>
      </c>
      <c r="G651" s="1616">
        <v>4000000</v>
      </c>
      <c r="H651" s="1616" t="s">
        <v>3498</v>
      </c>
      <c r="I651" s="1616" t="s">
        <v>3538</v>
      </c>
      <c r="J651" s="1616">
        <f>G651</f>
        <v>4000000</v>
      </c>
      <c r="K651" s="1616">
        <f>F651-J651</f>
        <v>0</v>
      </c>
      <c r="L651" s="428" t="s">
        <v>3126</v>
      </c>
      <c r="M651" s="429"/>
      <c r="N651" s="429"/>
      <c r="O651" s="429"/>
      <c r="P651" s="429"/>
      <c r="Q651" s="429"/>
    </row>
    <row r="652" spans="1:17" ht="30" customHeight="1" x14ac:dyDescent="0.2">
      <c r="A652" s="3456"/>
      <c r="B652" s="3459"/>
      <c r="C652" s="3576"/>
      <c r="D652" s="3228">
        <v>80000000</v>
      </c>
      <c r="E652" s="3239">
        <v>0.05</v>
      </c>
      <c r="F652" s="3228">
        <f>D652*E652</f>
        <v>4000000</v>
      </c>
      <c r="G652" s="3478" t="s">
        <v>4896</v>
      </c>
      <c r="H652" s="3479"/>
      <c r="I652" s="3479"/>
      <c r="J652" s="3480"/>
      <c r="K652" s="3229"/>
      <c r="L652" s="3240"/>
      <c r="M652" s="429"/>
      <c r="N652" s="429"/>
      <c r="O652" s="429"/>
      <c r="P652" s="429"/>
      <c r="Q652" s="429"/>
    </row>
    <row r="653" spans="1:17" ht="30" customHeight="1" x14ac:dyDescent="0.2">
      <c r="A653" s="3451"/>
      <c r="B653" s="3458"/>
      <c r="C653" s="3571"/>
      <c r="D653" s="3233">
        <v>30000000</v>
      </c>
      <c r="E653" s="3232">
        <v>0.05</v>
      </c>
      <c r="F653" s="3233">
        <f>D653*E653</f>
        <v>1500000</v>
      </c>
      <c r="G653" s="3478" t="s">
        <v>4895</v>
      </c>
      <c r="H653" s="3479"/>
      <c r="I653" s="3479"/>
      <c r="J653" s="3480"/>
      <c r="K653" s="3229"/>
      <c r="L653" s="3240"/>
      <c r="M653" s="429"/>
      <c r="N653" s="429"/>
      <c r="O653" s="429"/>
      <c r="P653" s="429"/>
      <c r="Q653" s="429"/>
    </row>
    <row r="654" spans="1:17" ht="30" customHeight="1" x14ac:dyDescent="0.2">
      <c r="A654" s="3450"/>
      <c r="B654" s="3457" t="s">
        <v>2767</v>
      </c>
      <c r="C654" s="3570"/>
      <c r="D654" s="3505"/>
      <c r="E654" s="3507"/>
      <c r="F654" s="3505"/>
      <c r="G654" s="1542"/>
      <c r="H654" s="1542"/>
      <c r="I654" s="1542"/>
      <c r="J654" s="3442">
        <f>G654+G655+G656</f>
        <v>0</v>
      </c>
      <c r="K654" s="3505">
        <f>F654-J654</f>
        <v>0</v>
      </c>
      <c r="L654" s="3625"/>
      <c r="M654" s="429"/>
      <c r="N654" s="429"/>
      <c r="O654" s="429"/>
      <c r="P654" s="429"/>
      <c r="Q654" s="429"/>
    </row>
    <row r="655" spans="1:17" ht="30" customHeight="1" x14ac:dyDescent="0.2">
      <c r="A655" s="3456"/>
      <c r="B655" s="3459"/>
      <c r="C655" s="3576"/>
      <c r="D655" s="3549"/>
      <c r="E655" s="3550"/>
      <c r="F655" s="3549"/>
      <c r="G655" s="1521"/>
      <c r="H655" s="1521"/>
      <c r="I655" s="1542"/>
      <c r="J655" s="3461"/>
      <c r="K655" s="3549"/>
      <c r="L655" s="3696"/>
      <c r="M655" s="429"/>
      <c r="N655" s="429"/>
      <c r="O655" s="429"/>
      <c r="P655" s="429"/>
      <c r="Q655" s="429"/>
    </row>
    <row r="656" spans="1:17" ht="30" customHeight="1" x14ac:dyDescent="0.2">
      <c r="A656" s="3451"/>
      <c r="B656" s="3458"/>
      <c r="C656" s="3571"/>
      <c r="D656" s="3506"/>
      <c r="E656" s="3508"/>
      <c r="F656" s="3506"/>
      <c r="G656" s="1521"/>
      <c r="H656" s="1521"/>
      <c r="I656" s="1535"/>
      <c r="J656" s="3443"/>
      <c r="K656" s="3506"/>
      <c r="L656" s="3626"/>
      <c r="M656" s="429"/>
      <c r="N656" s="429"/>
      <c r="O656" s="429"/>
      <c r="P656" s="429"/>
      <c r="Q656" s="429"/>
    </row>
    <row r="657" spans="1:17" ht="30" customHeight="1" x14ac:dyDescent="0.2">
      <c r="A657" s="3450"/>
      <c r="B657" s="3457" t="s">
        <v>2685</v>
      </c>
      <c r="C657" s="3570"/>
      <c r="D657" s="1521">
        <v>10000000</v>
      </c>
      <c r="E657" s="1569"/>
      <c r="F657" s="1521"/>
      <c r="G657" s="1521"/>
      <c r="H657" s="1521"/>
      <c r="I657" s="516"/>
      <c r="J657" s="1521"/>
      <c r="K657" s="1558"/>
      <c r="L657" s="428" t="s">
        <v>2686</v>
      </c>
      <c r="M657" s="429"/>
      <c r="N657" s="429"/>
      <c r="O657" s="429"/>
      <c r="P657" s="429"/>
      <c r="Q657" s="429"/>
    </row>
    <row r="658" spans="1:17" ht="30" customHeight="1" x14ac:dyDescent="0.2">
      <c r="A658" s="3451"/>
      <c r="B658" s="3458"/>
      <c r="C658" s="3571"/>
      <c r="D658" s="1930">
        <v>5000000</v>
      </c>
      <c r="E658" s="1935"/>
      <c r="F658" s="1930"/>
      <c r="G658" s="1930"/>
      <c r="H658" s="1930"/>
      <c r="I658" s="516"/>
      <c r="J658" s="1930"/>
      <c r="K658" s="1934"/>
      <c r="L658" s="1938" t="s">
        <v>4345</v>
      </c>
      <c r="M658" s="429"/>
      <c r="N658" s="429"/>
      <c r="O658" s="429"/>
      <c r="P658" s="429"/>
      <c r="Q658" s="429"/>
    </row>
    <row r="659" spans="1:17" ht="30" customHeight="1" x14ac:dyDescent="0.2">
      <c r="A659" s="1682"/>
      <c r="B659" s="1688" t="s">
        <v>2848</v>
      </c>
      <c r="C659" s="1687" t="s">
        <v>265</v>
      </c>
      <c r="D659" s="1685">
        <v>186000000</v>
      </c>
      <c r="E659" s="1686">
        <v>5.5E-2</v>
      </c>
      <c r="F659" s="1685">
        <f>D659*E659</f>
        <v>10230000</v>
      </c>
      <c r="G659" s="1685">
        <v>9000000</v>
      </c>
      <c r="H659" s="1685" t="s">
        <v>3621</v>
      </c>
      <c r="I659" s="1082" t="s">
        <v>3238</v>
      </c>
      <c r="J659" s="1685">
        <f>G659</f>
        <v>9000000</v>
      </c>
      <c r="K659" s="1680">
        <f>F659-J659</f>
        <v>1230000</v>
      </c>
      <c r="L659" s="1689" t="s">
        <v>3659</v>
      </c>
      <c r="M659" s="429"/>
      <c r="N659" s="429"/>
      <c r="O659" s="429"/>
      <c r="P659" s="429"/>
      <c r="Q659" s="429"/>
    </row>
    <row r="660" spans="1:17" ht="30" customHeight="1" x14ac:dyDescent="0.2">
      <c r="A660" s="1572"/>
      <c r="B660" s="1681" t="s">
        <v>2707</v>
      </c>
      <c r="C660" s="1684"/>
      <c r="D660" s="1521">
        <v>60000000</v>
      </c>
      <c r="E660" s="1683">
        <v>5.5E-2</v>
      </c>
      <c r="F660" s="1521">
        <f>D660*E660</f>
        <v>3300000</v>
      </c>
      <c r="G660" s="1521">
        <v>3300000</v>
      </c>
      <c r="H660" s="1521" t="s">
        <v>3621</v>
      </c>
      <c r="I660" s="516" t="s">
        <v>3238</v>
      </c>
      <c r="J660" s="1521">
        <f>G660</f>
        <v>3300000</v>
      </c>
      <c r="K660" s="1558">
        <f>F660-J660</f>
        <v>0</v>
      </c>
      <c r="L660" s="428" t="s">
        <v>3658</v>
      </c>
      <c r="M660" s="429"/>
      <c r="N660" s="429"/>
      <c r="O660" s="429"/>
      <c r="P660" s="429"/>
      <c r="Q660" s="429"/>
    </row>
    <row r="661" spans="1:17" ht="30" customHeight="1" x14ac:dyDescent="0.2">
      <c r="A661" s="1516"/>
      <c r="B661" s="1513" t="s">
        <v>2743</v>
      </c>
      <c r="C661" s="1541"/>
      <c r="D661" s="1531"/>
      <c r="E661" s="44"/>
      <c r="F661" s="1531"/>
      <c r="G661" s="1521"/>
      <c r="H661" s="1521"/>
      <c r="I661" s="516"/>
      <c r="J661" s="1521">
        <f>G661</f>
        <v>0</v>
      </c>
      <c r="K661" s="1563">
        <f>F661-J661</f>
        <v>0</v>
      </c>
      <c r="L661" s="428"/>
      <c r="M661" s="429"/>
      <c r="N661" s="429"/>
      <c r="O661" s="429"/>
      <c r="P661" s="429"/>
      <c r="Q661" s="429"/>
    </row>
    <row r="662" spans="1:17" ht="30" customHeight="1" x14ac:dyDescent="0.2">
      <c r="A662" s="3450"/>
      <c r="B662" s="3457" t="s">
        <v>2745</v>
      </c>
      <c r="C662" s="3570"/>
      <c r="D662" s="1885">
        <v>4215000000</v>
      </c>
      <c r="E662" s="1886">
        <v>0.05</v>
      </c>
      <c r="F662" s="1885">
        <f>D662*E662</f>
        <v>210750000</v>
      </c>
      <c r="G662" s="1521">
        <v>100000000</v>
      </c>
      <c r="H662" s="1521" t="s">
        <v>4031</v>
      </c>
      <c r="I662" s="516" t="s">
        <v>4032</v>
      </c>
      <c r="J662" s="3442">
        <f>G662+G663</f>
        <v>121050000</v>
      </c>
      <c r="K662" s="3625">
        <f>F666-J662</f>
        <v>690000000</v>
      </c>
      <c r="L662" s="3625"/>
      <c r="M662" s="429"/>
      <c r="N662" s="429"/>
      <c r="O662" s="429"/>
      <c r="P662" s="429"/>
      <c r="Q662" s="429"/>
    </row>
    <row r="663" spans="1:17" ht="30" customHeight="1" x14ac:dyDescent="0.2">
      <c r="A663" s="3456"/>
      <c r="B663" s="3459"/>
      <c r="C663" s="3576"/>
      <c r="D663" s="1885">
        <v>2000000000</v>
      </c>
      <c r="E663" s="1886">
        <v>7.0000000000000007E-2</v>
      </c>
      <c r="F663" s="1885">
        <f t="shared" ref="F663:F665" si="62">D663*E663</f>
        <v>140000000</v>
      </c>
      <c r="G663" s="1521">
        <v>21050000</v>
      </c>
      <c r="H663" s="1521" t="s">
        <v>4082</v>
      </c>
      <c r="I663" s="516" t="s">
        <v>2820</v>
      </c>
      <c r="J663" s="3443"/>
      <c r="K663" s="3626"/>
      <c r="L663" s="3626"/>
      <c r="M663" s="429"/>
      <c r="N663" s="429"/>
      <c r="O663" s="429"/>
      <c r="P663" s="429"/>
      <c r="Q663" s="429"/>
    </row>
    <row r="664" spans="1:17" ht="30" customHeight="1" x14ac:dyDescent="0.2">
      <c r="A664" s="3456"/>
      <c r="B664" s="3459"/>
      <c r="C664" s="3576"/>
      <c r="D664" s="1885">
        <v>3785000000</v>
      </c>
      <c r="E664" s="1886">
        <v>0.06</v>
      </c>
      <c r="F664" s="1885">
        <f t="shared" si="62"/>
        <v>227100000</v>
      </c>
      <c r="G664" s="3806" t="s">
        <v>4398</v>
      </c>
      <c r="H664" s="3807"/>
      <c r="I664" s="3807"/>
      <c r="J664" s="3808"/>
      <c r="K664" s="2105"/>
      <c r="L664" s="1555"/>
      <c r="M664" s="429"/>
      <c r="N664" s="429"/>
      <c r="O664" s="429"/>
      <c r="P664" s="429"/>
      <c r="Q664" s="429"/>
    </row>
    <row r="665" spans="1:17" ht="30" customHeight="1" x14ac:dyDescent="0.2">
      <c r="A665" s="3456"/>
      <c r="B665" s="3459"/>
      <c r="C665" s="3576"/>
      <c r="D665" s="1885">
        <v>2915000000</v>
      </c>
      <c r="E665" s="1886">
        <v>0.08</v>
      </c>
      <c r="F665" s="1885">
        <f t="shared" si="62"/>
        <v>233200000</v>
      </c>
      <c r="G665" s="3809"/>
      <c r="H665" s="3810"/>
      <c r="I665" s="3810"/>
      <c r="J665" s="3811"/>
      <c r="K665" s="2105"/>
      <c r="L665" s="1555"/>
      <c r="M665" s="429"/>
      <c r="N665" s="429"/>
      <c r="O665" s="429"/>
      <c r="P665" s="429"/>
      <c r="Q665" s="429"/>
    </row>
    <row r="666" spans="1:17" ht="30" customHeight="1" x14ac:dyDescent="0.2">
      <c r="A666" s="3451"/>
      <c r="B666" s="3459"/>
      <c r="C666" s="3576"/>
      <c r="D666" s="1913">
        <f>SUM(D662:D665)</f>
        <v>12915000000</v>
      </c>
      <c r="E666" s="1926"/>
      <c r="F666" s="1913">
        <f>SUM(F662:F665)</f>
        <v>811050000</v>
      </c>
      <c r="G666" s="3812"/>
      <c r="H666" s="3813"/>
      <c r="I666" s="3813"/>
      <c r="J666" s="3814"/>
      <c r="K666" s="2105"/>
      <c r="L666" s="1558"/>
      <c r="M666" s="429"/>
      <c r="N666" s="429"/>
      <c r="O666" s="429"/>
      <c r="P666" s="429"/>
      <c r="Q666" s="429"/>
    </row>
    <row r="667" spans="1:17" ht="30" customHeight="1" x14ac:dyDescent="0.2">
      <c r="A667" s="2364"/>
      <c r="B667" s="3458"/>
      <c r="C667" s="3571"/>
      <c r="D667" s="948">
        <v>690000000</v>
      </c>
      <c r="E667" s="1926"/>
      <c r="F667" s="948"/>
      <c r="G667" s="3478" t="s">
        <v>4397</v>
      </c>
      <c r="H667" s="3479"/>
      <c r="I667" s="3479"/>
      <c r="J667" s="3480"/>
      <c r="K667" s="2377"/>
      <c r="L667" s="2377"/>
      <c r="M667" s="429"/>
      <c r="N667" s="429"/>
      <c r="O667" s="429"/>
      <c r="P667" s="429"/>
      <c r="Q667" s="429"/>
    </row>
    <row r="668" spans="1:17" ht="30" customHeight="1" x14ac:dyDescent="0.2">
      <c r="A668" s="1572"/>
      <c r="B668" s="1143" t="s">
        <v>2756</v>
      </c>
      <c r="C668" s="1541"/>
      <c r="D668" s="2309">
        <v>100000000</v>
      </c>
      <c r="E668" s="2317">
        <v>4.4999999999999998E-2</v>
      </c>
      <c r="F668" s="2309">
        <f>D668*E668</f>
        <v>4500000</v>
      </c>
      <c r="G668" s="1521">
        <v>4500000</v>
      </c>
      <c r="H668" s="1521" t="s">
        <v>3599</v>
      </c>
      <c r="I668" s="516" t="s">
        <v>1827</v>
      </c>
      <c r="J668" s="1521">
        <f t="shared" ref="J668:J676" si="63">G668</f>
        <v>4500000</v>
      </c>
      <c r="K668" s="2316">
        <f t="shared" ref="K668:K677" si="64">F668-J668</f>
        <v>0</v>
      </c>
      <c r="L668" s="428"/>
      <c r="M668" s="429"/>
      <c r="N668" s="429"/>
      <c r="O668" s="429"/>
      <c r="P668" s="429"/>
      <c r="Q668" s="429"/>
    </row>
    <row r="669" spans="1:17" ht="30" customHeight="1" x14ac:dyDescent="0.2">
      <c r="A669" s="1572"/>
      <c r="B669" s="1570" t="s">
        <v>2773</v>
      </c>
      <c r="C669" s="1541"/>
      <c r="D669" s="2180">
        <v>70000000</v>
      </c>
      <c r="E669" s="2184">
        <v>0.04</v>
      </c>
      <c r="F669" s="2180">
        <f>D669*E669</f>
        <v>2800000</v>
      </c>
      <c r="G669" s="2180">
        <v>2800000</v>
      </c>
      <c r="H669" s="2180" t="s">
        <v>3570</v>
      </c>
      <c r="I669" s="516" t="s">
        <v>2774</v>
      </c>
      <c r="J669" s="2180">
        <f t="shared" si="63"/>
        <v>2800000</v>
      </c>
      <c r="K669" s="2183">
        <f t="shared" si="64"/>
        <v>0</v>
      </c>
      <c r="L669" s="428" t="s">
        <v>3826</v>
      </c>
      <c r="M669" s="429"/>
      <c r="N669" s="429"/>
      <c r="O669" s="429"/>
      <c r="P669" s="429"/>
      <c r="Q669" s="429"/>
    </row>
    <row r="670" spans="1:17" ht="30" customHeight="1" x14ac:dyDescent="0.2">
      <c r="A670" s="1572"/>
      <c r="B670" s="1570" t="s">
        <v>2784</v>
      </c>
      <c r="C670" s="1571"/>
      <c r="D670" s="1534"/>
      <c r="E670" s="44"/>
      <c r="F670" s="1534"/>
      <c r="G670" s="1542"/>
      <c r="H670" s="1542"/>
      <c r="I670" s="1082"/>
      <c r="J670" s="1542">
        <f t="shared" si="63"/>
        <v>0</v>
      </c>
      <c r="K670" s="1083">
        <f t="shared" si="64"/>
        <v>0</v>
      </c>
      <c r="L670" s="428"/>
      <c r="M670" s="429"/>
      <c r="N670" s="429"/>
      <c r="O670" s="429"/>
      <c r="P670" s="429"/>
      <c r="Q670" s="429"/>
    </row>
    <row r="671" spans="1:17" ht="30" customHeight="1" x14ac:dyDescent="0.2">
      <c r="A671" s="153"/>
      <c r="B671" s="3" t="s">
        <v>2826</v>
      </c>
      <c r="C671" s="1570"/>
      <c r="D671" s="1531"/>
      <c r="E671" s="44"/>
      <c r="F671" s="1531"/>
      <c r="G671" s="1521">
        <v>14000000</v>
      </c>
      <c r="H671" s="1521" t="s">
        <v>3684</v>
      </c>
      <c r="I671" s="516" t="s">
        <v>2827</v>
      </c>
      <c r="J671" s="1521">
        <f t="shared" si="63"/>
        <v>14000000</v>
      </c>
      <c r="K671" s="1563">
        <f t="shared" si="64"/>
        <v>-14000000</v>
      </c>
      <c r="L671" s="428"/>
      <c r="M671" s="429"/>
      <c r="N671" s="429"/>
      <c r="O671" s="429"/>
      <c r="P671" s="429"/>
      <c r="Q671" s="429"/>
    </row>
    <row r="672" spans="1:17" ht="30" customHeight="1" x14ac:dyDescent="0.2">
      <c r="A672" s="1572"/>
      <c r="B672" s="1570" t="s">
        <v>2836</v>
      </c>
      <c r="C672" s="1513"/>
      <c r="D672" s="1521">
        <v>30000000</v>
      </c>
      <c r="E672" s="1569">
        <v>0.05</v>
      </c>
      <c r="F672" s="1521">
        <f t="shared" ref="F672:F677" si="65">D672*E672</f>
        <v>1500000</v>
      </c>
      <c r="G672" s="1701">
        <v>1500000</v>
      </c>
      <c r="H672" s="1701" t="s">
        <v>3668</v>
      </c>
      <c r="I672" s="1701" t="s">
        <v>3673</v>
      </c>
      <c r="J672" s="1701">
        <f t="shared" si="63"/>
        <v>1500000</v>
      </c>
      <c r="K672" s="1558">
        <f t="shared" si="64"/>
        <v>0</v>
      </c>
      <c r="L672" s="428" t="s">
        <v>2835</v>
      </c>
      <c r="M672" s="429"/>
      <c r="N672" s="429"/>
      <c r="O672" s="429"/>
      <c r="P672" s="429"/>
      <c r="Q672" s="429"/>
    </row>
    <row r="673" spans="1:17" ht="30" customHeight="1" x14ac:dyDescent="0.2">
      <c r="A673" s="1572"/>
      <c r="B673" s="1570" t="s">
        <v>2861</v>
      </c>
      <c r="C673" s="1541" t="s">
        <v>401</v>
      </c>
      <c r="D673" s="1521">
        <v>140000000</v>
      </c>
      <c r="E673" s="1569">
        <v>7.0000000000000007E-2</v>
      </c>
      <c r="F673" s="1521">
        <f t="shared" si="65"/>
        <v>9800000.0000000019</v>
      </c>
      <c r="G673" s="1701">
        <v>9800000</v>
      </c>
      <c r="H673" s="1701" t="s">
        <v>3557</v>
      </c>
      <c r="I673" s="1701" t="s">
        <v>3662</v>
      </c>
      <c r="J673" s="1701">
        <f t="shared" si="63"/>
        <v>9800000</v>
      </c>
      <c r="K673" s="1704">
        <f t="shared" si="64"/>
        <v>0</v>
      </c>
      <c r="L673" s="428" t="s">
        <v>3528</v>
      </c>
      <c r="M673" s="429"/>
      <c r="N673" s="429"/>
      <c r="O673" s="429"/>
      <c r="P673" s="429"/>
      <c r="Q673" s="429"/>
    </row>
    <row r="674" spans="1:17" ht="30" customHeight="1" x14ac:dyDescent="0.2">
      <c r="A674" s="1572"/>
      <c r="B674" s="1570" t="s">
        <v>2869</v>
      </c>
      <c r="C674" s="1541"/>
      <c r="D674" s="1521">
        <v>85000000</v>
      </c>
      <c r="E674" s="1569">
        <v>0.05</v>
      </c>
      <c r="F674" s="1521">
        <f t="shared" si="65"/>
        <v>4250000</v>
      </c>
      <c r="G674" s="1542">
        <v>4250000</v>
      </c>
      <c r="H674" s="1542" t="s">
        <v>3621</v>
      </c>
      <c r="I674" s="1082" t="s">
        <v>3665</v>
      </c>
      <c r="J674" s="1542">
        <f t="shared" si="63"/>
        <v>4250000</v>
      </c>
      <c r="K674" s="1558">
        <f t="shared" si="64"/>
        <v>0</v>
      </c>
      <c r="L674" s="428"/>
      <c r="M674" s="429"/>
      <c r="N674" s="429"/>
      <c r="O674" s="429"/>
      <c r="P674" s="429"/>
      <c r="Q674" s="429"/>
    </row>
    <row r="675" spans="1:17" ht="30" customHeight="1" x14ac:dyDescent="0.2">
      <c r="A675" s="1572"/>
      <c r="B675" s="1570" t="s">
        <v>3671</v>
      </c>
      <c r="C675" s="1541" t="s">
        <v>380</v>
      </c>
      <c r="D675" s="1521">
        <v>50000000</v>
      </c>
      <c r="E675" s="1569">
        <v>0.05</v>
      </c>
      <c r="F675" s="1521">
        <f t="shared" si="65"/>
        <v>2500000</v>
      </c>
      <c r="G675" s="1542">
        <v>2500000</v>
      </c>
      <c r="H675" s="1542" t="s">
        <v>3668</v>
      </c>
      <c r="I675" s="1542" t="s">
        <v>3672</v>
      </c>
      <c r="J675" s="1542">
        <f t="shared" si="63"/>
        <v>2500000</v>
      </c>
      <c r="K675" s="1558">
        <f t="shared" si="64"/>
        <v>0</v>
      </c>
      <c r="L675" s="428" t="s">
        <v>2871</v>
      </c>
      <c r="M675" s="429"/>
      <c r="N675" s="429"/>
      <c r="O675" s="429"/>
      <c r="P675" s="429"/>
      <c r="Q675" s="429"/>
    </row>
    <row r="676" spans="1:17" ht="30" customHeight="1" x14ac:dyDescent="0.2">
      <c r="A676" s="1572"/>
      <c r="B676" s="1570" t="s">
        <v>2872</v>
      </c>
      <c r="C676" s="1541" t="s">
        <v>380</v>
      </c>
      <c r="D676" s="1521">
        <v>25000000</v>
      </c>
      <c r="E676" s="1569">
        <v>0.05</v>
      </c>
      <c r="F676" s="1521">
        <f t="shared" si="65"/>
        <v>1250000</v>
      </c>
      <c r="G676" s="1542">
        <v>1250000</v>
      </c>
      <c r="H676" s="1542" t="s">
        <v>3621</v>
      </c>
      <c r="I676" s="1542" t="s">
        <v>3663</v>
      </c>
      <c r="J676" s="1542">
        <f t="shared" si="63"/>
        <v>1250000</v>
      </c>
      <c r="K676" s="1558">
        <f t="shared" si="64"/>
        <v>0</v>
      </c>
      <c r="L676" s="428" t="s">
        <v>2871</v>
      </c>
      <c r="M676" s="429"/>
      <c r="N676" s="429"/>
      <c r="O676" s="429"/>
      <c r="P676" s="429"/>
      <c r="Q676" s="429"/>
    </row>
    <row r="677" spans="1:17" ht="30" customHeight="1" x14ac:dyDescent="0.2">
      <c r="A677" s="3450"/>
      <c r="B677" s="3457" t="s">
        <v>2901</v>
      </c>
      <c r="C677" s="3570"/>
      <c r="D677" s="3442">
        <v>300000000</v>
      </c>
      <c r="E677" s="3444">
        <v>5.5E-2</v>
      </c>
      <c r="F677" s="3442">
        <f t="shared" si="65"/>
        <v>16500000</v>
      </c>
      <c r="G677" s="1542">
        <v>16000000</v>
      </c>
      <c r="H677" s="1542" t="s">
        <v>3599</v>
      </c>
      <c r="I677" s="1542" t="s">
        <v>3613</v>
      </c>
      <c r="J677" s="3442">
        <f>G677+G678</f>
        <v>16500000</v>
      </c>
      <c r="K677" s="3625">
        <f t="shared" si="64"/>
        <v>0</v>
      </c>
      <c r="L677" s="3620" t="s">
        <v>2902</v>
      </c>
      <c r="M677" s="429"/>
      <c r="N677" s="429"/>
      <c r="O677" s="429"/>
      <c r="P677" s="429"/>
      <c r="Q677" s="429"/>
    </row>
    <row r="678" spans="1:17" ht="30" customHeight="1" x14ac:dyDescent="0.2">
      <c r="A678" s="3451"/>
      <c r="B678" s="3458"/>
      <c r="C678" s="3571"/>
      <c r="D678" s="3443"/>
      <c r="E678" s="3445"/>
      <c r="F678" s="3443"/>
      <c r="G678" s="1643">
        <v>500000</v>
      </c>
      <c r="H678" s="1643" t="s">
        <v>3621</v>
      </c>
      <c r="I678" s="1643" t="s">
        <v>3623</v>
      </c>
      <c r="J678" s="3443"/>
      <c r="K678" s="3626"/>
      <c r="L678" s="3621"/>
      <c r="M678" s="429"/>
      <c r="N678" s="429"/>
      <c r="O678" s="429"/>
      <c r="P678" s="429"/>
      <c r="Q678" s="429"/>
    </row>
    <row r="679" spans="1:17" ht="30" customHeight="1" x14ac:dyDescent="0.2">
      <c r="A679" s="1572"/>
      <c r="B679" s="1570" t="s">
        <v>2933</v>
      </c>
      <c r="C679" s="1541"/>
      <c r="D679" s="1521">
        <v>85000000</v>
      </c>
      <c r="E679" s="1569"/>
      <c r="F679" s="1521"/>
      <c r="G679" s="1542"/>
      <c r="H679" s="1542"/>
      <c r="I679" s="1542"/>
      <c r="J679" s="1542"/>
      <c r="K679" s="1558"/>
      <c r="L679" s="428" t="s">
        <v>2934</v>
      </c>
      <c r="M679" s="429"/>
      <c r="N679" s="429"/>
      <c r="O679" s="429"/>
      <c r="P679" s="429"/>
      <c r="Q679" s="429"/>
    </row>
    <row r="680" spans="1:17" ht="30" customHeight="1" x14ac:dyDescent="0.2">
      <c r="A680" s="1572"/>
      <c r="B680" s="1570" t="s">
        <v>2936</v>
      </c>
      <c r="C680" s="1541" t="s">
        <v>367</v>
      </c>
      <c r="D680" s="1521">
        <v>20000000</v>
      </c>
      <c r="E680" s="1569">
        <v>0.05</v>
      </c>
      <c r="F680" s="1521">
        <f>D680*E680</f>
        <v>1000000</v>
      </c>
      <c r="G680" s="1542">
        <v>1000000</v>
      </c>
      <c r="H680" s="1542" t="s">
        <v>3684</v>
      </c>
      <c r="I680" s="1542" t="s">
        <v>3693</v>
      </c>
      <c r="J680" s="1542">
        <f>G680</f>
        <v>1000000</v>
      </c>
      <c r="K680" s="1558">
        <f>F680-J680</f>
        <v>0</v>
      </c>
      <c r="L680" s="428" t="s">
        <v>2935</v>
      </c>
      <c r="M680" s="429"/>
      <c r="N680" s="429"/>
      <c r="O680" s="429"/>
      <c r="P680" s="429"/>
      <c r="Q680" s="429"/>
    </row>
    <row r="681" spans="1:17" ht="30" customHeight="1" x14ac:dyDescent="0.2">
      <c r="A681" s="1514"/>
      <c r="B681" s="1567" t="s">
        <v>3039</v>
      </c>
      <c r="C681" s="1571" t="s">
        <v>1112</v>
      </c>
      <c r="D681" s="1542">
        <v>40000000</v>
      </c>
      <c r="E681" s="1569">
        <v>0.04</v>
      </c>
      <c r="F681" s="1542">
        <f>D681*E681</f>
        <v>1600000</v>
      </c>
      <c r="G681" s="1542">
        <v>1600000</v>
      </c>
      <c r="H681" s="1542" t="s">
        <v>4031</v>
      </c>
      <c r="I681" s="1542" t="s">
        <v>3476</v>
      </c>
      <c r="J681" s="1542">
        <f>G681</f>
        <v>1600000</v>
      </c>
      <c r="K681" s="1558">
        <f>F681-J681</f>
        <v>0</v>
      </c>
      <c r="L681" s="428" t="s">
        <v>2958</v>
      </c>
      <c r="M681" s="429"/>
      <c r="N681" s="429"/>
      <c r="O681" s="429"/>
      <c r="P681" s="429"/>
      <c r="Q681" s="429"/>
    </row>
    <row r="682" spans="1:17" ht="30" customHeight="1" x14ac:dyDescent="0.2">
      <c r="A682" s="1572"/>
      <c r="B682" s="1570" t="s">
        <v>2968</v>
      </c>
      <c r="C682" s="1541"/>
      <c r="D682" s="1521">
        <v>20000000</v>
      </c>
      <c r="E682" s="1518">
        <v>0.05</v>
      </c>
      <c r="F682" s="1521">
        <f>D682*E682</f>
        <v>1000000</v>
      </c>
      <c r="G682" s="1542">
        <v>1000000</v>
      </c>
      <c r="H682" s="1542" t="s">
        <v>3814</v>
      </c>
      <c r="I682" s="1542" t="s">
        <v>3819</v>
      </c>
      <c r="J682" s="1542">
        <f>G682</f>
        <v>1000000</v>
      </c>
      <c r="K682" s="1558">
        <f>G682-J682</f>
        <v>0</v>
      </c>
      <c r="L682" s="428" t="s">
        <v>2969</v>
      </c>
      <c r="M682" s="429"/>
      <c r="N682" s="429"/>
      <c r="O682" s="429"/>
      <c r="P682" s="429"/>
      <c r="Q682" s="429"/>
    </row>
    <row r="683" spans="1:17" ht="30" customHeight="1" x14ac:dyDescent="0.2">
      <c r="A683" s="3450"/>
      <c r="B683" s="1601" t="s">
        <v>3001</v>
      </c>
      <c r="C683" s="3790" t="s">
        <v>3033</v>
      </c>
      <c r="D683" s="3824">
        <v>70000000</v>
      </c>
      <c r="E683" s="3835">
        <v>0.05</v>
      </c>
      <c r="F683" s="3838">
        <f>D683*E683</f>
        <v>3500000</v>
      </c>
      <c r="G683" s="3442">
        <v>19300000</v>
      </c>
      <c r="H683" s="3442" t="s">
        <v>3721</v>
      </c>
      <c r="I683" s="3442" t="s">
        <v>3002</v>
      </c>
      <c r="J683" s="3442">
        <f>G683</f>
        <v>19300000</v>
      </c>
      <c r="K683" s="3625">
        <f>(F683+F686+F687+1800000)-J683</f>
        <v>0</v>
      </c>
      <c r="L683" s="1554"/>
      <c r="M683" s="429"/>
      <c r="N683" s="429"/>
      <c r="O683" s="429"/>
      <c r="P683" s="429"/>
      <c r="Q683" s="429"/>
    </row>
    <row r="684" spans="1:17" ht="30" customHeight="1" x14ac:dyDescent="0.2">
      <c r="A684" s="3456"/>
      <c r="B684" s="1602"/>
      <c r="C684" s="3793"/>
      <c r="D684" s="3825"/>
      <c r="E684" s="3836"/>
      <c r="F684" s="3838"/>
      <c r="G684" s="3461"/>
      <c r="H684" s="3461"/>
      <c r="I684" s="3461"/>
      <c r="J684" s="3461"/>
      <c r="K684" s="3696"/>
      <c r="L684" s="1574" t="s">
        <v>3036</v>
      </c>
      <c r="M684" s="429"/>
      <c r="N684" s="429"/>
      <c r="O684" s="429"/>
      <c r="P684" s="429"/>
      <c r="Q684" s="429"/>
    </row>
    <row r="685" spans="1:17" ht="30" customHeight="1" x14ac:dyDescent="0.2">
      <c r="A685" s="3451"/>
      <c r="B685" s="1603"/>
      <c r="C685" s="3791"/>
      <c r="D685" s="3826"/>
      <c r="E685" s="3837"/>
      <c r="F685" s="3838"/>
      <c r="G685" s="3461"/>
      <c r="H685" s="3461"/>
      <c r="I685" s="3461"/>
      <c r="J685" s="3461"/>
      <c r="K685" s="3696"/>
      <c r="L685" s="1574" t="s">
        <v>3035</v>
      </c>
      <c r="M685" s="429"/>
      <c r="N685" s="429"/>
      <c r="O685" s="429"/>
      <c r="P685" s="429"/>
      <c r="Q685" s="429"/>
    </row>
    <row r="686" spans="1:17" ht="30" customHeight="1" x14ac:dyDescent="0.2">
      <c r="A686" s="3450"/>
      <c r="B686" s="3788" t="s">
        <v>3034</v>
      </c>
      <c r="C686" s="3790" t="s">
        <v>411</v>
      </c>
      <c r="D686" s="1268">
        <v>190000000</v>
      </c>
      <c r="E686" s="1269">
        <v>4.4999999999999998E-2</v>
      </c>
      <c r="F686" s="1268">
        <v>8600000</v>
      </c>
      <c r="G686" s="3461"/>
      <c r="H686" s="3461"/>
      <c r="I686" s="3461"/>
      <c r="J686" s="3461"/>
      <c r="K686" s="3696"/>
      <c r="L686" s="1574"/>
      <c r="M686" s="429"/>
      <c r="N686" s="429"/>
      <c r="O686" s="429"/>
      <c r="P686" s="429"/>
      <c r="Q686" s="429"/>
    </row>
    <row r="687" spans="1:17" ht="30" customHeight="1" x14ac:dyDescent="0.2">
      <c r="A687" s="3451"/>
      <c r="B687" s="3789"/>
      <c r="C687" s="3791"/>
      <c r="D687" s="1268">
        <v>90000000</v>
      </c>
      <c r="E687" s="1269">
        <v>0.06</v>
      </c>
      <c r="F687" s="1268">
        <f>D687*E687</f>
        <v>5400000</v>
      </c>
      <c r="G687" s="3443"/>
      <c r="H687" s="3443"/>
      <c r="I687" s="3443"/>
      <c r="J687" s="3443"/>
      <c r="K687" s="3626"/>
      <c r="L687" s="1574"/>
      <c r="M687" s="429"/>
      <c r="N687" s="429"/>
      <c r="O687" s="429"/>
      <c r="P687" s="429"/>
      <c r="Q687" s="429"/>
    </row>
    <row r="688" spans="1:17" ht="30" customHeight="1" x14ac:dyDescent="0.2">
      <c r="A688" s="1572"/>
      <c r="B688" s="1576" t="s">
        <v>2332</v>
      </c>
      <c r="C688" s="1577" t="s">
        <v>1378</v>
      </c>
      <c r="D688" s="1268">
        <v>150000000</v>
      </c>
      <c r="E688" s="1269">
        <v>0.05</v>
      </c>
      <c r="F688" s="1268">
        <f>D688*E688</f>
        <v>7500000</v>
      </c>
      <c r="G688" s="1521">
        <v>7500000</v>
      </c>
      <c r="H688" s="1521" t="s">
        <v>2733</v>
      </c>
      <c r="I688" s="1535" t="s">
        <v>3855</v>
      </c>
      <c r="J688" s="1521">
        <f>G688</f>
        <v>7500000</v>
      </c>
      <c r="K688" s="1558">
        <f>F688-J688</f>
        <v>0</v>
      </c>
      <c r="L688" s="1555"/>
      <c r="M688" s="429"/>
      <c r="N688" s="429"/>
      <c r="O688" s="429"/>
      <c r="P688" s="429"/>
      <c r="Q688" s="429"/>
    </row>
    <row r="689" spans="1:17" ht="30" customHeight="1" x14ac:dyDescent="0.2">
      <c r="A689" s="1864"/>
      <c r="B689" s="1851" t="s">
        <v>3001</v>
      </c>
      <c r="C689" s="1855"/>
      <c r="D689" s="3386" t="s">
        <v>3875</v>
      </c>
      <c r="E689" s="3656"/>
      <c r="F689" s="3657"/>
      <c r="G689" s="1853">
        <v>14500000</v>
      </c>
      <c r="H689" s="1853" t="s">
        <v>3869</v>
      </c>
      <c r="I689" s="1858" t="s">
        <v>3002</v>
      </c>
      <c r="J689" s="1853">
        <f>G689</f>
        <v>14500000</v>
      </c>
      <c r="K689" s="1861"/>
      <c r="L689" s="1868"/>
      <c r="M689" s="429"/>
      <c r="N689" s="429"/>
      <c r="O689" s="429"/>
      <c r="P689" s="429"/>
      <c r="Q689" s="429"/>
    </row>
    <row r="690" spans="1:17" ht="30" customHeight="1" x14ac:dyDescent="0.2">
      <c r="A690" s="1572"/>
      <c r="B690" s="1570"/>
      <c r="C690" s="1541"/>
      <c r="D690" s="1521"/>
      <c r="E690" s="1569"/>
      <c r="F690" s="1521"/>
      <c r="G690" s="1521"/>
      <c r="H690" s="1521"/>
      <c r="I690" s="1535"/>
      <c r="J690" s="1521"/>
      <c r="K690" s="1558"/>
      <c r="L690" s="428"/>
      <c r="M690" s="429"/>
      <c r="N690" s="429"/>
      <c r="O690" s="429"/>
      <c r="P690" s="429"/>
      <c r="Q690" s="429"/>
    </row>
    <row r="691" spans="1:17" ht="30" customHeight="1" x14ac:dyDescent="0.2">
      <c r="A691" s="1572"/>
      <c r="B691" s="22" t="s">
        <v>183</v>
      </c>
      <c r="C691" s="1541" t="s">
        <v>2983</v>
      </c>
      <c r="D691" s="1521">
        <v>100000000</v>
      </c>
      <c r="E691" s="1569"/>
      <c r="F691" s="1521"/>
      <c r="G691" s="1616">
        <v>6000000</v>
      </c>
      <c r="H691" s="1616" t="s">
        <v>3553</v>
      </c>
      <c r="I691" s="1616" t="s">
        <v>3004</v>
      </c>
      <c r="J691" s="1616">
        <f>G691</f>
        <v>6000000</v>
      </c>
      <c r="K691" s="1619">
        <f>F691-J691</f>
        <v>-6000000</v>
      </c>
      <c r="L691" s="428"/>
      <c r="M691" s="429"/>
      <c r="N691" s="429"/>
      <c r="O691" s="429"/>
      <c r="P691" s="429"/>
      <c r="Q691" s="429"/>
    </row>
    <row r="692" spans="1:17" ht="30" customHeight="1" x14ac:dyDescent="0.2">
      <c r="A692" s="1572"/>
      <c r="B692" s="1570" t="s">
        <v>3007</v>
      </c>
      <c r="C692" s="1541" t="s">
        <v>1215</v>
      </c>
      <c r="D692" s="1521">
        <v>40000000</v>
      </c>
      <c r="E692" s="1569">
        <v>0.05</v>
      </c>
      <c r="F692" s="1521">
        <f>D692*E692</f>
        <v>2000000</v>
      </c>
      <c r="G692" s="1521">
        <v>2000000</v>
      </c>
      <c r="H692" s="1521" t="s">
        <v>3621</v>
      </c>
      <c r="I692" s="1535" t="s">
        <v>3656</v>
      </c>
      <c r="J692" s="1521">
        <f>G692</f>
        <v>2000000</v>
      </c>
      <c r="K692" s="1558">
        <f>F692-J692</f>
        <v>0</v>
      </c>
      <c r="L692" s="428" t="s">
        <v>3657</v>
      </c>
      <c r="M692" s="429"/>
      <c r="N692" s="429"/>
      <c r="O692" s="429"/>
      <c r="P692" s="429"/>
      <c r="Q692" s="429"/>
    </row>
    <row r="693" spans="1:17" ht="30" customHeight="1" x14ac:dyDescent="0.2">
      <c r="A693" s="1572"/>
      <c r="B693" s="1570" t="s">
        <v>3013</v>
      </c>
      <c r="C693" s="1541" t="s">
        <v>1817</v>
      </c>
      <c r="D693" s="1521">
        <v>25000000</v>
      </c>
      <c r="E693" s="1569">
        <v>0.04</v>
      </c>
      <c r="F693" s="1521">
        <f>D693*E693</f>
        <v>1000000</v>
      </c>
      <c r="G693" s="1521"/>
      <c r="H693" s="1521"/>
      <c r="I693" s="1535"/>
      <c r="J693" s="1521"/>
      <c r="K693" s="1558"/>
      <c r="L693" s="428" t="s">
        <v>4169</v>
      </c>
      <c r="M693" s="429"/>
      <c r="N693" s="429"/>
      <c r="O693" s="429"/>
      <c r="P693" s="429"/>
      <c r="Q693" s="429"/>
    </row>
    <row r="694" spans="1:17" ht="30" customHeight="1" x14ac:dyDescent="0.2">
      <c r="A694" s="1572"/>
      <c r="B694" s="1570" t="s">
        <v>3038</v>
      </c>
      <c r="C694" s="1541"/>
      <c r="D694" s="1521">
        <v>10000000</v>
      </c>
      <c r="E694" s="1569"/>
      <c r="F694" s="1521"/>
      <c r="G694" s="1521"/>
      <c r="H694" s="1521"/>
      <c r="I694" s="1535"/>
      <c r="J694" s="1521"/>
      <c r="K694" s="1558"/>
      <c r="L694" s="428"/>
      <c r="M694" s="429"/>
      <c r="N694" s="429"/>
      <c r="O694" s="429"/>
      <c r="P694" s="429"/>
      <c r="Q694" s="429"/>
    </row>
    <row r="695" spans="1:17" ht="30" customHeight="1" x14ac:dyDescent="0.2">
      <c r="A695" s="1572"/>
      <c r="B695" s="1570" t="s">
        <v>3067</v>
      </c>
      <c r="C695" s="1541"/>
      <c r="D695" s="1531"/>
      <c r="E695" s="44"/>
      <c r="F695" s="1531"/>
      <c r="G695" s="1521">
        <v>2500000</v>
      </c>
      <c r="H695" s="1521" t="s">
        <v>3684</v>
      </c>
      <c r="I695" s="1535" t="s">
        <v>3068</v>
      </c>
      <c r="J695" s="1521">
        <f t="shared" ref="J695:J700" si="66">G695</f>
        <v>2500000</v>
      </c>
      <c r="K695" s="1563">
        <f>F695-J695</f>
        <v>-2500000</v>
      </c>
      <c r="L695" s="428"/>
      <c r="M695" s="429"/>
      <c r="N695" s="429"/>
      <c r="O695" s="429"/>
      <c r="P695" s="429"/>
      <c r="Q695" s="429"/>
    </row>
    <row r="696" spans="1:17" ht="30" customHeight="1" x14ac:dyDescent="0.2">
      <c r="A696" s="3450"/>
      <c r="B696" s="3457" t="s">
        <v>3073</v>
      </c>
      <c r="C696" s="3570"/>
      <c r="D696" s="3505"/>
      <c r="E696" s="3507"/>
      <c r="F696" s="3505"/>
      <c r="G696" s="1521">
        <v>500000</v>
      </c>
      <c r="H696" s="1521" t="s">
        <v>3563</v>
      </c>
      <c r="I696" s="1535" t="s">
        <v>3566</v>
      </c>
      <c r="J696" s="1521">
        <f t="shared" si="66"/>
        <v>500000</v>
      </c>
      <c r="K696" s="1563">
        <f>F696-J696</f>
        <v>-500000</v>
      </c>
      <c r="L696" s="428"/>
      <c r="M696" s="429"/>
      <c r="N696" s="429"/>
      <c r="O696" s="429"/>
      <c r="P696" s="429"/>
      <c r="Q696" s="429"/>
    </row>
    <row r="697" spans="1:17" ht="30" customHeight="1" x14ac:dyDescent="0.2">
      <c r="A697" s="3451"/>
      <c r="B697" s="3458"/>
      <c r="C697" s="3571"/>
      <c r="D697" s="3506"/>
      <c r="E697" s="3508"/>
      <c r="F697" s="3506"/>
      <c r="G697" s="1958">
        <v>500000</v>
      </c>
      <c r="H697" s="1958" t="s">
        <v>3643</v>
      </c>
      <c r="I697" s="1963" t="s">
        <v>3566</v>
      </c>
      <c r="J697" s="1958">
        <f t="shared" si="66"/>
        <v>500000</v>
      </c>
      <c r="K697" s="1974">
        <f>F696-J697</f>
        <v>-500000</v>
      </c>
      <c r="L697" s="1976"/>
      <c r="M697" s="429"/>
      <c r="N697" s="429"/>
      <c r="O697" s="429"/>
      <c r="P697" s="429"/>
      <c r="Q697" s="429"/>
    </row>
    <row r="698" spans="1:17" ht="30" customHeight="1" x14ac:dyDescent="0.2">
      <c r="A698" s="1572"/>
      <c r="B698" s="1570" t="s">
        <v>3078</v>
      </c>
      <c r="C698" s="1541"/>
      <c r="D698" s="1531"/>
      <c r="E698" s="44"/>
      <c r="F698" s="1531"/>
      <c r="G698" s="1521"/>
      <c r="H698" s="1521"/>
      <c r="I698" s="1535"/>
      <c r="J698" s="1521">
        <f t="shared" si="66"/>
        <v>0</v>
      </c>
      <c r="K698" s="1563">
        <f>F698-J698</f>
        <v>0</v>
      </c>
      <c r="L698" s="428"/>
      <c r="M698" s="429"/>
      <c r="N698" s="429"/>
      <c r="O698" s="429"/>
      <c r="P698" s="429"/>
      <c r="Q698" s="429"/>
    </row>
    <row r="699" spans="1:17" ht="30" customHeight="1" x14ac:dyDescent="0.2">
      <c r="A699" s="1572"/>
      <c r="B699" s="1570" t="s">
        <v>3582</v>
      </c>
      <c r="C699" s="1541"/>
      <c r="D699" s="1521">
        <v>180000000</v>
      </c>
      <c r="E699" s="1569">
        <v>5.5E-2</v>
      </c>
      <c r="F699" s="1521">
        <v>10000000</v>
      </c>
      <c r="G699" s="1521">
        <v>5994000</v>
      </c>
      <c r="H699" s="1521" t="s">
        <v>3576</v>
      </c>
      <c r="I699" s="1535" t="s">
        <v>3583</v>
      </c>
      <c r="J699" s="1521">
        <f t="shared" si="66"/>
        <v>5994000</v>
      </c>
      <c r="K699" s="1558">
        <f>F699-J699</f>
        <v>4006000</v>
      </c>
      <c r="L699" s="428" t="s">
        <v>3584</v>
      </c>
      <c r="M699" s="429"/>
      <c r="N699" s="429"/>
      <c r="O699" s="429"/>
      <c r="P699" s="429"/>
      <c r="Q699" s="429"/>
    </row>
    <row r="700" spans="1:17" ht="30" customHeight="1" x14ac:dyDescent="0.2">
      <c r="A700" s="1572"/>
      <c r="B700" s="1570" t="s">
        <v>3172</v>
      </c>
      <c r="C700" s="1541"/>
      <c r="D700" s="1521">
        <v>30000000</v>
      </c>
      <c r="E700" s="1569">
        <v>0.05</v>
      </c>
      <c r="F700" s="1521">
        <f>D700*E700</f>
        <v>1500000</v>
      </c>
      <c r="G700" s="1542">
        <v>1500000</v>
      </c>
      <c r="H700" s="1542" t="s">
        <v>2733</v>
      </c>
      <c r="I700" s="1542" t="s">
        <v>3857</v>
      </c>
      <c r="J700" s="1542">
        <f t="shared" si="66"/>
        <v>1500000</v>
      </c>
      <c r="K700" s="1558">
        <f>F700-J700</f>
        <v>0</v>
      </c>
      <c r="L700" s="428" t="s">
        <v>3529</v>
      </c>
      <c r="M700" s="429"/>
      <c r="N700" s="429"/>
      <c r="O700" s="429"/>
      <c r="P700" s="429"/>
      <c r="Q700" s="429"/>
    </row>
    <row r="701" spans="1:17" ht="30" customHeight="1" x14ac:dyDescent="0.2">
      <c r="A701" s="1572"/>
      <c r="B701" s="1570" t="s">
        <v>3175</v>
      </c>
      <c r="C701" s="1541" t="s">
        <v>1215</v>
      </c>
      <c r="D701" s="1521">
        <f>1000000000+19000000</f>
        <v>1019000000</v>
      </c>
      <c r="E701" s="1569">
        <v>7.0000000000000007E-2</v>
      </c>
      <c r="F701" s="1521">
        <f>D701*E701</f>
        <v>71330000</v>
      </c>
      <c r="G701" s="1521"/>
      <c r="H701" s="1521"/>
      <c r="I701" s="1535"/>
      <c r="J701" s="1521"/>
      <c r="K701" s="1558"/>
      <c r="L701" s="428" t="s">
        <v>3176</v>
      </c>
      <c r="M701" s="429"/>
      <c r="N701" s="429"/>
      <c r="O701" s="429"/>
      <c r="P701" s="429"/>
      <c r="Q701" s="429"/>
    </row>
    <row r="702" spans="1:17" ht="30" customHeight="1" x14ac:dyDescent="0.2">
      <c r="A702" s="1572"/>
      <c r="B702" s="1570" t="s">
        <v>3206</v>
      </c>
      <c r="C702" s="1541" t="s">
        <v>916</v>
      </c>
      <c r="D702" s="1521">
        <v>100000000</v>
      </c>
      <c r="E702" s="1569">
        <v>0.05</v>
      </c>
      <c r="F702" s="1521">
        <f>D702*E702</f>
        <v>5000000</v>
      </c>
      <c r="G702" s="1521"/>
      <c r="H702" s="1521"/>
      <c r="I702" s="1535"/>
      <c r="J702" s="1521">
        <f>G702</f>
        <v>0</v>
      </c>
      <c r="K702" s="1558"/>
      <c r="L702" s="3615" t="s">
        <v>3207</v>
      </c>
      <c r="M702" s="3616"/>
      <c r="N702" s="3616"/>
      <c r="O702" s="3616"/>
      <c r="P702" s="3617"/>
      <c r="Q702" s="429"/>
    </row>
    <row r="703" spans="1:17" ht="30" customHeight="1" x14ac:dyDescent="0.2">
      <c r="A703" s="3450"/>
      <c r="B703" s="3457" t="s">
        <v>3902</v>
      </c>
      <c r="C703" s="3570"/>
      <c r="D703" s="3442">
        <v>30000000</v>
      </c>
      <c r="E703" s="3444">
        <v>7.0000000000000007E-2</v>
      </c>
      <c r="F703" s="3442">
        <f>D703*E703</f>
        <v>2100000</v>
      </c>
      <c r="G703" s="3442">
        <v>2100000</v>
      </c>
      <c r="H703" s="3442" t="s">
        <v>1232</v>
      </c>
      <c r="I703" s="3442" t="s">
        <v>3903</v>
      </c>
      <c r="J703" s="3442">
        <f>G703</f>
        <v>2100000</v>
      </c>
      <c r="K703" s="3625">
        <f>F703-J703</f>
        <v>0</v>
      </c>
      <c r="L703" s="3620" t="s">
        <v>3256</v>
      </c>
      <c r="M703" s="429"/>
      <c r="N703" s="429"/>
      <c r="O703" s="429"/>
      <c r="P703" s="429"/>
      <c r="Q703" s="429"/>
    </row>
    <row r="704" spans="1:17" ht="30" customHeight="1" x14ac:dyDescent="0.2">
      <c r="A704" s="3451"/>
      <c r="B704" s="3458"/>
      <c r="C704" s="3571"/>
      <c r="D704" s="3443"/>
      <c r="E704" s="3445"/>
      <c r="F704" s="3443"/>
      <c r="G704" s="3443"/>
      <c r="H704" s="3443"/>
      <c r="I704" s="3443"/>
      <c r="J704" s="3443"/>
      <c r="K704" s="3626"/>
      <c r="L704" s="3621"/>
      <c r="M704" s="429"/>
      <c r="N704" s="429"/>
      <c r="O704" s="429"/>
      <c r="P704" s="429"/>
      <c r="Q704" s="429"/>
    </row>
    <row r="705" spans="1:17" ht="30" customHeight="1" x14ac:dyDescent="0.2">
      <c r="A705" s="1516"/>
      <c r="B705" s="1392" t="s">
        <v>4094</v>
      </c>
      <c r="C705" s="1541"/>
      <c r="D705" s="1521">
        <v>200000000</v>
      </c>
      <c r="E705" s="1518">
        <v>0.05</v>
      </c>
      <c r="F705" s="1521">
        <f>D705*E705</f>
        <v>10000000</v>
      </c>
      <c r="G705" s="1542">
        <v>10000000</v>
      </c>
      <c r="H705" s="1542" t="s">
        <v>4082</v>
      </c>
      <c r="I705" s="1542" t="s">
        <v>4095</v>
      </c>
      <c r="J705" s="1542">
        <f>G705</f>
        <v>10000000</v>
      </c>
      <c r="K705" s="1558">
        <f>F705-J705</f>
        <v>0</v>
      </c>
      <c r="L705" s="1555" t="s">
        <v>3295</v>
      </c>
      <c r="M705" s="429"/>
      <c r="N705" s="429"/>
      <c r="O705" s="429"/>
      <c r="P705" s="429"/>
      <c r="Q705" s="429"/>
    </row>
    <row r="706" spans="1:17" ht="30" customHeight="1" x14ac:dyDescent="0.2">
      <c r="A706" s="1516"/>
      <c r="B706" s="1392" t="s">
        <v>3294</v>
      </c>
      <c r="C706" s="1541"/>
      <c r="D706" s="1521">
        <v>50000000</v>
      </c>
      <c r="E706" s="1518">
        <v>0.05</v>
      </c>
      <c r="F706" s="1521">
        <f>D706*E706</f>
        <v>2500000</v>
      </c>
      <c r="G706" s="1542">
        <v>2500000</v>
      </c>
      <c r="H706" s="1542" t="s">
        <v>4082</v>
      </c>
      <c r="I706" s="1542" t="s">
        <v>4090</v>
      </c>
      <c r="J706" s="1542">
        <f>G706</f>
        <v>2500000</v>
      </c>
      <c r="K706" s="1558">
        <f>F706-J706</f>
        <v>0</v>
      </c>
      <c r="L706" s="1555" t="s">
        <v>3296</v>
      </c>
      <c r="M706" s="429"/>
      <c r="N706" s="429"/>
      <c r="O706" s="429"/>
      <c r="P706" s="429"/>
      <c r="Q706" s="429"/>
    </row>
    <row r="707" spans="1:17" ht="30" customHeight="1" x14ac:dyDescent="0.2">
      <c r="A707" s="3450"/>
      <c r="B707" s="3448" t="s">
        <v>851</v>
      </c>
      <c r="C707" s="1392"/>
      <c r="D707" s="1541"/>
      <c r="E707" s="1521"/>
      <c r="F707" s="1518"/>
      <c r="G707" s="1542">
        <v>11000000</v>
      </c>
      <c r="H707" s="3442" t="s">
        <v>3563</v>
      </c>
      <c r="I707" s="3442" t="s">
        <v>882</v>
      </c>
      <c r="J707" s="3442">
        <f>G707+G708</f>
        <v>35000000</v>
      </c>
      <c r="K707" s="3625"/>
      <c r="L707" s="428" t="s">
        <v>4005</v>
      </c>
      <c r="M707" s="429"/>
      <c r="N707" s="429"/>
      <c r="O707" s="429"/>
      <c r="P707" s="429"/>
      <c r="Q707" s="429"/>
    </row>
    <row r="708" spans="1:17" ht="30" customHeight="1" x14ac:dyDescent="0.2">
      <c r="A708" s="3451"/>
      <c r="B708" s="3449"/>
      <c r="C708" s="1392"/>
      <c r="D708" s="1541"/>
      <c r="E708" s="1521"/>
      <c r="F708" s="1518"/>
      <c r="G708" s="1542">
        <v>24000000</v>
      </c>
      <c r="H708" s="3443"/>
      <c r="I708" s="3443"/>
      <c r="J708" s="3443"/>
      <c r="K708" s="3626"/>
      <c r="L708" s="428" t="s">
        <v>3638</v>
      </c>
      <c r="M708" s="429"/>
      <c r="N708" s="429"/>
      <c r="O708" s="429"/>
      <c r="P708" s="429"/>
      <c r="Q708" s="429"/>
    </row>
    <row r="709" spans="1:17" ht="30" customHeight="1" x14ac:dyDescent="0.2">
      <c r="A709" s="153"/>
      <c r="B709" s="1529" t="s">
        <v>3350</v>
      </c>
      <c r="C709" s="1541" t="s">
        <v>3351</v>
      </c>
      <c r="D709" s="1521">
        <v>120000000</v>
      </c>
      <c r="E709" s="1569">
        <v>0.04</v>
      </c>
      <c r="F709" s="1521">
        <f>D709*E709</f>
        <v>4800000</v>
      </c>
      <c r="G709" s="1542">
        <v>4800000</v>
      </c>
      <c r="H709" s="1542" t="s">
        <v>2733</v>
      </c>
      <c r="I709" s="1542" t="s">
        <v>2066</v>
      </c>
      <c r="J709" s="1542">
        <f>G709</f>
        <v>4800000</v>
      </c>
      <c r="K709" s="1558">
        <f>F709-J709</f>
        <v>0</v>
      </c>
      <c r="L709" s="428" t="s">
        <v>3352</v>
      </c>
      <c r="M709" s="429"/>
      <c r="N709" s="429"/>
      <c r="O709" s="429"/>
      <c r="P709" s="429"/>
      <c r="Q709" s="429"/>
    </row>
    <row r="710" spans="1:17" ht="30" customHeight="1" x14ac:dyDescent="0.2">
      <c r="A710" s="153"/>
      <c r="B710" s="1529" t="s">
        <v>3353</v>
      </c>
      <c r="C710" s="1541" t="s">
        <v>3354</v>
      </c>
      <c r="D710" s="1521">
        <v>100000000</v>
      </c>
      <c r="E710" s="1569">
        <v>0.05</v>
      </c>
      <c r="F710" s="1521">
        <f>D710*E710</f>
        <v>5000000</v>
      </c>
      <c r="G710" s="1542">
        <v>5000000</v>
      </c>
      <c r="H710" s="1542" t="s">
        <v>4082</v>
      </c>
      <c r="I710" s="1542" t="s">
        <v>4084</v>
      </c>
      <c r="J710" s="1542">
        <f>G710</f>
        <v>5000000</v>
      </c>
      <c r="K710" s="1558">
        <f>F710-J710</f>
        <v>0</v>
      </c>
      <c r="L710" s="428" t="s">
        <v>3352</v>
      </c>
      <c r="M710" s="429"/>
      <c r="N710" s="429"/>
      <c r="O710" s="429"/>
      <c r="P710" s="429"/>
      <c r="Q710" s="429"/>
    </row>
    <row r="711" spans="1:17" ht="30" customHeight="1" x14ac:dyDescent="0.2">
      <c r="A711" s="153"/>
      <c r="B711" s="1529" t="s">
        <v>3356</v>
      </c>
      <c r="C711" s="1541" t="s">
        <v>1909</v>
      </c>
      <c r="D711" s="1521">
        <v>50000000</v>
      </c>
      <c r="E711" s="1569">
        <v>0.05</v>
      </c>
      <c r="F711" s="1521">
        <f>D711*E711</f>
        <v>2500000</v>
      </c>
      <c r="G711" s="1542">
        <v>2500000</v>
      </c>
      <c r="H711" s="1542" t="s">
        <v>4031</v>
      </c>
      <c r="I711" s="1542" t="s">
        <v>4046</v>
      </c>
      <c r="J711" s="1542">
        <f>G711</f>
        <v>2500000</v>
      </c>
      <c r="K711" s="1558">
        <f>F711-J711</f>
        <v>0</v>
      </c>
      <c r="L711" s="428" t="s">
        <v>3352</v>
      </c>
      <c r="M711" s="429"/>
      <c r="N711" s="429"/>
      <c r="O711" s="429"/>
      <c r="P711" s="429"/>
      <c r="Q711" s="429"/>
    </row>
    <row r="712" spans="1:17" ht="30" customHeight="1" x14ac:dyDescent="0.2">
      <c r="A712" s="153"/>
      <c r="B712" s="1529" t="s">
        <v>3359</v>
      </c>
      <c r="C712" s="1541"/>
      <c r="D712" s="1556"/>
      <c r="E712" s="44"/>
      <c r="F712" s="1531"/>
      <c r="G712" s="1542"/>
      <c r="H712" s="1542"/>
      <c r="I712" s="1542"/>
      <c r="J712" s="1542">
        <f>G712</f>
        <v>0</v>
      </c>
      <c r="K712" s="1563">
        <f>F712-J712</f>
        <v>0</v>
      </c>
      <c r="L712" s="428" t="s">
        <v>3365</v>
      </c>
      <c r="M712" s="429"/>
      <c r="N712" s="429"/>
      <c r="O712" s="429"/>
      <c r="P712" s="429"/>
      <c r="Q712" s="429"/>
    </row>
    <row r="713" spans="1:17" ht="30" customHeight="1" x14ac:dyDescent="0.2">
      <c r="A713" s="153"/>
      <c r="B713" s="1529" t="s">
        <v>3392</v>
      </c>
      <c r="C713" s="1541" t="s">
        <v>411</v>
      </c>
      <c r="D713" s="1521">
        <v>40000000</v>
      </c>
      <c r="E713" s="1569">
        <v>0.05</v>
      </c>
      <c r="F713" s="1521">
        <f>D713*E713</f>
        <v>2000000</v>
      </c>
      <c r="G713" s="1542">
        <v>2000000</v>
      </c>
      <c r="H713" s="1542" t="s">
        <v>3570</v>
      </c>
      <c r="I713" s="3830" t="s">
        <v>3631</v>
      </c>
      <c r="J713" s="3831"/>
      <c r="K713" s="3832"/>
      <c r="L713" s="428" t="s">
        <v>4810</v>
      </c>
      <c r="M713" s="429"/>
      <c r="N713" s="429"/>
      <c r="O713" s="429"/>
      <c r="P713" s="429"/>
      <c r="Q713" s="429"/>
    </row>
    <row r="714" spans="1:17" ht="30" customHeight="1" x14ac:dyDescent="0.2">
      <c r="A714" s="153"/>
      <c r="B714" s="1529" t="s">
        <v>3428</v>
      </c>
      <c r="C714" s="1529"/>
      <c r="D714" s="1521">
        <v>15000000</v>
      </c>
      <c r="E714" s="1569">
        <v>0.05</v>
      </c>
      <c r="F714" s="1521">
        <f>D714*E714</f>
        <v>750000</v>
      </c>
      <c r="G714" s="2094">
        <v>750000</v>
      </c>
      <c r="H714" s="2094" t="s">
        <v>4082</v>
      </c>
      <c r="I714" s="2094" t="s">
        <v>4089</v>
      </c>
      <c r="J714" s="2094">
        <f>G714</f>
        <v>750000</v>
      </c>
      <c r="K714" s="2105">
        <f>F714-J714</f>
        <v>0</v>
      </c>
      <c r="L714" s="428" t="s">
        <v>4006</v>
      </c>
      <c r="M714" s="429"/>
      <c r="N714" s="429"/>
      <c r="O714" s="429"/>
      <c r="P714" s="429"/>
      <c r="Q714" s="429"/>
    </row>
    <row r="715" spans="1:17" ht="30" customHeight="1" x14ac:dyDescent="0.2">
      <c r="A715" s="1572"/>
      <c r="B715" s="3" t="s">
        <v>3431</v>
      </c>
      <c r="C715" s="1529"/>
      <c r="D715" s="2375">
        <v>150000000</v>
      </c>
      <c r="E715" s="2379">
        <v>0.05</v>
      </c>
      <c r="F715" s="2369">
        <f>D715*E715</f>
        <v>7500000</v>
      </c>
      <c r="G715" s="2361">
        <v>7500000</v>
      </c>
      <c r="H715" s="2361" t="s">
        <v>4024</v>
      </c>
      <c r="I715" s="2361" t="s">
        <v>4025</v>
      </c>
      <c r="J715" s="2361">
        <f>G715</f>
        <v>7500000</v>
      </c>
      <c r="K715" s="2377">
        <f>F715-J715</f>
        <v>0</v>
      </c>
      <c r="L715" s="428"/>
      <c r="M715" s="429"/>
      <c r="N715" s="429"/>
      <c r="O715" s="429"/>
      <c r="P715" s="429"/>
      <c r="Q715" s="429"/>
    </row>
    <row r="716" spans="1:17" ht="30" customHeight="1" x14ac:dyDescent="0.2">
      <c r="A716" s="1572"/>
      <c r="B716" s="3" t="s">
        <v>3443</v>
      </c>
      <c r="C716" s="1541" t="s">
        <v>3458</v>
      </c>
      <c r="D716" s="1521">
        <v>20000000</v>
      </c>
      <c r="E716" s="1569">
        <v>0.05</v>
      </c>
      <c r="F716" s="1521">
        <f>D716*E716</f>
        <v>1000000</v>
      </c>
      <c r="G716" s="1542">
        <v>1000000</v>
      </c>
      <c r="H716" s="1542" t="s">
        <v>4031</v>
      </c>
      <c r="I716" s="1542" t="s">
        <v>4040</v>
      </c>
      <c r="J716" s="1542">
        <f>G716</f>
        <v>1000000</v>
      </c>
      <c r="K716" s="1972">
        <f>F716-J716</f>
        <v>0</v>
      </c>
      <c r="L716" s="428" t="s">
        <v>3444</v>
      </c>
      <c r="M716" s="429"/>
      <c r="N716" s="429"/>
      <c r="O716" s="429"/>
      <c r="P716" s="429"/>
      <c r="Q716" s="429"/>
    </row>
    <row r="717" spans="1:17" ht="30" customHeight="1" x14ac:dyDescent="0.2">
      <c r="A717" s="1572"/>
      <c r="B717" s="3" t="s">
        <v>3459</v>
      </c>
      <c r="C717" s="1541" t="s">
        <v>916</v>
      </c>
      <c r="D717" s="1521">
        <v>200000000</v>
      </c>
      <c r="E717" s="1569">
        <v>0.05</v>
      </c>
      <c r="F717" s="1521">
        <f>D717*E717</f>
        <v>10000000</v>
      </c>
      <c r="G717" s="1542">
        <v>10000000</v>
      </c>
      <c r="H717" s="1542" t="s">
        <v>4082</v>
      </c>
      <c r="I717" s="1542" t="s">
        <v>4083</v>
      </c>
      <c r="J717" s="1542">
        <f>G717</f>
        <v>10000000</v>
      </c>
      <c r="K717" s="2105">
        <f>F717-J717</f>
        <v>0</v>
      </c>
      <c r="L717" s="428" t="s">
        <v>3460</v>
      </c>
      <c r="M717" s="429"/>
      <c r="N717" s="429"/>
      <c r="O717" s="429"/>
      <c r="P717" s="429"/>
      <c r="Q717" s="429"/>
    </row>
    <row r="718" spans="1:17" ht="30" customHeight="1" x14ac:dyDescent="0.2">
      <c r="A718" s="1572"/>
      <c r="B718" s="3" t="s">
        <v>3467</v>
      </c>
      <c r="C718" s="1529"/>
      <c r="D718" s="1556"/>
      <c r="E718" s="44"/>
      <c r="F718" s="1531"/>
      <c r="G718" s="1542"/>
      <c r="H718" s="1542"/>
      <c r="I718" s="1542"/>
      <c r="J718" s="1542">
        <f>G718</f>
        <v>0</v>
      </c>
      <c r="K718" s="1563"/>
      <c r="L718" s="428"/>
      <c r="M718" s="429"/>
      <c r="N718" s="429"/>
      <c r="O718" s="429"/>
      <c r="P718" s="429"/>
      <c r="Q718" s="429"/>
    </row>
    <row r="719" spans="1:17" ht="30" customHeight="1" x14ac:dyDescent="0.2">
      <c r="A719" s="3450"/>
      <c r="B719" s="3448" t="s">
        <v>3531</v>
      </c>
      <c r="C719" s="1587" t="s">
        <v>916</v>
      </c>
      <c r="D719" s="1586">
        <v>1000000000</v>
      </c>
      <c r="E719" s="1588">
        <v>6.5000000000000002E-2</v>
      </c>
      <c r="F719" s="1586">
        <f>D719*E719</f>
        <v>65000000</v>
      </c>
      <c r="G719" s="1521"/>
      <c r="H719" s="1521"/>
      <c r="I719" s="1535"/>
      <c r="J719" s="1521"/>
      <c r="K719" s="1563"/>
      <c r="L719" s="428" t="s">
        <v>3860</v>
      </c>
      <c r="M719" s="429"/>
      <c r="N719" s="429"/>
      <c r="O719" s="429"/>
      <c r="P719" s="429"/>
      <c r="Q719" s="429"/>
    </row>
    <row r="720" spans="1:17" ht="30" customHeight="1" x14ac:dyDescent="0.2">
      <c r="A720" s="3451"/>
      <c r="B720" s="3449"/>
      <c r="C720" s="1820" t="s">
        <v>1353</v>
      </c>
      <c r="D720" s="1818">
        <v>500000000</v>
      </c>
      <c r="E720" s="1822">
        <v>6.5000000000000002E-2</v>
      </c>
      <c r="F720" s="1818">
        <f>D720*E720</f>
        <v>32500000</v>
      </c>
      <c r="G720" s="1818"/>
      <c r="H720" s="1818"/>
      <c r="I720" s="1819"/>
      <c r="J720" s="1818"/>
      <c r="K720" s="1821"/>
      <c r="L720" s="428"/>
      <c r="M720" s="429"/>
      <c r="N720" s="429"/>
      <c r="O720" s="429"/>
      <c r="P720" s="429"/>
      <c r="Q720" s="429"/>
    </row>
    <row r="721" spans="1:17" ht="30" customHeight="1" x14ac:dyDescent="0.2">
      <c r="A721" s="1622"/>
      <c r="B721" s="3" t="s">
        <v>3650</v>
      </c>
      <c r="C721" s="1614"/>
      <c r="D721" s="1613"/>
      <c r="E721" s="44"/>
      <c r="F721" s="1613"/>
      <c r="G721" s="1611">
        <v>6000000</v>
      </c>
      <c r="H721" s="1611" t="s">
        <v>3553</v>
      </c>
      <c r="I721" s="1615" t="s">
        <v>3554</v>
      </c>
      <c r="J721" s="1611">
        <f>G721</f>
        <v>6000000</v>
      </c>
      <c r="K721" s="1620">
        <f>F721-J721</f>
        <v>-6000000</v>
      </c>
      <c r="L721" s="428"/>
      <c r="M721" s="429"/>
      <c r="N721" s="429"/>
      <c r="O721" s="429"/>
      <c r="P721" s="429"/>
      <c r="Q721" s="429"/>
    </row>
    <row r="722" spans="1:17" ht="30" customHeight="1" x14ac:dyDescent="0.2">
      <c r="A722" s="1628"/>
      <c r="B722" s="1636" t="s">
        <v>3560</v>
      </c>
      <c r="C722" s="1644"/>
      <c r="D722" s="1640"/>
      <c r="E722" s="1637"/>
      <c r="F722" s="1640"/>
      <c r="G722" s="1632">
        <v>10000000</v>
      </c>
      <c r="H722" s="1632" t="s">
        <v>3557</v>
      </c>
      <c r="I722" s="1656" t="s">
        <v>3561</v>
      </c>
      <c r="J722" s="1632">
        <f>G722</f>
        <v>10000000</v>
      </c>
      <c r="K722" s="1166"/>
      <c r="L722" s="1647"/>
      <c r="M722" s="429"/>
      <c r="N722" s="429"/>
      <c r="O722" s="429"/>
      <c r="P722" s="429"/>
      <c r="Q722" s="429"/>
    </row>
    <row r="723" spans="1:17" s="1593" customFormat="1" ht="30" customHeight="1" x14ac:dyDescent="0.2">
      <c r="A723" s="1655"/>
      <c r="B723" s="3" t="s">
        <v>3591</v>
      </c>
      <c r="C723" s="1654"/>
      <c r="D723" s="1643">
        <v>25000000</v>
      </c>
      <c r="E723" s="1652">
        <v>0.05</v>
      </c>
      <c r="F723" s="1643">
        <f t="shared" ref="F723:F728" si="67">D723*E723</f>
        <v>1250000</v>
      </c>
      <c r="G723" s="3478" t="s">
        <v>3592</v>
      </c>
      <c r="H723" s="3479"/>
      <c r="I723" s="3479"/>
      <c r="J723" s="3480"/>
      <c r="K723" s="1626"/>
      <c r="L723" s="428"/>
      <c r="M723" s="430"/>
      <c r="N723" s="430"/>
      <c r="O723" s="430"/>
      <c r="P723" s="430"/>
      <c r="Q723" s="430"/>
    </row>
    <row r="724" spans="1:17" s="196" customFormat="1" ht="30" customHeight="1" x14ac:dyDescent="0.2">
      <c r="A724" s="1655"/>
      <c r="B724" s="3" t="s">
        <v>3595</v>
      </c>
      <c r="C724" s="1654"/>
      <c r="D724" s="1643">
        <v>600000000</v>
      </c>
      <c r="E724" s="1652">
        <v>0.06</v>
      </c>
      <c r="F724" s="1643">
        <f t="shared" si="67"/>
        <v>36000000</v>
      </c>
      <c r="G724" s="1657"/>
      <c r="H724" s="1657"/>
      <c r="I724" s="1657"/>
      <c r="J724" s="1657"/>
      <c r="K724" s="1626"/>
      <c r="L724" s="428"/>
      <c r="M724" s="429"/>
      <c r="N724" s="429"/>
      <c r="O724" s="429"/>
      <c r="P724" s="429"/>
      <c r="Q724" s="429"/>
    </row>
    <row r="725" spans="1:17" s="196" customFormat="1" ht="30" customHeight="1" x14ac:dyDescent="0.2">
      <c r="A725" s="3450"/>
      <c r="B725" s="3448" t="s">
        <v>3596</v>
      </c>
      <c r="C725" s="3570" t="s">
        <v>3619</v>
      </c>
      <c r="D725" s="2186">
        <v>140000000</v>
      </c>
      <c r="E725" s="2192">
        <v>0.04</v>
      </c>
      <c r="F725" s="2186">
        <f t="shared" si="67"/>
        <v>5600000</v>
      </c>
      <c r="G725" s="3478" t="s">
        <v>4167</v>
      </c>
      <c r="H725" s="3479"/>
      <c r="I725" s="3479"/>
      <c r="J725" s="3480"/>
      <c r="K725" s="2191"/>
      <c r="L725" s="2190" t="s">
        <v>4168</v>
      </c>
      <c r="M725" s="429"/>
      <c r="N725" s="429"/>
      <c r="O725" s="429"/>
      <c r="P725" s="429"/>
      <c r="Q725" s="429"/>
    </row>
    <row r="726" spans="1:17" s="196" customFormat="1" ht="30" customHeight="1" x14ac:dyDescent="0.2">
      <c r="A726" s="3451"/>
      <c r="B726" s="3449"/>
      <c r="C726" s="3571"/>
      <c r="D726" s="1643">
        <v>80000000</v>
      </c>
      <c r="E726" s="1652">
        <v>0.04</v>
      </c>
      <c r="F726" s="1643">
        <f t="shared" si="67"/>
        <v>3200000</v>
      </c>
      <c r="G726" s="3478" t="s">
        <v>3620</v>
      </c>
      <c r="H726" s="3479"/>
      <c r="I726" s="3479"/>
      <c r="J726" s="3480"/>
      <c r="K726" s="1649"/>
      <c r="L726" s="1648"/>
      <c r="M726" s="429"/>
      <c r="N726" s="429"/>
      <c r="O726" s="429"/>
      <c r="P726" s="429"/>
      <c r="Q726" s="429"/>
    </row>
    <row r="727" spans="1:17" s="196" customFormat="1" ht="30" customHeight="1" x14ac:dyDescent="0.2">
      <c r="A727" s="1655"/>
      <c r="B727" s="3" t="s">
        <v>3616</v>
      </c>
      <c r="C727" s="1654"/>
      <c r="D727" s="1643">
        <v>85000000</v>
      </c>
      <c r="E727" s="1652">
        <v>7.0000000000000007E-2</v>
      </c>
      <c r="F727" s="1643">
        <f t="shared" si="67"/>
        <v>5950000.0000000009</v>
      </c>
      <c r="G727" s="1643">
        <v>5950000</v>
      </c>
      <c r="H727" s="1643" t="s">
        <v>3599</v>
      </c>
      <c r="I727" s="1643" t="s">
        <v>3617</v>
      </c>
      <c r="J727" s="1643">
        <f>G727</f>
        <v>5950000</v>
      </c>
      <c r="K727" s="1626">
        <f>F727-J727</f>
        <v>0</v>
      </c>
      <c r="L727" s="428"/>
      <c r="M727" s="429"/>
      <c r="N727" s="429"/>
      <c r="O727" s="429"/>
      <c r="P727" s="429"/>
      <c r="Q727" s="429"/>
    </row>
    <row r="728" spans="1:17" s="196" customFormat="1" ht="30" customHeight="1" x14ac:dyDescent="0.2">
      <c r="A728" s="1655"/>
      <c r="B728" s="3" t="s">
        <v>3618</v>
      </c>
      <c r="C728" s="1654" t="s">
        <v>3619</v>
      </c>
      <c r="D728" s="1643">
        <v>70000000</v>
      </c>
      <c r="E728" s="1652">
        <v>0.05</v>
      </c>
      <c r="F728" s="1643">
        <f t="shared" si="67"/>
        <v>3500000</v>
      </c>
      <c r="G728" s="3478" t="s">
        <v>3620</v>
      </c>
      <c r="H728" s="3479"/>
      <c r="I728" s="3479"/>
      <c r="J728" s="3480"/>
      <c r="K728" s="1626"/>
      <c r="L728" s="428"/>
      <c r="M728" s="429"/>
      <c r="N728" s="429"/>
      <c r="O728" s="429"/>
      <c r="P728" s="429"/>
      <c r="Q728" s="429"/>
    </row>
    <row r="729" spans="1:17" s="196" customFormat="1" ht="30" customHeight="1" x14ac:dyDescent="0.2">
      <c r="A729" s="1655"/>
      <c r="B729" s="3" t="s">
        <v>3625</v>
      </c>
      <c r="C729" s="1654"/>
      <c r="D729" s="1638"/>
      <c r="E729" s="44"/>
      <c r="F729" s="1638"/>
      <c r="G729" s="1643">
        <v>1000000</v>
      </c>
      <c r="H729" s="1643" t="s">
        <v>3621</v>
      </c>
      <c r="I729" s="1643" t="s">
        <v>3626</v>
      </c>
      <c r="J729" s="1643">
        <f>G729</f>
        <v>1000000</v>
      </c>
      <c r="K729" s="1083"/>
      <c r="L729" s="428"/>
      <c r="M729" s="429"/>
      <c r="N729" s="429"/>
      <c r="O729" s="429"/>
      <c r="P729" s="429"/>
      <c r="Q729" s="429"/>
    </row>
    <row r="730" spans="1:17" s="196" customFormat="1" ht="30" customHeight="1" x14ac:dyDescent="0.2">
      <c r="A730" s="1655"/>
      <c r="B730" s="3" t="s">
        <v>3087</v>
      </c>
      <c r="C730" s="1654" t="s">
        <v>411</v>
      </c>
      <c r="D730" s="1643">
        <v>150000000</v>
      </c>
      <c r="E730" s="1652">
        <v>0.06</v>
      </c>
      <c r="F730" s="1643">
        <f>D730*E730</f>
        <v>9000000</v>
      </c>
      <c r="G730" s="1643">
        <v>9000000</v>
      </c>
      <c r="H730" s="1643" t="s">
        <v>3557</v>
      </c>
      <c r="I730" s="3478" t="s">
        <v>3631</v>
      </c>
      <c r="J730" s="3479"/>
      <c r="K730" s="3480"/>
      <c r="L730" s="428"/>
      <c r="M730" s="429"/>
      <c r="N730" s="429"/>
      <c r="O730" s="429"/>
      <c r="P730" s="429"/>
      <c r="Q730" s="429"/>
    </row>
    <row r="731" spans="1:17" s="9" customFormat="1" ht="30" customHeight="1" x14ac:dyDescent="0.2">
      <c r="A731" s="1711"/>
      <c r="B731" s="1709" t="s">
        <v>156</v>
      </c>
      <c r="C731" s="1708"/>
      <c r="D731" s="1701">
        <v>10000000</v>
      </c>
      <c r="E731" s="1707">
        <v>0.05</v>
      </c>
      <c r="F731" s="1701">
        <f>D731*E731</f>
        <v>500000</v>
      </c>
      <c r="G731" s="1701"/>
      <c r="H731" s="1701"/>
      <c r="I731" s="1701"/>
      <c r="J731" s="1701"/>
      <c r="K731" s="1701"/>
      <c r="L731" s="428" t="s">
        <v>3682</v>
      </c>
      <c r="M731" s="430"/>
      <c r="N731" s="430"/>
      <c r="O731" s="430"/>
      <c r="P731" s="430"/>
      <c r="Q731" s="430"/>
    </row>
    <row r="732" spans="1:17" s="1713" customFormat="1" ht="30" customHeight="1" x14ac:dyDescent="0.2">
      <c r="A732" s="1711"/>
      <c r="B732" s="1709" t="s">
        <v>3214</v>
      </c>
      <c r="C732" s="1708"/>
      <c r="D732" s="3325" t="s">
        <v>3689</v>
      </c>
      <c r="E732" s="3340"/>
      <c r="F732" s="3341"/>
      <c r="G732" s="1701">
        <v>40000000</v>
      </c>
      <c r="H732" s="1701" t="s">
        <v>3684</v>
      </c>
      <c r="I732" s="1701" t="s">
        <v>3690</v>
      </c>
      <c r="J732" s="1701">
        <f>G732</f>
        <v>40000000</v>
      </c>
      <c r="K732" s="1701">
        <f>40000000-J732</f>
        <v>0</v>
      </c>
      <c r="L732" s="1702"/>
      <c r="M732" s="429"/>
      <c r="N732" s="429"/>
      <c r="O732" s="429"/>
      <c r="P732" s="429"/>
      <c r="Q732" s="429"/>
    </row>
    <row r="733" spans="1:17" s="1713" customFormat="1" ht="30" customHeight="1" x14ac:dyDescent="0.2">
      <c r="A733" s="1711"/>
      <c r="B733" s="2857" t="s">
        <v>3691</v>
      </c>
      <c r="C733" s="2852"/>
      <c r="D733" s="2846">
        <v>10000000</v>
      </c>
      <c r="E733" s="2855">
        <v>0.05</v>
      </c>
      <c r="F733" s="2846">
        <f>D733*E733</f>
        <v>500000</v>
      </c>
      <c r="G733" s="2849">
        <v>500000</v>
      </c>
      <c r="H733" s="2849" t="s">
        <v>3684</v>
      </c>
      <c r="I733" s="2854" t="s">
        <v>3692</v>
      </c>
      <c r="J733" s="2849">
        <f>G733</f>
        <v>500000</v>
      </c>
      <c r="K733" s="2849">
        <f>F733-J733</f>
        <v>0</v>
      </c>
      <c r="L733" s="1702"/>
      <c r="M733" s="429"/>
      <c r="N733" s="429"/>
      <c r="O733" s="429"/>
      <c r="P733" s="429"/>
      <c r="Q733" s="429"/>
    </row>
    <row r="734" spans="1:17" s="1713" customFormat="1" ht="30" customHeight="1" x14ac:dyDescent="0.2">
      <c r="A734" s="3525"/>
      <c r="B734" s="3457" t="s">
        <v>4599</v>
      </c>
      <c r="C734" s="3570" t="s">
        <v>4366</v>
      </c>
      <c r="D734" s="3575">
        <v>100000000</v>
      </c>
      <c r="E734" s="3444">
        <v>0.05</v>
      </c>
      <c r="F734" s="3575">
        <f>D734*E734</f>
        <v>5000000</v>
      </c>
      <c r="G734" s="2846">
        <v>5000000</v>
      </c>
      <c r="H734" s="2846" t="s">
        <v>3684</v>
      </c>
      <c r="I734" s="2846" t="s">
        <v>2922</v>
      </c>
      <c r="J734" s="3442">
        <f>G734+G735</f>
        <v>10000000</v>
      </c>
      <c r="K734" s="3442">
        <f>F734-J734</f>
        <v>-5000000</v>
      </c>
      <c r="L734" s="2860" t="s">
        <v>4601</v>
      </c>
      <c r="M734" s="429"/>
      <c r="N734" s="429"/>
      <c r="O734" s="429"/>
      <c r="P734" s="429"/>
      <c r="Q734" s="429"/>
    </row>
    <row r="735" spans="1:17" s="1713" customFormat="1" ht="30" customHeight="1" x14ac:dyDescent="0.2">
      <c r="A735" s="3526"/>
      <c r="B735" s="3458"/>
      <c r="C735" s="3571"/>
      <c r="D735" s="3575"/>
      <c r="E735" s="3445"/>
      <c r="F735" s="3575"/>
      <c r="G735" s="2846">
        <v>5000000</v>
      </c>
      <c r="H735" s="2846" t="s">
        <v>3696</v>
      </c>
      <c r="I735" s="2846" t="s">
        <v>2922</v>
      </c>
      <c r="J735" s="3443"/>
      <c r="K735" s="3443"/>
      <c r="L735" s="2861" t="s">
        <v>4600</v>
      </c>
      <c r="M735" s="429"/>
      <c r="N735" s="429"/>
      <c r="O735" s="429"/>
      <c r="P735" s="429"/>
      <c r="Q735" s="429"/>
    </row>
    <row r="736" spans="1:17" s="1713" customFormat="1" ht="30" customHeight="1" x14ac:dyDescent="0.2">
      <c r="A736" s="1711"/>
      <c r="B736" s="3525" t="s">
        <v>3695</v>
      </c>
      <c r="C736" s="3570"/>
      <c r="D736" s="3325" t="s">
        <v>3689</v>
      </c>
      <c r="E736" s="3340"/>
      <c r="F736" s="3341"/>
      <c r="G736" s="1701">
        <v>30000000</v>
      </c>
      <c r="H736" s="1701" t="s">
        <v>3696</v>
      </c>
      <c r="I736" s="1701" t="s">
        <v>3697</v>
      </c>
      <c r="J736" s="1701">
        <f>G736</f>
        <v>30000000</v>
      </c>
      <c r="K736" s="1701">
        <f>30000000-G736</f>
        <v>0</v>
      </c>
      <c r="L736" s="1702"/>
      <c r="M736" s="429"/>
      <c r="N736" s="429"/>
      <c r="O736" s="429"/>
      <c r="P736" s="429"/>
      <c r="Q736" s="429"/>
    </row>
    <row r="737" spans="1:17" s="1713" customFormat="1" ht="30" customHeight="1" x14ac:dyDescent="0.2">
      <c r="A737" s="1756"/>
      <c r="B737" s="3526"/>
      <c r="C737" s="3571"/>
      <c r="D737" s="3325" t="s">
        <v>3799</v>
      </c>
      <c r="E737" s="3340"/>
      <c r="F737" s="3341"/>
      <c r="G737" s="1751">
        <v>450000</v>
      </c>
      <c r="H737" s="1751" t="s">
        <v>3798</v>
      </c>
      <c r="I737" s="1751" t="s">
        <v>2578</v>
      </c>
      <c r="J737" s="1751">
        <f>G737</f>
        <v>450000</v>
      </c>
      <c r="K737" s="1751">
        <f>450000-J737</f>
        <v>0</v>
      </c>
      <c r="L737" s="1752"/>
      <c r="M737" s="429"/>
      <c r="N737" s="429"/>
      <c r="O737" s="429"/>
      <c r="P737" s="429"/>
      <c r="Q737" s="429"/>
    </row>
    <row r="738" spans="1:17" s="1713" customFormat="1" ht="30" customHeight="1" x14ac:dyDescent="0.2">
      <c r="A738" s="1711"/>
      <c r="B738" s="1709" t="s">
        <v>3704</v>
      </c>
      <c r="C738" s="1708"/>
      <c r="D738" s="1701">
        <v>6000000</v>
      </c>
      <c r="E738" s="1707">
        <f>F738/D738</f>
        <v>0.05</v>
      </c>
      <c r="F738" s="1701">
        <v>300000</v>
      </c>
      <c r="G738" s="1701">
        <v>2000000</v>
      </c>
      <c r="H738" s="1701" t="s">
        <v>3696</v>
      </c>
      <c r="I738" s="1701" t="s">
        <v>3705</v>
      </c>
      <c r="J738" s="1701">
        <f>G738</f>
        <v>2000000</v>
      </c>
      <c r="K738" s="1701">
        <f>F738-J738</f>
        <v>-1700000</v>
      </c>
      <c r="L738" s="1714" t="s">
        <v>3706</v>
      </c>
      <c r="M738" s="429"/>
      <c r="N738" s="429"/>
      <c r="O738" s="429"/>
      <c r="P738" s="429"/>
      <c r="Q738" s="429"/>
    </row>
    <row r="739" spans="1:17" s="1713" customFormat="1" ht="30" customHeight="1" x14ac:dyDescent="0.2">
      <c r="A739" s="1711"/>
      <c r="B739" s="1709" t="s">
        <v>3728</v>
      </c>
      <c r="C739" s="1708"/>
      <c r="D739" s="1701">
        <v>870000000</v>
      </c>
      <c r="E739" s="1707">
        <v>7.0999999999999994E-2</v>
      </c>
      <c r="F739" s="1701">
        <v>62000000</v>
      </c>
      <c r="G739" s="1701">
        <v>62000000</v>
      </c>
      <c r="H739" s="1701" t="s">
        <v>3798</v>
      </c>
      <c r="I739" s="1701" t="s">
        <v>3577</v>
      </c>
      <c r="J739" s="1701">
        <f>G739</f>
        <v>62000000</v>
      </c>
      <c r="K739" s="1701">
        <f>F739-J739</f>
        <v>0</v>
      </c>
      <c r="L739" s="1702" t="s">
        <v>3729</v>
      </c>
      <c r="M739" s="429"/>
      <c r="N739" s="429"/>
      <c r="O739" s="429"/>
      <c r="P739" s="429"/>
      <c r="Q739" s="429"/>
    </row>
    <row r="740" spans="1:17" s="1713" customFormat="1" ht="30" customHeight="1" x14ac:dyDescent="0.2">
      <c r="A740" s="3525"/>
      <c r="B740" s="3457" t="s">
        <v>3735</v>
      </c>
      <c r="C740" s="3570" t="s">
        <v>916</v>
      </c>
      <c r="D740" s="3325" t="s">
        <v>3689</v>
      </c>
      <c r="E740" s="3340"/>
      <c r="F740" s="3341"/>
      <c r="G740" s="1701">
        <v>30000000</v>
      </c>
      <c r="H740" s="1701" t="s">
        <v>3733</v>
      </c>
      <c r="I740" s="1701" t="s">
        <v>3736</v>
      </c>
      <c r="J740" s="1701">
        <f>G740</f>
        <v>30000000</v>
      </c>
      <c r="K740" s="1701"/>
      <c r="L740" s="1702" t="s">
        <v>3985</v>
      </c>
      <c r="M740" s="429"/>
      <c r="N740" s="429"/>
      <c r="O740" s="429"/>
      <c r="P740" s="429"/>
      <c r="Q740" s="429"/>
    </row>
    <row r="741" spans="1:17" s="1713" customFormat="1" ht="30" customHeight="1" x14ac:dyDescent="0.2">
      <c r="A741" s="3526"/>
      <c r="B741" s="3458"/>
      <c r="C741" s="3571"/>
      <c r="D741" s="1701">
        <v>200000000</v>
      </c>
      <c r="E741" s="1707">
        <v>0.05</v>
      </c>
      <c r="F741" s="1701">
        <f>D741*E741</f>
        <v>10000000</v>
      </c>
      <c r="G741" s="3478" t="s">
        <v>3737</v>
      </c>
      <c r="H741" s="3479"/>
      <c r="I741" s="3479"/>
      <c r="J741" s="3479"/>
      <c r="K741" s="3480"/>
      <c r="L741" s="1702"/>
      <c r="M741" s="429"/>
      <c r="N741" s="429"/>
      <c r="O741" s="429"/>
      <c r="P741" s="429"/>
      <c r="Q741" s="429"/>
    </row>
    <row r="742" spans="1:17" s="1713" customFormat="1" ht="30" customHeight="1" x14ac:dyDescent="0.2">
      <c r="A742" s="1711"/>
      <c r="B742" s="1709" t="s">
        <v>2435</v>
      </c>
      <c r="C742" s="1708"/>
      <c r="D742" s="3325" t="s">
        <v>3689</v>
      </c>
      <c r="E742" s="3340"/>
      <c r="F742" s="3341"/>
      <c r="G742" s="1735">
        <v>10000000</v>
      </c>
      <c r="H742" s="1735" t="s">
        <v>3745</v>
      </c>
      <c r="I742" s="1735" t="s">
        <v>3747</v>
      </c>
      <c r="J742" s="1735">
        <f>G742</f>
        <v>10000000</v>
      </c>
      <c r="K742" s="1735"/>
      <c r="L742" s="1702"/>
      <c r="M742" s="429"/>
      <c r="N742" s="429"/>
      <c r="O742" s="429"/>
      <c r="P742" s="429"/>
      <c r="Q742" s="429"/>
    </row>
    <row r="743" spans="1:17" s="1713" customFormat="1" ht="30" customHeight="1" x14ac:dyDescent="0.2">
      <c r="A743" s="1711"/>
      <c r="B743" s="1709" t="s">
        <v>3750</v>
      </c>
      <c r="C743" s="1708" t="s">
        <v>2408</v>
      </c>
      <c r="D743" s="1701">
        <v>100000000</v>
      </c>
      <c r="E743" s="1707">
        <v>0.05</v>
      </c>
      <c r="F743" s="1701">
        <f>D743*E743</f>
        <v>5000000</v>
      </c>
      <c r="G743" s="3478" t="s">
        <v>3352</v>
      </c>
      <c r="H743" s="3479"/>
      <c r="I743" s="3479"/>
      <c r="J743" s="3479"/>
      <c r="K743" s="3480"/>
      <c r="L743" s="1702"/>
      <c r="M743" s="429"/>
      <c r="N743" s="429"/>
      <c r="O743" s="429"/>
      <c r="P743" s="429"/>
      <c r="Q743" s="429"/>
    </row>
    <row r="744" spans="1:17" s="1713" customFormat="1" ht="30" customHeight="1" x14ac:dyDescent="0.2">
      <c r="A744" s="1756"/>
      <c r="B744" s="1755" t="s">
        <v>4196</v>
      </c>
      <c r="C744" s="1754" t="s">
        <v>2408</v>
      </c>
      <c r="D744" s="1751">
        <v>130000000</v>
      </c>
      <c r="E744" s="1753"/>
      <c r="F744" s="1751"/>
      <c r="G744" s="3478" t="s">
        <v>3352</v>
      </c>
      <c r="H744" s="3479"/>
      <c r="I744" s="3479"/>
      <c r="J744" s="3479"/>
      <c r="K744" s="3480"/>
      <c r="L744" s="1752"/>
      <c r="M744" s="429"/>
      <c r="N744" s="429"/>
      <c r="O744" s="429"/>
      <c r="P744" s="429"/>
      <c r="Q744" s="429"/>
    </row>
    <row r="745" spans="1:17" s="1713" customFormat="1" ht="30" customHeight="1" x14ac:dyDescent="0.2">
      <c r="A745" s="3525"/>
      <c r="B745" s="3457" t="s">
        <v>3812</v>
      </c>
      <c r="C745" s="3570"/>
      <c r="D745" s="1797">
        <v>1140000000</v>
      </c>
      <c r="E745" s="1799">
        <v>7.0000000000000007E-2</v>
      </c>
      <c r="F745" s="1797">
        <f>D745*E745</f>
        <v>79800000.000000015</v>
      </c>
      <c r="G745" s="3478" t="s">
        <v>3813</v>
      </c>
      <c r="H745" s="3479"/>
      <c r="I745" s="3479"/>
      <c r="J745" s="3480"/>
      <c r="K745" s="1751"/>
      <c r="L745" s="1752" t="s">
        <v>3833</v>
      </c>
      <c r="M745" s="429"/>
      <c r="N745" s="429"/>
      <c r="O745" s="429"/>
      <c r="P745" s="429"/>
      <c r="Q745" s="429"/>
    </row>
    <row r="746" spans="1:17" s="1713" customFormat="1" ht="30" customHeight="1" x14ac:dyDescent="0.2">
      <c r="A746" s="3526"/>
      <c r="B746" s="3458"/>
      <c r="C746" s="3571"/>
      <c r="D746" s="1797">
        <v>1300000000</v>
      </c>
      <c r="E746" s="1799">
        <v>7.0000000000000007E-2</v>
      </c>
      <c r="F746" s="1797">
        <f>D746*E746</f>
        <v>91000000.000000015</v>
      </c>
      <c r="G746" s="1814"/>
      <c r="H746" s="1814"/>
      <c r="I746" s="1814"/>
      <c r="J746" s="1814"/>
      <c r="K746" s="1797"/>
      <c r="L746" s="1798" t="s">
        <v>3847</v>
      </c>
      <c r="M746" s="429"/>
      <c r="N746" s="429"/>
      <c r="O746" s="429"/>
      <c r="P746" s="429"/>
      <c r="Q746" s="429"/>
    </row>
    <row r="747" spans="1:17" s="1713" customFormat="1" ht="30" customHeight="1" x14ac:dyDescent="0.2">
      <c r="A747" s="1802"/>
      <c r="B747" s="1801" t="s">
        <v>3845</v>
      </c>
      <c r="C747" s="1800" t="s">
        <v>3526</v>
      </c>
      <c r="D747" s="1797">
        <v>10000000</v>
      </c>
      <c r="E747" s="44"/>
      <c r="F747" s="1809"/>
      <c r="G747" s="1814"/>
      <c r="H747" s="1814"/>
      <c r="I747" s="1814"/>
      <c r="J747" s="1814"/>
      <c r="K747" s="1797"/>
      <c r="L747" s="1798" t="s">
        <v>3846</v>
      </c>
      <c r="M747" s="429"/>
      <c r="N747" s="429"/>
      <c r="O747" s="429"/>
      <c r="P747" s="429"/>
      <c r="Q747" s="429"/>
    </row>
    <row r="748" spans="1:17" s="1713" customFormat="1" ht="30" customHeight="1" x14ac:dyDescent="0.2">
      <c r="A748" s="1756"/>
      <c r="B748" s="1755" t="s">
        <v>3848</v>
      </c>
      <c r="C748" s="1754" t="s">
        <v>1746</v>
      </c>
      <c r="D748" s="1751">
        <v>58000000</v>
      </c>
      <c r="E748" s="1753"/>
      <c r="F748" s="1751"/>
      <c r="G748" s="1751"/>
      <c r="H748" s="1751"/>
      <c r="I748" s="1751"/>
      <c r="J748" s="1751"/>
      <c r="K748" s="1751"/>
      <c r="L748" s="1813" t="s">
        <v>3849</v>
      </c>
      <c r="M748" s="429"/>
      <c r="N748" s="429"/>
      <c r="O748" s="429"/>
      <c r="P748" s="429"/>
      <c r="Q748" s="429"/>
    </row>
    <row r="749" spans="1:17" s="1713" customFormat="1" ht="30" customHeight="1" x14ac:dyDescent="0.2">
      <c r="A749" s="1838"/>
      <c r="B749" s="1833" t="s">
        <v>3880</v>
      </c>
      <c r="C749" s="1832" t="s">
        <v>1355</v>
      </c>
      <c r="D749" s="1829">
        <v>100000000</v>
      </c>
      <c r="E749" s="1830">
        <v>0.05</v>
      </c>
      <c r="F749" s="1829">
        <f>D749*E749</f>
        <v>5000000</v>
      </c>
      <c r="G749" s="3478" t="s">
        <v>3352</v>
      </c>
      <c r="H749" s="3479"/>
      <c r="I749" s="3479"/>
      <c r="J749" s="3480"/>
      <c r="K749" s="1829"/>
      <c r="L749" s="1836"/>
      <c r="M749" s="429"/>
      <c r="N749" s="429"/>
      <c r="O749" s="429"/>
      <c r="P749" s="429"/>
      <c r="Q749" s="429"/>
    </row>
    <row r="750" spans="1:17" s="1713" customFormat="1" ht="30" customHeight="1" x14ac:dyDescent="0.2">
      <c r="A750" s="1869"/>
      <c r="B750" s="1865" t="s">
        <v>3881</v>
      </c>
      <c r="C750" s="1855"/>
      <c r="D750" s="1853">
        <v>96000000</v>
      </c>
      <c r="E750" s="1852">
        <v>0.05</v>
      </c>
      <c r="F750" s="1853">
        <v>5000000</v>
      </c>
      <c r="G750" s="3478" t="s">
        <v>3352</v>
      </c>
      <c r="H750" s="3479"/>
      <c r="I750" s="3479"/>
      <c r="J750" s="3480"/>
      <c r="K750" s="1853"/>
      <c r="L750" s="1868"/>
      <c r="M750" s="429"/>
      <c r="N750" s="429"/>
      <c r="O750" s="429"/>
      <c r="P750" s="429"/>
      <c r="Q750" s="429"/>
    </row>
    <row r="751" spans="1:17" s="1713" customFormat="1" ht="30" customHeight="1" x14ac:dyDescent="0.2">
      <c r="A751" s="1869"/>
      <c r="B751" s="1392" t="s">
        <v>3904</v>
      </c>
      <c r="C751" s="1855"/>
      <c r="D751" s="3325" t="s">
        <v>1398</v>
      </c>
      <c r="E751" s="3340"/>
      <c r="F751" s="3341"/>
      <c r="G751" s="1860">
        <v>2040000</v>
      </c>
      <c r="H751" s="1860" t="s">
        <v>3905</v>
      </c>
      <c r="I751" s="1860" t="s">
        <v>3906</v>
      </c>
      <c r="J751" s="1860">
        <f>G751</f>
        <v>2040000</v>
      </c>
      <c r="K751" s="1853">
        <v>0</v>
      </c>
      <c r="L751" s="1868" t="s">
        <v>3907</v>
      </c>
      <c r="M751" s="429"/>
      <c r="N751" s="429"/>
      <c r="O751" s="429"/>
      <c r="P751" s="429"/>
      <c r="Q751" s="429"/>
    </row>
    <row r="752" spans="1:17" s="1713" customFormat="1" ht="30" customHeight="1" x14ac:dyDescent="0.2">
      <c r="A752" s="1940"/>
      <c r="B752" s="1937" t="s">
        <v>4007</v>
      </c>
      <c r="C752" s="1936" t="s">
        <v>3354</v>
      </c>
      <c r="D752" s="1930">
        <v>100000000</v>
      </c>
      <c r="E752" s="1929">
        <v>0.06</v>
      </c>
      <c r="F752" s="1930">
        <f>D752*E752</f>
        <v>6000000</v>
      </c>
      <c r="G752" s="1930"/>
      <c r="H752" s="1930"/>
      <c r="I752" s="1932"/>
      <c r="J752" s="1930"/>
      <c r="K752" s="1930"/>
      <c r="L752" s="1939" t="s">
        <v>4010</v>
      </c>
      <c r="M752" s="429"/>
      <c r="N752" s="429"/>
      <c r="O752" s="429"/>
      <c r="P752" s="429"/>
      <c r="Q752" s="429"/>
    </row>
    <row r="753" spans="1:17" s="1713" customFormat="1" ht="30" customHeight="1" x14ac:dyDescent="0.2">
      <c r="A753" s="1940"/>
      <c r="B753" s="1937" t="s">
        <v>4009</v>
      </c>
      <c r="C753" s="1936" t="s">
        <v>3526</v>
      </c>
      <c r="D753" s="1933">
        <v>50000000</v>
      </c>
      <c r="E753" s="1929">
        <v>0.05</v>
      </c>
      <c r="F753" s="1930">
        <f>D753*E753</f>
        <v>2500000</v>
      </c>
      <c r="G753" s="1930"/>
      <c r="H753" s="1930"/>
      <c r="I753" s="1932"/>
      <c r="J753" s="1930"/>
      <c r="K753" s="1930"/>
      <c r="L753" s="1939"/>
      <c r="M753" s="429"/>
      <c r="N753" s="429"/>
      <c r="O753" s="429"/>
      <c r="P753" s="429"/>
      <c r="Q753" s="429"/>
    </row>
    <row r="754" spans="1:17" s="1713" customFormat="1" ht="30" customHeight="1" x14ac:dyDescent="0.2">
      <c r="A754" s="1940"/>
      <c r="B754" s="1937" t="s">
        <v>4028</v>
      </c>
      <c r="C754" s="1936"/>
      <c r="D754" s="1962"/>
      <c r="E754" s="1962"/>
      <c r="F754" s="1962"/>
      <c r="G754" s="1930">
        <v>800000</v>
      </c>
      <c r="H754" s="1930" t="s">
        <v>4024</v>
      </c>
      <c r="I754" s="1932" t="s">
        <v>4029</v>
      </c>
      <c r="J754" s="1930">
        <f>G754</f>
        <v>800000</v>
      </c>
      <c r="K754" s="1930">
        <f>F754-J754</f>
        <v>-800000</v>
      </c>
      <c r="L754" s="1939"/>
      <c r="M754" s="429"/>
      <c r="N754" s="429"/>
      <c r="O754" s="429"/>
      <c r="P754" s="429"/>
      <c r="Q754" s="429"/>
    </row>
    <row r="755" spans="1:17" s="1713" customFormat="1" ht="30" customHeight="1" x14ac:dyDescent="0.2">
      <c r="A755" s="1940"/>
      <c r="B755" s="1937" t="s">
        <v>4034</v>
      </c>
      <c r="C755" s="1936"/>
      <c r="D755" s="1933">
        <v>120000000</v>
      </c>
      <c r="E755" s="1956">
        <v>0.05</v>
      </c>
      <c r="F755" s="1958">
        <f>D755*E755</f>
        <v>6000000</v>
      </c>
      <c r="G755" s="3478" t="s">
        <v>4035</v>
      </c>
      <c r="H755" s="3479"/>
      <c r="I755" s="3479"/>
      <c r="J755" s="3480"/>
      <c r="K755" s="1930"/>
      <c r="L755" s="1939" t="s">
        <v>4036</v>
      </c>
      <c r="M755" s="429"/>
      <c r="N755" s="429"/>
      <c r="O755" s="429"/>
      <c r="P755" s="429"/>
      <c r="Q755" s="429"/>
    </row>
    <row r="756" spans="1:17" s="1713" customFormat="1" ht="30" customHeight="1" x14ac:dyDescent="0.2">
      <c r="A756" s="3525"/>
      <c r="B756" s="3457" t="s">
        <v>4096</v>
      </c>
      <c r="C756" s="3570"/>
      <c r="D756" s="3442">
        <v>50000000</v>
      </c>
      <c r="E756" s="3444">
        <v>0.05</v>
      </c>
      <c r="F756" s="3442">
        <f>D756*E756</f>
        <v>2500000</v>
      </c>
      <c r="G756" s="2094">
        <v>500000</v>
      </c>
      <c r="H756" s="2094" t="s">
        <v>4097</v>
      </c>
      <c r="I756" s="2094" t="s">
        <v>4098</v>
      </c>
      <c r="J756" s="3442">
        <f>G756+G757</f>
        <v>2500000</v>
      </c>
      <c r="K756" s="3442"/>
      <c r="L756" s="3625"/>
      <c r="M756" s="429"/>
      <c r="N756" s="429"/>
      <c r="O756" s="429"/>
      <c r="P756" s="429"/>
      <c r="Q756" s="429"/>
    </row>
    <row r="757" spans="1:17" s="1713" customFormat="1" ht="30" customHeight="1" x14ac:dyDescent="0.2">
      <c r="A757" s="3526"/>
      <c r="B757" s="3458"/>
      <c r="C757" s="3571"/>
      <c r="D757" s="3443"/>
      <c r="E757" s="3445"/>
      <c r="F757" s="3443"/>
      <c r="G757" s="2094">
        <v>2000000</v>
      </c>
      <c r="H757" s="2094" t="s">
        <v>4082</v>
      </c>
      <c r="I757" s="2094" t="s">
        <v>4098</v>
      </c>
      <c r="J757" s="3443"/>
      <c r="K757" s="3443"/>
      <c r="L757" s="3626"/>
      <c r="M757" s="429"/>
      <c r="N757" s="429"/>
      <c r="O757" s="429"/>
      <c r="P757" s="429"/>
      <c r="Q757" s="429"/>
    </row>
    <row r="758" spans="1:17" s="1713" customFormat="1" ht="30" customHeight="1" x14ac:dyDescent="0.2">
      <c r="A758" s="2109"/>
      <c r="B758" s="2108"/>
      <c r="C758" s="2103"/>
      <c r="D758" s="2098"/>
      <c r="E758" s="2096"/>
      <c r="F758" s="2098"/>
      <c r="G758" s="2112"/>
      <c r="H758" s="2113"/>
      <c r="I758" s="2113"/>
      <c r="J758" s="2114"/>
      <c r="K758" s="2098"/>
      <c r="L758" s="2104"/>
      <c r="M758" s="429"/>
      <c r="N758" s="429"/>
      <c r="O758" s="429"/>
      <c r="P758" s="429"/>
      <c r="Q758" s="429"/>
    </row>
    <row r="759" spans="1:17" ht="30" customHeight="1" x14ac:dyDescent="0.2">
      <c r="A759" s="3833" t="s">
        <v>3530</v>
      </c>
      <c r="B759" s="3834"/>
      <c r="C759" s="1084"/>
      <c r="D759" s="311">
        <f>97120523000+1000000000</f>
        <v>98120523000</v>
      </c>
      <c r="E759" s="1630"/>
      <c r="F759" s="1521"/>
      <c r="G759" s="1521"/>
      <c r="H759" s="1521"/>
      <c r="I759" s="24"/>
      <c r="J759" s="1521"/>
      <c r="K759" s="1521"/>
      <c r="L759" s="1627"/>
    </row>
  </sheetData>
  <mergeCells count="1011">
    <mergeCell ref="A640:A643"/>
    <mergeCell ref="B640:B643"/>
    <mergeCell ref="C640:C643"/>
    <mergeCell ref="G643:J643"/>
    <mergeCell ref="D751:F751"/>
    <mergeCell ref="I365:I366"/>
    <mergeCell ref="G438:J440"/>
    <mergeCell ref="G441:J441"/>
    <mergeCell ref="A740:A741"/>
    <mergeCell ref="D742:F742"/>
    <mergeCell ref="J566:J567"/>
    <mergeCell ref="G649:J649"/>
    <mergeCell ref="E629:E630"/>
    <mergeCell ref="E586:E587"/>
    <mergeCell ref="F586:F587"/>
    <mergeCell ref="A566:A567"/>
    <mergeCell ref="B579:B580"/>
    <mergeCell ref="C579:C580"/>
    <mergeCell ref="A586:A587"/>
    <mergeCell ref="B586:B587"/>
    <mergeCell ref="B566:B567"/>
    <mergeCell ref="A438:A441"/>
    <mergeCell ref="G749:J749"/>
    <mergeCell ref="G750:J750"/>
    <mergeCell ref="G703:G704"/>
    <mergeCell ref="H703:H704"/>
    <mergeCell ref="I703:I704"/>
    <mergeCell ref="J703:J704"/>
    <mergeCell ref="J381:J382"/>
    <mergeCell ref="A502:A504"/>
    <mergeCell ref="A517:A525"/>
    <mergeCell ref="B513:B514"/>
    <mergeCell ref="A513:A514"/>
    <mergeCell ref="B517:B525"/>
    <mergeCell ref="A595:A596"/>
    <mergeCell ref="E562:E563"/>
    <mergeCell ref="A170:A171"/>
    <mergeCell ref="B170:B171"/>
    <mergeCell ref="A178:A179"/>
    <mergeCell ref="B173:B175"/>
    <mergeCell ref="A163:A164"/>
    <mergeCell ref="G745:J745"/>
    <mergeCell ref="G490:G491"/>
    <mergeCell ref="H490:H491"/>
    <mergeCell ref="I490:I491"/>
    <mergeCell ref="J490:J491"/>
    <mergeCell ref="A308:A310"/>
    <mergeCell ref="D310:F310"/>
    <mergeCell ref="B416:B420"/>
    <mergeCell ref="G435:G437"/>
    <mergeCell ref="H435:H437"/>
    <mergeCell ref="J629:J630"/>
    <mergeCell ref="G615:G616"/>
    <mergeCell ref="H615:H616"/>
    <mergeCell ref="I615:I616"/>
    <mergeCell ref="J615:J616"/>
    <mergeCell ref="D532:E532"/>
    <mergeCell ref="A416:A420"/>
    <mergeCell ref="C416:C420"/>
    <mergeCell ref="F397:F398"/>
    <mergeCell ref="B502:B504"/>
    <mergeCell ref="C502:C504"/>
    <mergeCell ref="C499:C500"/>
    <mergeCell ref="A497:A498"/>
    <mergeCell ref="A323:A324"/>
    <mergeCell ref="H217:H218"/>
    <mergeCell ref="B227:B236"/>
    <mergeCell ref="A734:A735"/>
    <mergeCell ref="A155:A157"/>
    <mergeCell ref="A127:A128"/>
    <mergeCell ref="A120:A121"/>
    <mergeCell ref="B120:B121"/>
    <mergeCell ref="C120:C121"/>
    <mergeCell ref="D120:D121"/>
    <mergeCell ref="C144:C145"/>
    <mergeCell ref="B151:B153"/>
    <mergeCell ref="C151:C153"/>
    <mergeCell ref="B144:B145"/>
    <mergeCell ref="A146:A147"/>
    <mergeCell ref="A144:A145"/>
    <mergeCell ref="A138:A139"/>
    <mergeCell ref="B138:B139"/>
    <mergeCell ref="C138:C139"/>
    <mergeCell ref="F186:F187"/>
    <mergeCell ref="B148:B150"/>
    <mergeCell ref="C149:C150"/>
    <mergeCell ref="B168:B169"/>
    <mergeCell ref="A168:A169"/>
    <mergeCell ref="C168:C169"/>
    <mergeCell ref="A173:A175"/>
    <mergeCell ref="D173:D175"/>
    <mergeCell ref="E173:E175"/>
    <mergeCell ref="D155:D156"/>
    <mergeCell ref="A148:A150"/>
    <mergeCell ref="E155:E156"/>
    <mergeCell ref="B178:B179"/>
    <mergeCell ref="F155:F156"/>
    <mergeCell ref="D151:F152"/>
    <mergeCell ref="A151:A153"/>
    <mergeCell ref="C136:C137"/>
    <mergeCell ref="K136:K137"/>
    <mergeCell ref="I127:I128"/>
    <mergeCell ref="J127:J128"/>
    <mergeCell ref="G127:G128"/>
    <mergeCell ref="H127:H128"/>
    <mergeCell ref="E98:E99"/>
    <mergeCell ref="K85:K87"/>
    <mergeCell ref="K113:K114"/>
    <mergeCell ref="C116:C117"/>
    <mergeCell ref="E120:E121"/>
    <mergeCell ref="F120:F121"/>
    <mergeCell ref="E136:E137"/>
    <mergeCell ref="F136:F137"/>
    <mergeCell ref="C88:C96"/>
    <mergeCell ref="K116:K117"/>
    <mergeCell ref="A142:A143"/>
    <mergeCell ref="A136:A137"/>
    <mergeCell ref="B136:B137"/>
    <mergeCell ref="B127:B128"/>
    <mergeCell ref="C127:C128"/>
    <mergeCell ref="D136:D137"/>
    <mergeCell ref="A116:A117"/>
    <mergeCell ref="C125:C126"/>
    <mergeCell ref="A98:A99"/>
    <mergeCell ref="B98:B99"/>
    <mergeCell ref="A107:A109"/>
    <mergeCell ref="B107:B109"/>
    <mergeCell ref="C107:C109"/>
    <mergeCell ref="D116:D117"/>
    <mergeCell ref="B113:B114"/>
    <mergeCell ref="C113:C114"/>
    <mergeCell ref="A101:A103"/>
    <mergeCell ref="A113:A114"/>
    <mergeCell ref="C98:C99"/>
    <mergeCell ref="D98:D99"/>
    <mergeCell ref="B101:B103"/>
    <mergeCell ref="C101:C103"/>
    <mergeCell ref="B116:B117"/>
    <mergeCell ref="F116:F117"/>
    <mergeCell ref="E113:E114"/>
    <mergeCell ref="F113:F114"/>
    <mergeCell ref="F98:F99"/>
    <mergeCell ref="E116:E117"/>
    <mergeCell ref="B62:B63"/>
    <mergeCell ref="C62:C63"/>
    <mergeCell ref="B76:B79"/>
    <mergeCell ref="A76:A79"/>
    <mergeCell ref="C76:C79"/>
    <mergeCell ref="E62:E63"/>
    <mergeCell ref="E72:E74"/>
    <mergeCell ref="B88:B97"/>
    <mergeCell ref="A88:A97"/>
    <mergeCell ref="B45:B49"/>
    <mergeCell ref="A37:A38"/>
    <mergeCell ref="B37:B38"/>
    <mergeCell ref="C37:C38"/>
    <mergeCell ref="A62:A63"/>
    <mergeCell ref="B34:B36"/>
    <mergeCell ref="C34:C36"/>
    <mergeCell ref="A72:A74"/>
    <mergeCell ref="A34:A36"/>
    <mergeCell ref="A64:A68"/>
    <mergeCell ref="B64:B68"/>
    <mergeCell ref="C45:C49"/>
    <mergeCell ref="B163:B165"/>
    <mergeCell ref="C163:C165"/>
    <mergeCell ref="G163:G165"/>
    <mergeCell ref="B155:B157"/>
    <mergeCell ref="F88:F94"/>
    <mergeCell ref="D62:D63"/>
    <mergeCell ref="F62:F63"/>
    <mergeCell ref="B80:B82"/>
    <mergeCell ref="A80:A82"/>
    <mergeCell ref="C80:C82"/>
    <mergeCell ref="A85:A87"/>
    <mergeCell ref="B85:B87"/>
    <mergeCell ref="C85:C87"/>
    <mergeCell ref="C72:C74"/>
    <mergeCell ref="C64:C67"/>
    <mergeCell ref="A83:A84"/>
    <mergeCell ref="C83:C84"/>
    <mergeCell ref="B83:B84"/>
    <mergeCell ref="B72:B74"/>
    <mergeCell ref="D113:D114"/>
    <mergeCell ref="K151:K152"/>
    <mergeCell ref="J151:J152"/>
    <mergeCell ref="K217:K218"/>
    <mergeCell ref="B142:B143"/>
    <mergeCell ref="C142:C143"/>
    <mergeCell ref="E186:E187"/>
    <mergeCell ref="B146:B147"/>
    <mergeCell ref="C146:C147"/>
    <mergeCell ref="G147:J147"/>
    <mergeCell ref="G179:J179"/>
    <mergeCell ref="C186:C187"/>
    <mergeCell ref="C189:C190"/>
    <mergeCell ref="D168:D169"/>
    <mergeCell ref="G144:G145"/>
    <mergeCell ref="G149:J149"/>
    <mergeCell ref="C173:C175"/>
    <mergeCell ref="I144:I145"/>
    <mergeCell ref="H144:H145"/>
    <mergeCell ref="E200:E201"/>
    <mergeCell ref="F200:F201"/>
    <mergeCell ref="C155:C157"/>
    <mergeCell ref="B186:B187"/>
    <mergeCell ref="E168:E169"/>
    <mergeCell ref="C170:C171"/>
    <mergeCell ref="G171:J171"/>
    <mergeCell ref="B189:B196"/>
    <mergeCell ref="D186:D187"/>
    <mergeCell ref="B213:B216"/>
    <mergeCell ref="H189:H190"/>
    <mergeCell ref="I189:I190"/>
    <mergeCell ref="C192:F196"/>
    <mergeCell ref="G189:G190"/>
    <mergeCell ref="C178:C179"/>
    <mergeCell ref="E564:E565"/>
    <mergeCell ref="F564:F565"/>
    <mergeCell ref="E397:E398"/>
    <mergeCell ref="D400:D401"/>
    <mergeCell ref="G406:J410"/>
    <mergeCell ref="G415:J415"/>
    <mergeCell ref="I381:I382"/>
    <mergeCell ref="H381:H382"/>
    <mergeCell ref="B259:B260"/>
    <mergeCell ref="C213:C216"/>
    <mergeCell ref="E286:E287"/>
    <mergeCell ref="C274:C278"/>
    <mergeCell ref="B271:B272"/>
    <mergeCell ref="C271:C272"/>
    <mergeCell ref="D215:F215"/>
    <mergeCell ref="F227:F236"/>
    <mergeCell ref="E217:E222"/>
    <mergeCell ref="J227:J236"/>
    <mergeCell ref="E227:E236"/>
    <mergeCell ref="D419:E419"/>
    <mergeCell ref="D397:D398"/>
    <mergeCell ref="F480:F481"/>
    <mergeCell ref="G497:G498"/>
    <mergeCell ref="G381:G382"/>
    <mergeCell ref="B564:B565"/>
    <mergeCell ref="B323:B324"/>
    <mergeCell ref="B397:B398"/>
    <mergeCell ref="B381:B382"/>
    <mergeCell ref="B331:B333"/>
    <mergeCell ref="B365:B366"/>
    <mergeCell ref="J497:J498"/>
    <mergeCell ref="L357:L358"/>
    <mergeCell ref="A200:A201"/>
    <mergeCell ref="G244:J244"/>
    <mergeCell ref="J255:J256"/>
    <mergeCell ref="B255:B256"/>
    <mergeCell ref="B241:B244"/>
    <mergeCell ref="K255:K256"/>
    <mergeCell ref="C241:C244"/>
    <mergeCell ref="C286:C287"/>
    <mergeCell ref="K299:K300"/>
    <mergeCell ref="A286:A287"/>
    <mergeCell ref="J274:J278"/>
    <mergeCell ref="J295:J296"/>
    <mergeCell ref="B295:B297"/>
    <mergeCell ref="A295:A297"/>
    <mergeCell ref="A271:A272"/>
    <mergeCell ref="A217:A222"/>
    <mergeCell ref="B217:B222"/>
    <mergeCell ref="C217:C222"/>
    <mergeCell ref="D217:D222"/>
    <mergeCell ref="A255:A256"/>
    <mergeCell ref="B286:B287"/>
    <mergeCell ref="A227:A236"/>
    <mergeCell ref="A274:A278"/>
    <mergeCell ref="A213:A216"/>
    <mergeCell ref="A351:A352"/>
    <mergeCell ref="J332:J333"/>
    <mergeCell ref="I308:I310"/>
    <mergeCell ref="I321:I322"/>
    <mergeCell ref="J321:J322"/>
    <mergeCell ref="F206:F207"/>
    <mergeCell ref="E206:E207"/>
    <mergeCell ref="A299:A304"/>
    <mergeCell ref="B299:B304"/>
    <mergeCell ref="C299:C304"/>
    <mergeCell ref="D299:D304"/>
    <mergeCell ref="E299:E304"/>
    <mergeCell ref="F299:F304"/>
    <mergeCell ref="D376:F376"/>
    <mergeCell ref="D274:D278"/>
    <mergeCell ref="E274:E278"/>
    <mergeCell ref="D286:D287"/>
    <mergeCell ref="A321:A322"/>
    <mergeCell ref="B321:B322"/>
    <mergeCell ref="C321:C322"/>
    <mergeCell ref="A365:A366"/>
    <mergeCell ref="B274:B278"/>
    <mergeCell ref="L241:L244"/>
    <mergeCell ref="L308:L310"/>
    <mergeCell ref="F274:F278"/>
    <mergeCell ref="J341:J343"/>
    <mergeCell ref="K341:K343"/>
    <mergeCell ref="I357:I358"/>
    <mergeCell ref="H286:H287"/>
    <mergeCell ref="I286:I287"/>
    <mergeCell ref="J286:J287"/>
    <mergeCell ref="K286:K287"/>
    <mergeCell ref="L332:L333"/>
    <mergeCell ref="G295:G296"/>
    <mergeCell ref="H295:H296"/>
    <mergeCell ref="G242:J242"/>
    <mergeCell ref="G243:J243"/>
    <mergeCell ref="I295:I296"/>
    <mergeCell ref="G321:G322"/>
    <mergeCell ref="K332:K333"/>
    <mergeCell ref="C331:C333"/>
    <mergeCell ref="J365:J366"/>
    <mergeCell ref="K365:K366"/>
    <mergeCell ref="K357:K358"/>
    <mergeCell ref="J357:J358"/>
    <mergeCell ref="G359:J359"/>
    <mergeCell ref="H357:H358"/>
    <mergeCell ref="G357:G358"/>
    <mergeCell ref="K438:K441"/>
    <mergeCell ref="I435:I437"/>
    <mergeCell ref="J456:J457"/>
    <mergeCell ref="I427:I428"/>
    <mergeCell ref="J412:J413"/>
    <mergeCell ref="G400:G401"/>
    <mergeCell ref="G395:J395"/>
    <mergeCell ref="G378:J378"/>
    <mergeCell ref="C406:C415"/>
    <mergeCell ref="D336:D337"/>
    <mergeCell ref="E336:E337"/>
    <mergeCell ref="K444:K445"/>
    <mergeCell ref="G434:J434"/>
    <mergeCell ref="J435:J437"/>
    <mergeCell ref="D409:E409"/>
    <mergeCell ref="F400:F401"/>
    <mergeCell ref="C336:C337"/>
    <mergeCell ref="C397:C398"/>
    <mergeCell ref="C381:C382"/>
    <mergeCell ref="D332:F333"/>
    <mergeCell ref="C365:C366"/>
    <mergeCell ref="E400:E401"/>
    <mergeCell ref="D412:F413"/>
    <mergeCell ref="A189:A196"/>
    <mergeCell ref="G194:J194"/>
    <mergeCell ref="G196:J196"/>
    <mergeCell ref="L186:L187"/>
    <mergeCell ref="J189:J190"/>
    <mergeCell ref="G200:G201"/>
    <mergeCell ref="G192:J192"/>
    <mergeCell ref="A206:A207"/>
    <mergeCell ref="A210:A211"/>
    <mergeCell ref="B210:B211"/>
    <mergeCell ref="G195:J195"/>
    <mergeCell ref="L210:L211"/>
    <mergeCell ref="L200:L201"/>
    <mergeCell ref="K189:K190"/>
    <mergeCell ref="L189:L190"/>
    <mergeCell ref="K210:K211"/>
    <mergeCell ref="J186:J187"/>
    <mergeCell ref="J210:J211"/>
    <mergeCell ref="J200:J201"/>
    <mergeCell ref="K200:K201"/>
    <mergeCell ref="G193:J193"/>
    <mergeCell ref="I200:I201"/>
    <mergeCell ref="G191:J191"/>
    <mergeCell ref="H200:H201"/>
    <mergeCell ref="C200:C201"/>
    <mergeCell ref="D200:D201"/>
    <mergeCell ref="B206:B207"/>
    <mergeCell ref="C206:C207"/>
    <mergeCell ref="D206:D207"/>
    <mergeCell ref="A186:A187"/>
    <mergeCell ref="B200:B201"/>
    <mergeCell ref="J113:J114"/>
    <mergeCell ref="K127:K128"/>
    <mergeCell ref="L136:L137"/>
    <mergeCell ref="L107:L108"/>
    <mergeCell ref="L116:L117"/>
    <mergeCell ref="L83:L84"/>
    <mergeCell ref="J85:J87"/>
    <mergeCell ref="K83:K84"/>
    <mergeCell ref="J62:J63"/>
    <mergeCell ref="L173:L175"/>
    <mergeCell ref="K173:K175"/>
    <mergeCell ref="K186:K187"/>
    <mergeCell ref="J173:J175"/>
    <mergeCell ref="G156:J156"/>
    <mergeCell ref="L151:L153"/>
    <mergeCell ref="G153:J153"/>
    <mergeCell ref="J144:J145"/>
    <mergeCell ref="L144:L145"/>
    <mergeCell ref="G181:J181"/>
    <mergeCell ref="K144:K145"/>
    <mergeCell ref="L146:L147"/>
    <mergeCell ref="K80:K81"/>
    <mergeCell ref="H83:H84"/>
    <mergeCell ref="I83:I84"/>
    <mergeCell ref="K88:K94"/>
    <mergeCell ref="G83:G84"/>
    <mergeCell ref="J83:J84"/>
    <mergeCell ref="J116:J117"/>
    <mergeCell ref="J136:J137"/>
    <mergeCell ref="J73:J74"/>
    <mergeCell ref="J76:J77"/>
    <mergeCell ref="J88:J94"/>
    <mergeCell ref="L59:L60"/>
    <mergeCell ref="K59:K60"/>
    <mergeCell ref="F173:F175"/>
    <mergeCell ref="F168:F169"/>
    <mergeCell ref="L113:L114"/>
    <mergeCell ref="J98:J99"/>
    <mergeCell ref="L80:L82"/>
    <mergeCell ref="L62:L63"/>
    <mergeCell ref="K163:K165"/>
    <mergeCell ref="L155:L157"/>
    <mergeCell ref="J120:J121"/>
    <mergeCell ref="J64:J65"/>
    <mergeCell ref="G66:K66"/>
    <mergeCell ref="K101:K102"/>
    <mergeCell ref="G101:J103"/>
    <mergeCell ref="G98:I99"/>
    <mergeCell ref="G108:J108"/>
    <mergeCell ref="G76:G77"/>
    <mergeCell ref="G72:J72"/>
    <mergeCell ref="J59:J60"/>
    <mergeCell ref="H59:H60"/>
    <mergeCell ref="I59:I60"/>
    <mergeCell ref="K62:K63"/>
    <mergeCell ref="K120:K121"/>
    <mergeCell ref="L127:L128"/>
    <mergeCell ref="L140:P140"/>
    <mergeCell ref="L120:L121"/>
    <mergeCell ref="L101:L103"/>
    <mergeCell ref="L88:L90"/>
    <mergeCell ref="G91:I94"/>
    <mergeCell ref="K98:K99"/>
    <mergeCell ref="L98:L99"/>
    <mergeCell ref="J80:J81"/>
    <mergeCell ref="J28:J29"/>
    <mergeCell ref="D37:F38"/>
    <mergeCell ref="D47:D49"/>
    <mergeCell ref="F47:F49"/>
    <mergeCell ref="G59:G60"/>
    <mergeCell ref="G82:J82"/>
    <mergeCell ref="G78:K78"/>
    <mergeCell ref="G79:K79"/>
    <mergeCell ref="D88:D94"/>
    <mergeCell ref="K37:K38"/>
    <mergeCell ref="J37:J38"/>
    <mergeCell ref="I76:I77"/>
    <mergeCell ref="E80:E81"/>
    <mergeCell ref="E47:E49"/>
    <mergeCell ref="E88:E94"/>
    <mergeCell ref="F80:F81"/>
    <mergeCell ref="K64:K65"/>
    <mergeCell ref="D64:D67"/>
    <mergeCell ref="G85:G87"/>
    <mergeCell ref="H85:H87"/>
    <mergeCell ref="I85:I87"/>
    <mergeCell ref="D72:D74"/>
    <mergeCell ref="E64:E67"/>
    <mergeCell ref="F64:F67"/>
    <mergeCell ref="K76:K77"/>
    <mergeCell ref="D80:D81"/>
    <mergeCell ref="G68:J68"/>
    <mergeCell ref="H76:H77"/>
    <mergeCell ref="F72:F74"/>
    <mergeCell ref="L15:L16"/>
    <mergeCell ref="G8:J8"/>
    <mergeCell ref="B5:B7"/>
    <mergeCell ref="A5:A7"/>
    <mergeCell ref="C5:C7"/>
    <mergeCell ref="G6:J6"/>
    <mergeCell ref="G7:J7"/>
    <mergeCell ref="A15:A16"/>
    <mergeCell ref="B15:B16"/>
    <mergeCell ref="J15:J16"/>
    <mergeCell ref="K15:K16"/>
    <mergeCell ref="L47:N47"/>
    <mergeCell ref="L48:N48"/>
    <mergeCell ref="L49:N49"/>
    <mergeCell ref="K45:K47"/>
    <mergeCell ref="K48:K49"/>
    <mergeCell ref="G39:J39"/>
    <mergeCell ref="L28:L29"/>
    <mergeCell ref="G45:G46"/>
    <mergeCell ref="G28:G29"/>
    <mergeCell ref="H28:H29"/>
    <mergeCell ref="I28:I29"/>
    <mergeCell ref="K28:K29"/>
    <mergeCell ref="I45:I47"/>
    <mergeCell ref="J45:J47"/>
    <mergeCell ref="H45:H47"/>
    <mergeCell ref="G47:G49"/>
    <mergeCell ref="H48:J49"/>
    <mergeCell ref="L45:L46"/>
    <mergeCell ref="A45:A46"/>
    <mergeCell ref="B26:B27"/>
    <mergeCell ref="K19:K20"/>
    <mergeCell ref="L19:L20"/>
    <mergeCell ref="K26:K27"/>
    <mergeCell ref="C26:C27"/>
    <mergeCell ref="G26:G27"/>
    <mergeCell ref="H26:H27"/>
    <mergeCell ref="I26:I27"/>
    <mergeCell ref="J26:J27"/>
    <mergeCell ref="A17:A18"/>
    <mergeCell ref="B17:B18"/>
    <mergeCell ref="D18:F18"/>
    <mergeCell ref="G19:G20"/>
    <mergeCell ref="H19:H20"/>
    <mergeCell ref="I19:I20"/>
    <mergeCell ref="E26:E27"/>
    <mergeCell ref="F26:F27"/>
    <mergeCell ref="J19:J20"/>
    <mergeCell ref="A19:A20"/>
    <mergeCell ref="B19:B20"/>
    <mergeCell ref="C19:C20"/>
    <mergeCell ref="A26:A27"/>
    <mergeCell ref="L365:L366"/>
    <mergeCell ref="H365:H366"/>
    <mergeCell ref="G365:G366"/>
    <mergeCell ref="L375:L376"/>
    <mergeCell ref="K503:K504"/>
    <mergeCell ref="L456:L457"/>
    <mergeCell ref="G456:G457"/>
    <mergeCell ref="H456:H457"/>
    <mergeCell ref="L497:L498"/>
    <mergeCell ref="L416:L420"/>
    <mergeCell ref="K416:K420"/>
    <mergeCell ref="G474:G475"/>
    <mergeCell ref="H474:H475"/>
    <mergeCell ref="K490:K491"/>
    <mergeCell ref="K486:K487"/>
    <mergeCell ref="G444:G445"/>
    <mergeCell ref="K470:K472"/>
    <mergeCell ref="K412:K413"/>
    <mergeCell ref="K480:K481"/>
    <mergeCell ref="K474:K475"/>
    <mergeCell ref="J400:J401"/>
    <mergeCell ref="H400:H401"/>
    <mergeCell ref="I400:I401"/>
    <mergeCell ref="G427:G428"/>
    <mergeCell ref="K389:K390"/>
    <mergeCell ref="K400:K401"/>
    <mergeCell ref="K381:K382"/>
    <mergeCell ref="G389:G390"/>
    <mergeCell ref="J480:J481"/>
    <mergeCell ref="K497:K498"/>
    <mergeCell ref="K466:K468"/>
    <mergeCell ref="G414:J414"/>
    <mergeCell ref="L408:L409"/>
    <mergeCell ref="L389:L390"/>
    <mergeCell ref="L427:L428"/>
    <mergeCell ref="L503:L504"/>
    <mergeCell ref="L499:L500"/>
    <mergeCell ref="H444:H445"/>
    <mergeCell ref="I444:I445"/>
    <mergeCell ref="H497:H498"/>
    <mergeCell ref="I497:I498"/>
    <mergeCell ref="J470:J472"/>
    <mergeCell ref="G448:J449"/>
    <mergeCell ref="G450:J450"/>
    <mergeCell ref="G451:J451"/>
    <mergeCell ref="L435:L436"/>
    <mergeCell ref="H427:H428"/>
    <mergeCell ref="J427:J428"/>
    <mergeCell ref="H389:H390"/>
    <mergeCell ref="J389:J390"/>
    <mergeCell ref="K427:K428"/>
    <mergeCell ref="L444:L445"/>
    <mergeCell ref="I411:I412"/>
    <mergeCell ref="G416:J419"/>
    <mergeCell ref="H411:H412"/>
    <mergeCell ref="L412:L413"/>
    <mergeCell ref="I456:I457"/>
    <mergeCell ref="I389:I390"/>
    <mergeCell ref="K456:K457"/>
    <mergeCell ref="I474:I475"/>
    <mergeCell ref="G452:J452"/>
    <mergeCell ref="G453:J453"/>
    <mergeCell ref="J474:J475"/>
    <mergeCell ref="G465:J465"/>
    <mergeCell ref="G646:J646"/>
    <mergeCell ref="L677:L678"/>
    <mergeCell ref="J654:J656"/>
    <mergeCell ref="L602:L603"/>
    <mergeCell ref="L615:L616"/>
    <mergeCell ref="K602:K603"/>
    <mergeCell ref="G590:J590"/>
    <mergeCell ref="K595:K596"/>
    <mergeCell ref="K619:K622"/>
    <mergeCell ref="G620:J620"/>
    <mergeCell ref="G602:G603"/>
    <mergeCell ref="L629:L630"/>
    <mergeCell ref="J662:J663"/>
    <mergeCell ref="G645:J645"/>
    <mergeCell ref="I588:K588"/>
    <mergeCell ref="L595:L596"/>
    <mergeCell ref="G612:J613"/>
    <mergeCell ref="I624:I628"/>
    <mergeCell ref="J624:J628"/>
    <mergeCell ref="K629:K630"/>
    <mergeCell ref="L654:L656"/>
    <mergeCell ref="G652:J652"/>
    <mergeCell ref="G653:J653"/>
    <mergeCell ref="J640:J642"/>
    <mergeCell ref="K640:K642"/>
    <mergeCell ref="A618:A623"/>
    <mergeCell ref="A612:A613"/>
    <mergeCell ref="K615:K616"/>
    <mergeCell ref="B615:B616"/>
    <mergeCell ref="A602:A603"/>
    <mergeCell ref="F629:F630"/>
    <mergeCell ref="A624:A630"/>
    <mergeCell ref="C624:C628"/>
    <mergeCell ref="F562:F563"/>
    <mergeCell ref="J595:J596"/>
    <mergeCell ref="B568:B578"/>
    <mergeCell ref="A564:A565"/>
    <mergeCell ref="C568:C578"/>
    <mergeCell ref="F568:F578"/>
    <mergeCell ref="E568:E578"/>
    <mergeCell ref="C566:C567"/>
    <mergeCell ref="K562:K563"/>
    <mergeCell ref="J586:J587"/>
    <mergeCell ref="G589:J589"/>
    <mergeCell ref="G580:J580"/>
    <mergeCell ref="A579:A580"/>
    <mergeCell ref="E592:E593"/>
    <mergeCell ref="H624:H628"/>
    <mergeCell ref="K564:K565"/>
    <mergeCell ref="G566:G567"/>
    <mergeCell ref="H566:H567"/>
    <mergeCell ref="K569:K578"/>
    <mergeCell ref="I566:I567"/>
    <mergeCell ref="K566:K567"/>
    <mergeCell ref="J569:J578"/>
    <mergeCell ref="J564:J565"/>
    <mergeCell ref="K586:K587"/>
    <mergeCell ref="D562:D563"/>
    <mergeCell ref="C629:C630"/>
    <mergeCell ref="D602:D603"/>
    <mergeCell ref="E602:E603"/>
    <mergeCell ref="F602:F603"/>
    <mergeCell ref="G535:K535"/>
    <mergeCell ref="K517:K524"/>
    <mergeCell ref="J517:J524"/>
    <mergeCell ref="J511:J512"/>
    <mergeCell ref="I517:I524"/>
    <mergeCell ref="H511:H512"/>
    <mergeCell ref="H517:H524"/>
    <mergeCell ref="D537:E537"/>
    <mergeCell ref="C526:C540"/>
    <mergeCell ref="G525:K525"/>
    <mergeCell ref="J602:J603"/>
    <mergeCell ref="K612:K613"/>
    <mergeCell ref="G619:J619"/>
    <mergeCell ref="C615:C616"/>
    <mergeCell ref="C602:C603"/>
    <mergeCell ref="F612:F613"/>
    <mergeCell ref="D612:D613"/>
    <mergeCell ref="E612:E613"/>
    <mergeCell ref="G534:K534"/>
    <mergeCell ref="G539:K539"/>
    <mergeCell ref="G538:K538"/>
    <mergeCell ref="K559:K560"/>
    <mergeCell ref="J559:J560"/>
    <mergeCell ref="G559:G560"/>
    <mergeCell ref="H559:H560"/>
    <mergeCell ref="B493:B494"/>
    <mergeCell ref="D503:F504"/>
    <mergeCell ref="C586:C587"/>
    <mergeCell ref="D586:D587"/>
    <mergeCell ref="D564:D565"/>
    <mergeCell ref="D568:D578"/>
    <mergeCell ref="C588:C590"/>
    <mergeCell ref="D654:D656"/>
    <mergeCell ref="D677:D678"/>
    <mergeCell ref="C677:C678"/>
    <mergeCell ref="E654:E656"/>
    <mergeCell ref="F654:F656"/>
    <mergeCell ref="A644:A646"/>
    <mergeCell ref="A654:A656"/>
    <mergeCell ref="B629:B630"/>
    <mergeCell ref="B602:B603"/>
    <mergeCell ref="B651:B653"/>
    <mergeCell ref="A651:A653"/>
    <mergeCell ref="C651:C653"/>
    <mergeCell ref="D640:F642"/>
    <mergeCell ref="F592:F593"/>
    <mergeCell ref="B497:B498"/>
    <mergeCell ref="A505:A506"/>
    <mergeCell ref="D505:D506"/>
    <mergeCell ref="E505:E506"/>
    <mergeCell ref="F505:F506"/>
    <mergeCell ref="C505:C506"/>
    <mergeCell ref="B505:B506"/>
    <mergeCell ref="B654:B656"/>
    <mergeCell ref="B648:B650"/>
    <mergeCell ref="A511:A512"/>
    <mergeCell ref="B511:B512"/>
    <mergeCell ref="B400:B401"/>
    <mergeCell ref="C400:C401"/>
    <mergeCell ref="D384:F384"/>
    <mergeCell ref="B383:B385"/>
    <mergeCell ref="B351:B352"/>
    <mergeCell ref="D374:F374"/>
    <mergeCell ref="D357:D358"/>
    <mergeCell ref="A381:A382"/>
    <mergeCell ref="A375:A376"/>
    <mergeCell ref="B373:B374"/>
    <mergeCell ref="C341:C343"/>
    <mergeCell ref="D341:D343"/>
    <mergeCell ref="A400:A401"/>
    <mergeCell ref="A759:B759"/>
    <mergeCell ref="E553:F553"/>
    <mergeCell ref="D523:E523"/>
    <mergeCell ref="D525:E525"/>
    <mergeCell ref="A556:A557"/>
    <mergeCell ref="B556:B557"/>
    <mergeCell ref="E683:E685"/>
    <mergeCell ref="F683:F685"/>
    <mergeCell ref="A703:A704"/>
    <mergeCell ref="B703:B704"/>
    <mergeCell ref="C703:C704"/>
    <mergeCell ref="D703:D704"/>
    <mergeCell ref="E703:E704"/>
    <mergeCell ref="F703:F704"/>
    <mergeCell ref="A615:A616"/>
    <mergeCell ref="B612:B613"/>
    <mergeCell ref="A377:A378"/>
    <mergeCell ref="B644:B646"/>
    <mergeCell ref="A707:A708"/>
    <mergeCell ref="C259:C260"/>
    <mergeCell ref="H308:H310"/>
    <mergeCell ref="H255:H256"/>
    <mergeCell ref="I255:I256"/>
    <mergeCell ref="K274:K278"/>
    <mergeCell ref="L227:L236"/>
    <mergeCell ref="G272:J272"/>
    <mergeCell ref="I217:I218"/>
    <mergeCell ref="J217:J218"/>
    <mergeCell ref="G255:G256"/>
    <mergeCell ref="F217:F222"/>
    <mergeCell ref="G286:G287"/>
    <mergeCell ref="C323:C324"/>
    <mergeCell ref="F286:F287"/>
    <mergeCell ref="K321:K322"/>
    <mergeCell ref="J299:J300"/>
    <mergeCell ref="L268:P268"/>
    <mergeCell ref="K295:K296"/>
    <mergeCell ref="L295:L296"/>
    <mergeCell ref="E323:E324"/>
    <mergeCell ref="H321:H322"/>
    <mergeCell ref="C227:C236"/>
    <mergeCell ref="D227:D236"/>
    <mergeCell ref="L703:L704"/>
    <mergeCell ref="L702:P702"/>
    <mergeCell ref="I730:K730"/>
    <mergeCell ref="I713:K713"/>
    <mergeCell ref="G726:J726"/>
    <mergeCell ref="H707:H708"/>
    <mergeCell ref="I707:I708"/>
    <mergeCell ref="J707:J708"/>
    <mergeCell ref="K707:K708"/>
    <mergeCell ref="K734:K735"/>
    <mergeCell ref="G728:J728"/>
    <mergeCell ref="G723:J723"/>
    <mergeCell ref="J734:J735"/>
    <mergeCell ref="L217:L218"/>
    <mergeCell ref="K227:K236"/>
    <mergeCell ref="D323:D324"/>
    <mergeCell ref="L321:L322"/>
    <mergeCell ref="L277:L278"/>
    <mergeCell ref="G511:G512"/>
    <mergeCell ref="G517:G524"/>
    <mergeCell ref="F595:F596"/>
    <mergeCell ref="L564:L565"/>
    <mergeCell ref="L562:L563"/>
    <mergeCell ref="L566:L567"/>
    <mergeCell ref="L559:L560"/>
    <mergeCell ref="L640:L641"/>
    <mergeCell ref="L662:L663"/>
    <mergeCell ref="J677:J678"/>
    <mergeCell ref="L586:L587"/>
    <mergeCell ref="G621:J621"/>
    <mergeCell ref="G622:J622"/>
    <mergeCell ref="G648:J648"/>
    <mergeCell ref="G743:K743"/>
    <mergeCell ref="G744:K744"/>
    <mergeCell ref="B740:B741"/>
    <mergeCell ref="C740:C741"/>
    <mergeCell ref="D740:F740"/>
    <mergeCell ref="G741:K741"/>
    <mergeCell ref="C734:C735"/>
    <mergeCell ref="D734:D735"/>
    <mergeCell ref="E734:E735"/>
    <mergeCell ref="F734:F735"/>
    <mergeCell ref="K677:K678"/>
    <mergeCell ref="B677:B678"/>
    <mergeCell ref="K654:K656"/>
    <mergeCell ref="K662:K663"/>
    <mergeCell ref="D732:F732"/>
    <mergeCell ref="B734:B735"/>
    <mergeCell ref="B719:B720"/>
    <mergeCell ref="C683:C685"/>
    <mergeCell ref="C696:C697"/>
    <mergeCell ref="F677:F678"/>
    <mergeCell ref="C654:C656"/>
    <mergeCell ref="B725:B726"/>
    <mergeCell ref="B707:B708"/>
    <mergeCell ref="G725:J725"/>
    <mergeCell ref="G683:G687"/>
    <mergeCell ref="H683:H687"/>
    <mergeCell ref="I683:I687"/>
    <mergeCell ref="J683:J687"/>
    <mergeCell ref="K683:K687"/>
    <mergeCell ref="K703:K704"/>
    <mergeCell ref="B736:B737"/>
    <mergeCell ref="C736:C737"/>
    <mergeCell ref="A648:A650"/>
    <mergeCell ref="C648:C650"/>
    <mergeCell ref="I559:I560"/>
    <mergeCell ref="I511:I512"/>
    <mergeCell ref="I602:I603"/>
    <mergeCell ref="H602:H603"/>
    <mergeCell ref="D737:F737"/>
    <mergeCell ref="D736:F736"/>
    <mergeCell ref="A696:A697"/>
    <mergeCell ref="B696:B697"/>
    <mergeCell ref="B657:B658"/>
    <mergeCell ref="B686:B687"/>
    <mergeCell ref="C686:C687"/>
    <mergeCell ref="A686:A687"/>
    <mergeCell ref="A677:A678"/>
    <mergeCell ref="A683:A685"/>
    <mergeCell ref="D696:D697"/>
    <mergeCell ref="E677:E678"/>
    <mergeCell ref="D683:D685"/>
    <mergeCell ref="A725:A726"/>
    <mergeCell ref="C725:C726"/>
    <mergeCell ref="A719:A720"/>
    <mergeCell ref="G536:K536"/>
    <mergeCell ref="G537:K537"/>
    <mergeCell ref="G514:J514"/>
    <mergeCell ref="K511:K512"/>
    <mergeCell ref="C517:C525"/>
    <mergeCell ref="A588:A590"/>
    <mergeCell ref="B595:B596"/>
    <mergeCell ref="C564:C565"/>
    <mergeCell ref="B562:B563"/>
    <mergeCell ref="C562:C563"/>
    <mergeCell ref="J466:J468"/>
    <mergeCell ref="B469:B472"/>
    <mergeCell ref="A562:A563"/>
    <mergeCell ref="A568:A578"/>
    <mergeCell ref="C513:C514"/>
    <mergeCell ref="E449:F449"/>
    <mergeCell ref="B448:B453"/>
    <mergeCell ref="A448:A453"/>
    <mergeCell ref="B526:B540"/>
    <mergeCell ref="A559:A560"/>
    <mergeCell ref="B559:B560"/>
    <mergeCell ref="C559:C560"/>
    <mergeCell ref="J444:J445"/>
    <mergeCell ref="J486:J487"/>
    <mergeCell ref="G505:J505"/>
    <mergeCell ref="F499:F500"/>
    <mergeCell ref="D499:D500"/>
    <mergeCell ref="J503:J504"/>
    <mergeCell ref="D480:D481"/>
    <mergeCell ref="B499:B500"/>
    <mergeCell ref="E499:E500"/>
    <mergeCell ref="E480:E481"/>
    <mergeCell ref="G478:J478"/>
    <mergeCell ref="D469:D472"/>
    <mergeCell ref="E469:E472"/>
    <mergeCell ref="F469:F472"/>
    <mergeCell ref="D463:D464"/>
    <mergeCell ref="E463:E464"/>
    <mergeCell ref="F463:F464"/>
    <mergeCell ref="D539:E539"/>
    <mergeCell ref="A463:A468"/>
    <mergeCell ref="C463:C468"/>
    <mergeCell ref="L756:L757"/>
    <mergeCell ref="B756:B757"/>
    <mergeCell ref="A756:A757"/>
    <mergeCell ref="J756:J757"/>
    <mergeCell ref="K756:K757"/>
    <mergeCell ref="C756:C757"/>
    <mergeCell ref="D756:D757"/>
    <mergeCell ref="E756:E757"/>
    <mergeCell ref="F756:F757"/>
    <mergeCell ref="A493:A494"/>
    <mergeCell ref="A499:A500"/>
    <mergeCell ref="A526:A540"/>
    <mergeCell ref="L480:L481"/>
    <mergeCell ref="L511:L512"/>
    <mergeCell ref="L517:L525"/>
    <mergeCell ref="L474:L475"/>
    <mergeCell ref="A657:A658"/>
    <mergeCell ref="C657:C658"/>
    <mergeCell ref="D689:F689"/>
    <mergeCell ref="F696:F697"/>
    <mergeCell ref="E696:E697"/>
    <mergeCell ref="C644:C645"/>
    <mergeCell ref="D629:D630"/>
    <mergeCell ref="A662:A666"/>
    <mergeCell ref="G755:J755"/>
    <mergeCell ref="A592:A593"/>
    <mergeCell ref="B592:B593"/>
    <mergeCell ref="C592:C593"/>
    <mergeCell ref="D592:D593"/>
    <mergeCell ref="B745:B746"/>
    <mergeCell ref="C745:C746"/>
    <mergeCell ref="A745:A746"/>
    <mergeCell ref="G95:I95"/>
    <mergeCell ref="F323:F324"/>
    <mergeCell ref="A397:A398"/>
    <mergeCell ref="A125:A126"/>
    <mergeCell ref="H163:H165"/>
    <mergeCell ref="I163:I165"/>
    <mergeCell ref="J163:J165"/>
    <mergeCell ref="B125:B126"/>
    <mergeCell ref="D125:D126"/>
    <mergeCell ref="E125:E126"/>
    <mergeCell ref="F125:F126"/>
    <mergeCell ref="A383:A385"/>
    <mergeCell ref="G216:J216"/>
    <mergeCell ref="B308:B310"/>
    <mergeCell ref="E341:E343"/>
    <mergeCell ref="F341:F343"/>
    <mergeCell ref="F357:F358"/>
    <mergeCell ref="C377:C378"/>
    <mergeCell ref="F336:F337"/>
    <mergeCell ref="G260:K260"/>
    <mergeCell ref="A373:A374"/>
    <mergeCell ref="A391:A394"/>
    <mergeCell ref="B391:B394"/>
    <mergeCell ref="A357:A359"/>
    <mergeCell ref="A336:A337"/>
    <mergeCell ref="B336:B337"/>
    <mergeCell ref="E357:E358"/>
    <mergeCell ref="B341:B343"/>
    <mergeCell ref="B357:B359"/>
    <mergeCell ref="C351:C352"/>
    <mergeCell ref="C357:C359"/>
    <mergeCell ref="B377:B378"/>
    <mergeCell ref="A490:A491"/>
    <mergeCell ref="A406:A415"/>
    <mergeCell ref="A422:A423"/>
    <mergeCell ref="A427:A428"/>
    <mergeCell ref="A435:A437"/>
    <mergeCell ref="B435:B437"/>
    <mergeCell ref="C435:C437"/>
    <mergeCell ref="B485:B487"/>
    <mergeCell ref="C477:C478"/>
    <mergeCell ref="A456:A457"/>
    <mergeCell ref="C456:C457"/>
    <mergeCell ref="A485:A487"/>
    <mergeCell ref="B444:B445"/>
    <mergeCell ref="A433:A434"/>
    <mergeCell ref="B427:B428"/>
    <mergeCell ref="C427:C428"/>
    <mergeCell ref="B406:B415"/>
    <mergeCell ref="A477:A478"/>
    <mergeCell ref="B477:B478"/>
    <mergeCell ref="B480:B481"/>
    <mergeCell ref="C480:C481"/>
    <mergeCell ref="A469:A472"/>
    <mergeCell ref="C469:C472"/>
    <mergeCell ref="A444:A445"/>
    <mergeCell ref="B438:B441"/>
    <mergeCell ref="B463:B468"/>
    <mergeCell ref="B490:B491"/>
    <mergeCell ref="C433:C434"/>
    <mergeCell ref="K435:K437"/>
    <mergeCell ref="B433:B434"/>
    <mergeCell ref="B118:B119"/>
    <mergeCell ref="C118:C119"/>
    <mergeCell ref="G542:I542"/>
    <mergeCell ref="A542:A543"/>
    <mergeCell ref="B542:B543"/>
    <mergeCell ref="C542:C543"/>
    <mergeCell ref="G543:J543"/>
    <mergeCell ref="B662:B667"/>
    <mergeCell ref="C662:C667"/>
    <mergeCell ref="G664:J666"/>
    <mergeCell ref="G667:J667"/>
    <mergeCell ref="J562:J563"/>
    <mergeCell ref="C612:C613"/>
    <mergeCell ref="C595:C596"/>
    <mergeCell ref="D619:F622"/>
    <mergeCell ref="B588:B590"/>
    <mergeCell ref="C619:C623"/>
    <mergeCell ref="B618:B623"/>
    <mergeCell ref="D615:D616"/>
    <mergeCell ref="E615:E616"/>
    <mergeCell ref="F615:F616"/>
    <mergeCell ref="D595:D596"/>
    <mergeCell ref="E595:E596"/>
    <mergeCell ref="G624:G628"/>
    <mergeCell ref="C444:C445"/>
    <mergeCell ref="C497:C498"/>
    <mergeCell ref="C490:C491"/>
    <mergeCell ref="C438:C441"/>
    <mergeCell ref="C493:C494"/>
    <mergeCell ref="A480:A48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6"/>
  <sheetViews>
    <sheetView rightToLeft="1" zoomScale="60" zoomScaleNormal="60" workbookViewId="0">
      <pane ySplit="1" topLeftCell="A207" activePane="bottomLeft" state="frozen"/>
      <selection pane="bottomLeft" activeCell="B207" sqref="B207:B216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8.625" style="2739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2727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1982">
        <v>1</v>
      </c>
      <c r="B2" s="22" t="s">
        <v>1589</v>
      </c>
      <c r="C2" s="2079" t="s">
        <v>380</v>
      </c>
      <c r="D2" s="2065">
        <v>600000000</v>
      </c>
      <c r="E2" s="2078">
        <v>0.06</v>
      </c>
      <c r="F2" s="2065">
        <f>D2*E2</f>
        <v>36000000</v>
      </c>
      <c r="G2" s="561">
        <v>36000000</v>
      </c>
      <c r="H2" s="2552" t="s">
        <v>4184</v>
      </c>
      <c r="I2" s="2593" t="s">
        <v>1923</v>
      </c>
      <c r="J2" s="2552">
        <f>G2</f>
        <v>36000000</v>
      </c>
      <c r="K2" s="2552">
        <f>F2-J2</f>
        <v>0</v>
      </c>
      <c r="L2" s="2062"/>
    </row>
    <row r="3" spans="1:12" ht="30" customHeight="1" x14ac:dyDescent="0.2">
      <c r="A3" s="2014">
        <v>2</v>
      </c>
      <c r="B3" s="2077" t="s">
        <v>287</v>
      </c>
      <c r="C3" s="2064"/>
      <c r="D3" s="2056">
        <v>300000000</v>
      </c>
      <c r="E3" s="2053">
        <v>0.05</v>
      </c>
      <c r="F3" s="2056">
        <f>D3*E3</f>
        <v>15000000</v>
      </c>
      <c r="G3" s="482">
        <v>15000000</v>
      </c>
      <c r="H3" s="2558" t="s">
        <v>4184</v>
      </c>
      <c r="I3" s="24" t="s">
        <v>4240</v>
      </c>
      <c r="J3" s="2558">
        <f>G3</f>
        <v>15000000</v>
      </c>
      <c r="K3" s="2558">
        <f>F3-J3</f>
        <v>0</v>
      </c>
      <c r="L3" s="2077"/>
    </row>
    <row r="4" spans="1:12" ht="30" customHeight="1" x14ac:dyDescent="0.2">
      <c r="A4" s="2014">
        <v>3</v>
      </c>
      <c r="B4" s="22" t="s">
        <v>290</v>
      </c>
      <c r="C4" s="2064" t="s">
        <v>367</v>
      </c>
      <c r="D4" s="2056">
        <v>36000000</v>
      </c>
      <c r="E4" s="2078">
        <v>7.0000000000000007E-2</v>
      </c>
      <c r="F4" s="2056">
        <v>2500000</v>
      </c>
      <c r="G4" s="482">
        <v>2500000</v>
      </c>
      <c r="H4" s="2558" t="s">
        <v>4156</v>
      </c>
      <c r="I4" s="28" t="s">
        <v>2152</v>
      </c>
      <c r="J4" s="2558">
        <f>G4</f>
        <v>2500000</v>
      </c>
      <c r="K4" s="2558">
        <f>F4-J4</f>
        <v>0</v>
      </c>
      <c r="L4" s="2077"/>
    </row>
    <row r="5" spans="1:12" ht="30" customHeight="1" x14ac:dyDescent="0.2">
      <c r="A5" s="1982">
        <v>4</v>
      </c>
      <c r="B5" s="2076" t="s">
        <v>315</v>
      </c>
      <c r="C5" s="2079" t="s">
        <v>2778</v>
      </c>
      <c r="D5" s="2056">
        <v>700000000</v>
      </c>
      <c r="E5" s="2078">
        <v>6.3E-2</v>
      </c>
      <c r="F5" s="2056">
        <f>D5*E5</f>
        <v>44100000</v>
      </c>
      <c r="G5" s="482">
        <v>29000000</v>
      </c>
      <c r="H5" s="2558" t="s">
        <v>2141</v>
      </c>
      <c r="I5" s="28" t="s">
        <v>1636</v>
      </c>
      <c r="J5" s="2558">
        <f>15000000+G5</f>
        <v>44000000</v>
      </c>
      <c r="K5" s="2558">
        <f>F5-J5</f>
        <v>100000</v>
      </c>
      <c r="L5" s="33" t="s">
        <v>4049</v>
      </c>
    </row>
    <row r="6" spans="1:12" ht="30" customHeight="1" x14ac:dyDescent="0.2">
      <c r="A6" s="2014">
        <v>5</v>
      </c>
      <c r="B6" s="22" t="s">
        <v>323</v>
      </c>
      <c r="C6" s="2064" t="s">
        <v>380</v>
      </c>
      <c r="D6" s="2056">
        <v>20000000</v>
      </c>
      <c r="E6" s="2078">
        <v>7.0000000000000007E-2</v>
      </c>
      <c r="F6" s="2056">
        <v>1400000</v>
      </c>
      <c r="G6" s="482">
        <v>1400000</v>
      </c>
      <c r="H6" s="2558" t="s">
        <v>4156</v>
      </c>
      <c r="I6" s="28" t="s">
        <v>1952</v>
      </c>
      <c r="J6" s="2558">
        <f t="shared" ref="J6:J11" si="0">G6</f>
        <v>1400000</v>
      </c>
      <c r="K6" s="2558">
        <f t="shared" ref="K6:K11" si="1">F6-J6</f>
        <v>0</v>
      </c>
      <c r="L6" s="33" t="s">
        <v>326</v>
      </c>
    </row>
    <row r="7" spans="1:12" ht="30" customHeight="1" x14ac:dyDescent="0.2">
      <c r="A7" s="1982">
        <v>6</v>
      </c>
      <c r="B7" s="2076" t="s">
        <v>416</v>
      </c>
      <c r="C7" s="2063"/>
      <c r="D7" s="2056">
        <v>15000000</v>
      </c>
      <c r="E7" s="2078">
        <v>0.05</v>
      </c>
      <c r="F7" s="2056">
        <f t="shared" ref="F7:F13" si="2">D7*E7</f>
        <v>750000</v>
      </c>
      <c r="G7" s="482"/>
      <c r="H7" s="2558"/>
      <c r="I7" s="28"/>
      <c r="J7" s="2558">
        <f t="shared" si="0"/>
        <v>0</v>
      </c>
      <c r="K7" s="2558">
        <f t="shared" si="1"/>
        <v>750000</v>
      </c>
      <c r="L7" s="683"/>
    </row>
    <row r="8" spans="1:12" ht="30" customHeight="1" x14ac:dyDescent="0.2">
      <c r="A8" s="1982">
        <v>7</v>
      </c>
      <c r="B8" s="2076" t="s">
        <v>104</v>
      </c>
      <c r="C8" s="2063" t="s">
        <v>916</v>
      </c>
      <c r="D8" s="2056">
        <v>45000000</v>
      </c>
      <c r="E8" s="2078">
        <v>0.05</v>
      </c>
      <c r="F8" s="2056">
        <f t="shared" si="2"/>
        <v>2250000</v>
      </c>
      <c r="G8" s="482">
        <v>2250000</v>
      </c>
      <c r="H8" s="2558" t="s">
        <v>4062</v>
      </c>
      <c r="I8" s="30" t="s">
        <v>3556</v>
      </c>
      <c r="J8" s="2558">
        <f t="shared" si="0"/>
        <v>2250000</v>
      </c>
      <c r="K8" s="2558">
        <f t="shared" si="1"/>
        <v>0</v>
      </c>
      <c r="L8" s="786"/>
    </row>
    <row r="9" spans="1:12" ht="30" customHeight="1" x14ac:dyDescent="0.2">
      <c r="A9" s="1982">
        <v>8</v>
      </c>
      <c r="B9" s="22" t="s">
        <v>356</v>
      </c>
      <c r="C9" s="2079" t="s">
        <v>1346</v>
      </c>
      <c r="D9" s="2065">
        <v>400000000</v>
      </c>
      <c r="E9" s="2078">
        <v>4.4999999999999998E-2</v>
      </c>
      <c r="F9" s="2065">
        <f t="shared" si="2"/>
        <v>18000000</v>
      </c>
      <c r="G9" s="561">
        <v>18000000</v>
      </c>
      <c r="H9" s="2558" t="s">
        <v>4201</v>
      </c>
      <c r="I9" s="28" t="s">
        <v>3877</v>
      </c>
      <c r="J9" s="2558">
        <f t="shared" si="0"/>
        <v>18000000</v>
      </c>
      <c r="K9" s="2552">
        <f t="shared" si="1"/>
        <v>0</v>
      </c>
      <c r="L9" s="2214" t="s">
        <v>4207</v>
      </c>
    </row>
    <row r="10" spans="1:12" ht="30" customHeight="1" x14ac:dyDescent="0.2">
      <c r="A10" s="2014">
        <v>9</v>
      </c>
      <c r="B10" s="2077" t="s">
        <v>387</v>
      </c>
      <c r="C10" s="2064" t="s">
        <v>379</v>
      </c>
      <c r="D10" s="2056">
        <v>10000000</v>
      </c>
      <c r="E10" s="2053">
        <v>0.05</v>
      </c>
      <c r="F10" s="2056">
        <f t="shared" si="2"/>
        <v>500000</v>
      </c>
      <c r="G10" s="482">
        <v>500000</v>
      </c>
      <c r="H10" s="2558" t="s">
        <v>1045</v>
      </c>
      <c r="I10" s="28" t="s">
        <v>1031</v>
      </c>
      <c r="J10" s="2558">
        <f t="shared" si="0"/>
        <v>500000</v>
      </c>
      <c r="K10" s="2558">
        <f t="shared" si="1"/>
        <v>0</v>
      </c>
      <c r="L10" s="33"/>
    </row>
    <row r="11" spans="1:12" ht="30" customHeight="1" x14ac:dyDescent="0.2">
      <c r="A11" s="2014">
        <v>10</v>
      </c>
      <c r="B11" s="2076" t="s">
        <v>1029</v>
      </c>
      <c r="C11" s="2079" t="s">
        <v>1909</v>
      </c>
      <c r="D11" s="2056">
        <v>180000000</v>
      </c>
      <c r="E11" s="2078">
        <v>7.0000000000000007E-2</v>
      </c>
      <c r="F11" s="2056">
        <f t="shared" si="2"/>
        <v>12600000.000000002</v>
      </c>
      <c r="G11" s="482">
        <v>12600000</v>
      </c>
      <c r="H11" s="2558" t="s">
        <v>4276</v>
      </c>
      <c r="I11" s="28" t="s">
        <v>2502</v>
      </c>
      <c r="J11" s="2558">
        <f t="shared" si="0"/>
        <v>12600000</v>
      </c>
      <c r="K11" s="2558">
        <f t="shared" si="1"/>
        <v>0</v>
      </c>
      <c r="L11" s="192" t="s">
        <v>3332</v>
      </c>
    </row>
    <row r="12" spans="1:12" ht="30" customHeight="1" x14ac:dyDescent="0.2">
      <c r="A12" s="3450">
        <v>11</v>
      </c>
      <c r="B12" s="3687" t="s">
        <v>402</v>
      </c>
      <c r="C12" s="2181" t="s">
        <v>367</v>
      </c>
      <c r="D12" s="2065">
        <v>15000000</v>
      </c>
      <c r="E12" s="2078">
        <v>7.0000000000000007E-2</v>
      </c>
      <c r="F12" s="2065">
        <f t="shared" si="2"/>
        <v>1050000</v>
      </c>
      <c r="G12" s="2780">
        <v>1383000</v>
      </c>
      <c r="H12" s="2557" t="s">
        <v>4164</v>
      </c>
      <c r="I12" s="2614" t="s">
        <v>403</v>
      </c>
      <c r="J12" s="2557">
        <f>G12+G13</f>
        <v>1383000</v>
      </c>
      <c r="K12" s="2557">
        <v>0</v>
      </c>
      <c r="L12" s="3468" t="s">
        <v>4163</v>
      </c>
    </row>
    <row r="13" spans="1:12" ht="30" customHeight="1" x14ac:dyDescent="0.2">
      <c r="A13" s="3456"/>
      <c r="B13" s="3687"/>
      <c r="C13" s="2181" t="s">
        <v>1110</v>
      </c>
      <c r="D13" s="2065">
        <v>5000000</v>
      </c>
      <c r="E13" s="2078">
        <v>0.05</v>
      </c>
      <c r="F13" s="2065">
        <f t="shared" si="2"/>
        <v>250000</v>
      </c>
      <c r="G13" s="2734"/>
      <c r="H13" s="2558"/>
      <c r="I13" s="2615"/>
      <c r="J13" s="2558"/>
      <c r="K13" s="2558"/>
      <c r="L13" s="3469"/>
    </row>
    <row r="14" spans="1:12" ht="30" customHeight="1" x14ac:dyDescent="0.2">
      <c r="A14" s="1081">
        <v>12</v>
      </c>
      <c r="B14" s="2076" t="s">
        <v>408</v>
      </c>
      <c r="C14" s="2064" t="s">
        <v>1215</v>
      </c>
      <c r="D14" s="2056">
        <v>75000000</v>
      </c>
      <c r="E14" s="2053">
        <f>F14/D14</f>
        <v>5.3333333333333337E-2</v>
      </c>
      <c r="F14" s="2056">
        <v>4000000</v>
      </c>
      <c r="G14" s="482">
        <v>4000000</v>
      </c>
      <c r="H14" s="2558" t="s">
        <v>2141</v>
      </c>
      <c r="I14" s="57" t="s">
        <v>410</v>
      </c>
      <c r="J14" s="2558">
        <f>G14</f>
        <v>4000000</v>
      </c>
      <c r="K14" s="2558">
        <f>F14-J14</f>
        <v>0</v>
      </c>
      <c r="L14" s="2061" t="s">
        <v>3852</v>
      </c>
    </row>
    <row r="15" spans="1:12" ht="30" customHeight="1" x14ac:dyDescent="0.2">
      <c r="A15" s="3456"/>
      <c r="B15" s="3457" t="s">
        <v>429</v>
      </c>
      <c r="C15" s="3576" t="s">
        <v>367</v>
      </c>
      <c r="D15" s="2056">
        <v>80000000</v>
      </c>
      <c r="E15" s="2053">
        <v>0.06</v>
      </c>
      <c r="F15" s="2056">
        <f t="shared" ref="F15:F21" si="3">D15*E15</f>
        <v>4800000</v>
      </c>
      <c r="G15" s="2781"/>
      <c r="H15" s="2598"/>
      <c r="I15" s="2598" t="s">
        <v>2066</v>
      </c>
      <c r="J15" s="2557">
        <f>G15</f>
        <v>0</v>
      </c>
      <c r="K15" s="2557">
        <f>(F15+F16)-J15</f>
        <v>11800000</v>
      </c>
      <c r="L15" s="3468"/>
    </row>
    <row r="16" spans="1:12" ht="30" customHeight="1" x14ac:dyDescent="0.2">
      <c r="A16" s="3451"/>
      <c r="B16" s="3458"/>
      <c r="C16" s="3571"/>
      <c r="D16" s="2056">
        <v>100000000</v>
      </c>
      <c r="E16" s="2053">
        <v>7.0000000000000007E-2</v>
      </c>
      <c r="F16" s="2056">
        <f t="shared" si="3"/>
        <v>7000000.0000000009</v>
      </c>
      <c r="G16" s="2782"/>
      <c r="H16" s="2599"/>
      <c r="I16" s="2599"/>
      <c r="J16" s="2558"/>
      <c r="K16" s="2558"/>
      <c r="L16" s="3469"/>
    </row>
    <row r="17" spans="1:14" ht="30" customHeight="1" x14ac:dyDescent="0.2">
      <c r="A17" s="1984">
        <v>14</v>
      </c>
      <c r="B17" s="2049" t="s">
        <v>437</v>
      </c>
      <c r="C17" s="2064" t="s">
        <v>1355</v>
      </c>
      <c r="D17" s="2056">
        <v>150000000</v>
      </c>
      <c r="E17" s="2053">
        <v>0.04</v>
      </c>
      <c r="F17" s="2056">
        <f t="shared" si="3"/>
        <v>6000000</v>
      </c>
      <c r="G17" s="482">
        <v>6000000</v>
      </c>
      <c r="H17" s="2558" t="s">
        <v>4201</v>
      </c>
      <c r="I17" s="69" t="s">
        <v>4202</v>
      </c>
      <c r="J17" s="2558">
        <f t="shared" ref="J17:J22" si="4">G17</f>
        <v>6000000</v>
      </c>
      <c r="K17" s="2558">
        <f t="shared" ref="K17:K22" si="5">F17-J17</f>
        <v>0</v>
      </c>
      <c r="L17" s="2058"/>
    </row>
    <row r="18" spans="1:14" ht="30" customHeight="1" x14ac:dyDescent="0.2">
      <c r="A18" s="1984">
        <v>15</v>
      </c>
      <c r="B18" s="2049" t="s">
        <v>445</v>
      </c>
      <c r="C18" s="2064"/>
      <c r="D18" s="2056">
        <v>13000000</v>
      </c>
      <c r="E18" s="2053">
        <v>0.05</v>
      </c>
      <c r="F18" s="2056">
        <f t="shared" si="3"/>
        <v>650000</v>
      </c>
      <c r="G18" s="482">
        <v>650000</v>
      </c>
      <c r="H18" s="2558" t="s">
        <v>4216</v>
      </c>
      <c r="I18" s="69" t="s">
        <v>3746</v>
      </c>
      <c r="J18" s="2558">
        <f t="shared" si="4"/>
        <v>650000</v>
      </c>
      <c r="K18" s="2558">
        <f t="shared" si="5"/>
        <v>0</v>
      </c>
      <c r="L18" s="2058"/>
    </row>
    <row r="19" spans="1:14" ht="30" customHeight="1" x14ac:dyDescent="0.2">
      <c r="A19" s="2014">
        <v>16</v>
      </c>
      <c r="B19" s="22" t="s">
        <v>498</v>
      </c>
      <c r="C19" s="2079" t="s">
        <v>1817</v>
      </c>
      <c r="D19" s="2065">
        <v>80000000</v>
      </c>
      <c r="E19" s="2078">
        <v>0.04</v>
      </c>
      <c r="F19" s="2065">
        <f t="shared" si="3"/>
        <v>3200000</v>
      </c>
      <c r="G19" s="561">
        <v>3200000</v>
      </c>
      <c r="H19" s="2552" t="s">
        <v>4133</v>
      </c>
      <c r="I19" s="2612" t="s">
        <v>4140</v>
      </c>
      <c r="J19" s="2552">
        <f t="shared" si="4"/>
        <v>3200000</v>
      </c>
      <c r="K19" s="2552">
        <f t="shared" si="5"/>
        <v>0</v>
      </c>
      <c r="L19" s="53"/>
    </row>
    <row r="20" spans="1:14" ht="30" customHeight="1" x14ac:dyDescent="0.2">
      <c r="A20" s="1984">
        <v>17</v>
      </c>
      <c r="B20" s="2049" t="s">
        <v>768</v>
      </c>
      <c r="C20" s="2064" t="s">
        <v>1344</v>
      </c>
      <c r="D20" s="2056">
        <v>100000000</v>
      </c>
      <c r="E20" s="2053">
        <v>0.06</v>
      </c>
      <c r="F20" s="2056">
        <f t="shared" si="3"/>
        <v>6000000</v>
      </c>
      <c r="G20" s="482">
        <v>6000000</v>
      </c>
      <c r="H20" s="2558" t="s">
        <v>4286</v>
      </c>
      <c r="I20" s="69" t="s">
        <v>3343</v>
      </c>
      <c r="J20" s="2558">
        <f t="shared" si="4"/>
        <v>6000000</v>
      </c>
      <c r="K20" s="2558">
        <f t="shared" si="5"/>
        <v>0</v>
      </c>
      <c r="L20" s="2058"/>
    </row>
    <row r="21" spans="1:14" ht="30" customHeight="1" x14ac:dyDescent="0.2">
      <c r="A21" s="1984">
        <v>18</v>
      </c>
      <c r="B21" s="2049" t="s">
        <v>567</v>
      </c>
      <c r="C21" s="2064" t="s">
        <v>1355</v>
      </c>
      <c r="D21" s="2056">
        <v>50000000</v>
      </c>
      <c r="E21" s="2053">
        <v>0.05</v>
      </c>
      <c r="F21" s="2056">
        <f t="shared" si="3"/>
        <v>2500000</v>
      </c>
      <c r="G21" s="482">
        <v>2500000</v>
      </c>
      <c r="H21" s="2558" t="s">
        <v>4216</v>
      </c>
      <c r="I21" s="69" t="s">
        <v>3109</v>
      </c>
      <c r="J21" s="2558">
        <f t="shared" si="4"/>
        <v>2500000</v>
      </c>
      <c r="K21" s="2558">
        <f t="shared" si="5"/>
        <v>0</v>
      </c>
      <c r="L21" s="2058"/>
    </row>
    <row r="22" spans="1:14" ht="30" customHeight="1" x14ac:dyDescent="0.2">
      <c r="A22" s="3450">
        <v>19</v>
      </c>
      <c r="B22" s="3687" t="s">
        <v>574</v>
      </c>
      <c r="C22" s="3686"/>
      <c r="D22" s="2056">
        <v>50000000</v>
      </c>
      <c r="E22" s="3444">
        <f>F22/(D22+D23)</f>
        <v>0.05</v>
      </c>
      <c r="F22" s="3442">
        <v>3250000</v>
      </c>
      <c r="G22" s="2780">
        <v>3250000</v>
      </c>
      <c r="H22" s="2557" t="s">
        <v>4184</v>
      </c>
      <c r="I22" s="2579" t="s">
        <v>576</v>
      </c>
      <c r="J22" s="2557">
        <f t="shared" si="4"/>
        <v>3250000</v>
      </c>
      <c r="K22" s="2557">
        <f t="shared" si="5"/>
        <v>0</v>
      </c>
      <c r="L22" s="2070" t="s">
        <v>2121</v>
      </c>
    </row>
    <row r="23" spans="1:14" ht="30" customHeight="1" x14ac:dyDescent="0.2">
      <c r="A23" s="3456"/>
      <c r="B23" s="3687"/>
      <c r="C23" s="3686"/>
      <c r="D23" s="2056">
        <v>15000000</v>
      </c>
      <c r="E23" s="3445"/>
      <c r="F23" s="3443"/>
      <c r="G23" s="2734"/>
      <c r="H23" s="2558"/>
      <c r="I23" s="2580"/>
      <c r="J23" s="2558"/>
      <c r="K23" s="2558"/>
      <c r="L23" s="2070" t="s">
        <v>3047</v>
      </c>
    </row>
    <row r="24" spans="1:14" ht="30" customHeight="1" x14ac:dyDescent="0.2">
      <c r="A24" s="1984">
        <v>22</v>
      </c>
      <c r="B24" s="22" t="s">
        <v>674</v>
      </c>
      <c r="C24" s="2079" t="s">
        <v>1342</v>
      </c>
      <c r="D24" s="2056">
        <v>300000000</v>
      </c>
      <c r="E24" s="2053">
        <v>0.05</v>
      </c>
      <c r="F24" s="2056">
        <f>D24*E24</f>
        <v>15000000</v>
      </c>
      <c r="G24" s="482">
        <v>15000000</v>
      </c>
      <c r="H24" s="2558" t="s">
        <v>4201</v>
      </c>
      <c r="I24" s="69" t="s">
        <v>2294</v>
      </c>
      <c r="J24" s="2552">
        <f>G24</f>
        <v>15000000</v>
      </c>
      <c r="K24" s="2552">
        <f>F24-J24</f>
        <v>0</v>
      </c>
      <c r="L24" s="53"/>
    </row>
    <row r="25" spans="1:14" ht="30" customHeight="1" x14ac:dyDescent="0.2">
      <c r="A25" s="1081">
        <v>23</v>
      </c>
      <c r="B25" s="22" t="s">
        <v>2247</v>
      </c>
      <c r="C25" s="2079" t="s">
        <v>2130</v>
      </c>
      <c r="D25" s="2056">
        <v>150000000</v>
      </c>
      <c r="E25" s="2053">
        <v>7.0000000000000007E-2</v>
      </c>
      <c r="F25" s="2056">
        <f>D25*E25</f>
        <v>10500000.000000002</v>
      </c>
      <c r="G25" s="482"/>
      <c r="H25" s="2572"/>
      <c r="I25" s="69" t="s">
        <v>3842</v>
      </c>
      <c r="J25" s="2552">
        <f>G25</f>
        <v>0</v>
      </c>
      <c r="K25" s="2552">
        <f>F25-G25</f>
        <v>10500000.000000002</v>
      </c>
      <c r="L25" s="683"/>
    </row>
    <row r="26" spans="1:14" ht="30" customHeight="1" x14ac:dyDescent="0.2">
      <c r="A26" s="1081"/>
      <c r="B26" s="22" t="s">
        <v>3756</v>
      </c>
      <c r="C26" s="2079" t="s">
        <v>2130</v>
      </c>
      <c r="D26" s="2056">
        <v>70000000</v>
      </c>
      <c r="E26" s="2053">
        <v>0.06</v>
      </c>
      <c r="F26" s="2056">
        <f>D26*E26</f>
        <v>4200000</v>
      </c>
      <c r="G26" s="482"/>
      <c r="H26" s="2572"/>
      <c r="I26" s="69" t="s">
        <v>3843</v>
      </c>
      <c r="J26" s="2552">
        <f>G26</f>
        <v>0</v>
      </c>
      <c r="K26" s="2558">
        <v>0</v>
      </c>
      <c r="L26" s="33" t="s">
        <v>3844</v>
      </c>
    </row>
    <row r="27" spans="1:14" ht="30" customHeight="1" x14ac:dyDescent="0.2">
      <c r="A27" s="1984">
        <v>24</v>
      </c>
      <c r="B27" s="1987" t="s">
        <v>722</v>
      </c>
      <c r="C27" s="2002"/>
      <c r="D27" s="1992">
        <v>40000000</v>
      </c>
      <c r="E27" s="1989">
        <v>0.05</v>
      </c>
      <c r="F27" s="1992">
        <f>D27*E27</f>
        <v>2000000</v>
      </c>
      <c r="G27" s="482"/>
      <c r="H27" s="2572"/>
      <c r="I27" s="69"/>
      <c r="J27" s="2558"/>
      <c r="K27" s="2558">
        <f>F27-J27</f>
        <v>2000000</v>
      </c>
      <c r="L27" s="1994" t="s">
        <v>2592</v>
      </c>
    </row>
    <row r="28" spans="1:14" ht="30" customHeight="1" x14ac:dyDescent="0.2">
      <c r="A28" s="1984">
        <v>25</v>
      </c>
      <c r="B28" s="2049" t="s">
        <v>738</v>
      </c>
      <c r="C28" s="2064" t="s">
        <v>1351</v>
      </c>
      <c r="D28" s="2056">
        <v>35000000</v>
      </c>
      <c r="E28" s="2053">
        <v>5.8000000000000003E-2</v>
      </c>
      <c r="F28" s="2056">
        <v>2000000</v>
      </c>
      <c r="G28" s="482">
        <v>2000000</v>
      </c>
      <c r="H28" s="2572" t="s">
        <v>4276</v>
      </c>
      <c r="I28" s="69" t="s">
        <v>4277</v>
      </c>
      <c r="J28" s="2558">
        <f>G28</f>
        <v>2000000</v>
      </c>
      <c r="K28" s="2558">
        <f>F28-G28</f>
        <v>0</v>
      </c>
      <c r="L28" s="2061"/>
      <c r="M28" s="406"/>
      <c r="N28" s="406"/>
    </row>
    <row r="29" spans="1:14" ht="30" customHeight="1" x14ac:dyDescent="0.2">
      <c r="A29" s="1983"/>
      <c r="B29" s="2050" t="s">
        <v>828</v>
      </c>
      <c r="C29" s="2066" t="s">
        <v>367</v>
      </c>
      <c r="D29" s="2055">
        <v>700000000</v>
      </c>
      <c r="E29" s="2052">
        <v>0.05</v>
      </c>
      <c r="F29" s="2055">
        <f t="shared" ref="F29:F39" si="6">D29*E29</f>
        <v>35000000</v>
      </c>
      <c r="G29" s="561">
        <v>35000000</v>
      </c>
      <c r="H29" s="2552" t="s">
        <v>4156</v>
      </c>
      <c r="I29" s="2552" t="s">
        <v>3198</v>
      </c>
      <c r="J29" s="2552">
        <f>G29</f>
        <v>35000000</v>
      </c>
      <c r="K29" s="2560">
        <f>F29-J29</f>
        <v>0</v>
      </c>
      <c r="L29" s="192" t="s">
        <v>3824</v>
      </c>
      <c r="M29" s="406"/>
      <c r="N29" s="406"/>
    </row>
    <row r="30" spans="1:14" ht="30" customHeight="1" x14ac:dyDescent="0.2">
      <c r="A30" s="1982">
        <v>27</v>
      </c>
      <c r="B30" s="2076" t="s">
        <v>832</v>
      </c>
      <c r="C30" s="2063" t="s">
        <v>1354</v>
      </c>
      <c r="D30" s="2054">
        <v>500000000</v>
      </c>
      <c r="E30" s="2051">
        <v>7.0000000000000007E-2</v>
      </c>
      <c r="F30" s="2054">
        <f t="shared" si="6"/>
        <v>35000000</v>
      </c>
      <c r="G30" s="483"/>
      <c r="H30" s="2589"/>
      <c r="I30" s="1591" t="s">
        <v>2420</v>
      </c>
      <c r="J30" s="2557">
        <f t="shared" ref="J30:J36" si="7">G30</f>
        <v>0</v>
      </c>
      <c r="K30" s="2557">
        <f t="shared" ref="K30:K36" si="8">F30-J30</f>
        <v>35000000</v>
      </c>
      <c r="L30" s="2057"/>
      <c r="M30" s="406"/>
      <c r="N30" s="406"/>
    </row>
    <row r="31" spans="1:14" ht="30" customHeight="1" x14ac:dyDescent="0.2">
      <c r="A31" s="3450"/>
      <c r="B31" s="3457" t="s">
        <v>3505</v>
      </c>
      <c r="C31" s="3570" t="s">
        <v>1354</v>
      </c>
      <c r="D31" s="3442">
        <v>700000000</v>
      </c>
      <c r="E31" s="3444">
        <v>0.06</v>
      </c>
      <c r="F31" s="3442">
        <f t="shared" si="6"/>
        <v>42000000</v>
      </c>
      <c r="G31" s="561">
        <v>42000000</v>
      </c>
      <c r="H31" s="2552" t="s">
        <v>4201</v>
      </c>
      <c r="I31" s="2552" t="s">
        <v>846</v>
      </c>
      <c r="J31" s="2552">
        <f t="shared" si="7"/>
        <v>42000000</v>
      </c>
      <c r="K31" s="2552">
        <f t="shared" si="8"/>
        <v>0</v>
      </c>
      <c r="L31" s="2061"/>
      <c r="M31" s="406"/>
      <c r="N31" s="406"/>
    </row>
    <row r="32" spans="1:14" ht="30" customHeight="1" x14ac:dyDescent="0.2">
      <c r="A32" s="3451"/>
      <c r="B32" s="3458"/>
      <c r="C32" s="3571"/>
      <c r="D32" s="3443"/>
      <c r="E32" s="3445"/>
      <c r="F32" s="3443"/>
      <c r="G32" s="482">
        <v>8000000</v>
      </c>
      <c r="H32" s="2572" t="s">
        <v>4201</v>
      </c>
      <c r="I32" s="2572" t="s">
        <v>846</v>
      </c>
      <c r="J32" s="2558">
        <f>G32</f>
        <v>8000000</v>
      </c>
      <c r="K32" s="2558"/>
      <c r="L32" s="2215" t="s">
        <v>4211</v>
      </c>
      <c r="M32" s="406"/>
      <c r="N32" s="406"/>
    </row>
    <row r="33" spans="1:14" ht="30" customHeight="1" x14ac:dyDescent="0.2">
      <c r="A33" s="1984">
        <v>29</v>
      </c>
      <c r="B33" s="3457" t="s">
        <v>865</v>
      </c>
      <c r="C33" s="2079" t="s">
        <v>1378</v>
      </c>
      <c r="D33" s="2056">
        <v>42000000</v>
      </c>
      <c r="E33" s="2053">
        <v>7.0000000000000007E-2</v>
      </c>
      <c r="F33" s="2056">
        <f t="shared" si="6"/>
        <v>2940000.0000000005</v>
      </c>
      <c r="G33" s="482"/>
      <c r="H33" s="2572"/>
      <c r="I33" s="69" t="s">
        <v>3325</v>
      </c>
      <c r="J33" s="2558">
        <f t="shared" si="7"/>
        <v>0</v>
      </c>
      <c r="K33" s="2558">
        <f t="shared" si="8"/>
        <v>2940000.0000000005</v>
      </c>
      <c r="L33" s="2061"/>
      <c r="M33" s="406"/>
      <c r="N33" s="406"/>
    </row>
    <row r="34" spans="1:14" ht="30" customHeight="1" x14ac:dyDescent="0.2">
      <c r="A34" s="2235"/>
      <c r="B34" s="3458"/>
      <c r="C34" s="2238" t="s">
        <v>4247</v>
      </c>
      <c r="D34" s="2237">
        <v>200000000</v>
      </c>
      <c r="E34" s="2236"/>
      <c r="F34" s="2237"/>
      <c r="G34" s="482"/>
      <c r="H34" s="2572"/>
      <c r="I34" s="69"/>
      <c r="J34" s="2558"/>
      <c r="K34" s="2558"/>
      <c r="L34" s="2241" t="s">
        <v>4248</v>
      </c>
      <c r="M34" s="406"/>
      <c r="N34" s="406"/>
    </row>
    <row r="35" spans="1:14" ht="30" customHeight="1" x14ac:dyDescent="0.2">
      <c r="A35" s="1984">
        <v>30</v>
      </c>
      <c r="B35" s="2049" t="s">
        <v>870</v>
      </c>
      <c r="C35" s="2064" t="s">
        <v>1138</v>
      </c>
      <c r="D35" s="2056">
        <v>20000000</v>
      </c>
      <c r="E35" s="2053">
        <v>0.04</v>
      </c>
      <c r="F35" s="2056">
        <f t="shared" si="6"/>
        <v>800000</v>
      </c>
      <c r="G35" s="482">
        <v>800000</v>
      </c>
      <c r="H35" s="2572" t="s">
        <v>4276</v>
      </c>
      <c r="I35" s="69" t="s">
        <v>3240</v>
      </c>
      <c r="J35" s="2558">
        <f t="shared" si="7"/>
        <v>800000</v>
      </c>
      <c r="K35" s="2558">
        <f t="shared" si="8"/>
        <v>0</v>
      </c>
      <c r="L35" s="683"/>
      <c r="M35" s="406"/>
      <c r="N35" s="406"/>
    </row>
    <row r="36" spans="1:14" ht="30" customHeight="1" x14ac:dyDescent="0.2">
      <c r="A36" s="1982">
        <v>31</v>
      </c>
      <c r="B36" s="2076" t="s">
        <v>944</v>
      </c>
      <c r="C36" s="2063"/>
      <c r="D36" s="2065">
        <v>100000000</v>
      </c>
      <c r="E36" s="2078">
        <v>7.0000000000000007E-2</v>
      </c>
      <c r="F36" s="2065">
        <f t="shared" si="6"/>
        <v>7000000.0000000009</v>
      </c>
      <c r="G36" s="482">
        <v>7000000</v>
      </c>
      <c r="H36" s="2572" t="s">
        <v>4276</v>
      </c>
      <c r="I36" s="69" t="s">
        <v>3330</v>
      </c>
      <c r="J36" s="2557">
        <f t="shared" si="7"/>
        <v>7000000</v>
      </c>
      <c r="K36" s="2557">
        <f t="shared" si="8"/>
        <v>0</v>
      </c>
      <c r="L36" s="2057"/>
      <c r="M36" s="406"/>
      <c r="N36" s="406"/>
    </row>
    <row r="37" spans="1:14" ht="30" customHeight="1" x14ac:dyDescent="0.2">
      <c r="A37" s="3450">
        <v>32</v>
      </c>
      <c r="B37" s="3457" t="s">
        <v>1011</v>
      </c>
      <c r="C37" s="3570" t="s">
        <v>1378</v>
      </c>
      <c r="D37" s="2056">
        <v>100000000</v>
      </c>
      <c r="E37" s="2053">
        <v>0.05</v>
      </c>
      <c r="F37" s="2056">
        <f t="shared" si="6"/>
        <v>5000000</v>
      </c>
      <c r="G37" s="2780">
        <v>8850000</v>
      </c>
      <c r="H37" s="2557" t="s">
        <v>4286</v>
      </c>
      <c r="I37" s="2579" t="s">
        <v>3121</v>
      </c>
      <c r="J37" s="2557">
        <f>G37</f>
        <v>8850000</v>
      </c>
      <c r="K37" s="2557">
        <f>(F37+F38+F39)-J37</f>
        <v>0</v>
      </c>
      <c r="L37" s="3468"/>
      <c r="M37" s="406"/>
      <c r="N37" s="406"/>
    </row>
    <row r="38" spans="1:14" ht="30" customHeight="1" x14ac:dyDescent="0.2">
      <c r="A38" s="3456"/>
      <c r="B38" s="3459"/>
      <c r="C38" s="3576"/>
      <c r="D38" s="2056">
        <v>35000000</v>
      </c>
      <c r="E38" s="2053">
        <v>7.0000000000000007E-2</v>
      </c>
      <c r="F38" s="2056">
        <f t="shared" si="6"/>
        <v>2450000.0000000005</v>
      </c>
      <c r="G38" s="2737"/>
      <c r="H38" s="2560"/>
      <c r="I38" s="2616"/>
      <c r="J38" s="2560"/>
      <c r="K38" s="2560"/>
      <c r="L38" s="3606"/>
      <c r="M38" s="406"/>
      <c r="N38" s="406"/>
    </row>
    <row r="39" spans="1:14" ht="30" customHeight="1" x14ac:dyDescent="0.2">
      <c r="A39" s="3451"/>
      <c r="B39" s="3458"/>
      <c r="C39" s="3571"/>
      <c r="D39" s="2065">
        <v>20000000</v>
      </c>
      <c r="E39" s="2078">
        <v>7.0000000000000007E-2</v>
      </c>
      <c r="F39" s="2065">
        <f t="shared" si="6"/>
        <v>1400000.0000000002</v>
      </c>
      <c r="G39" s="2734"/>
      <c r="H39" s="2558"/>
      <c r="I39" s="2580"/>
      <c r="J39" s="2558"/>
      <c r="K39" s="2558"/>
      <c r="L39" s="3812"/>
      <c r="M39" s="3479"/>
      <c r="N39" s="3480"/>
    </row>
    <row r="40" spans="1:14" ht="30" customHeight="1" x14ac:dyDescent="0.2">
      <c r="A40" s="1984">
        <v>33</v>
      </c>
      <c r="B40" s="2049" t="s">
        <v>1022</v>
      </c>
      <c r="C40" s="2064" t="s">
        <v>1342</v>
      </c>
      <c r="D40" s="2056">
        <v>63580000</v>
      </c>
      <c r="E40" s="2053">
        <v>7.0000000000000007E-2</v>
      </c>
      <c r="F40" s="2056">
        <v>4450000</v>
      </c>
      <c r="G40" s="482">
        <v>4450000</v>
      </c>
      <c r="H40" s="2558" t="s">
        <v>4201</v>
      </c>
      <c r="I40" s="69" t="s">
        <v>495</v>
      </c>
      <c r="J40" s="2558">
        <f>G40</f>
        <v>4450000</v>
      </c>
      <c r="K40" s="2558">
        <f t="shared" ref="K40:K48" si="9">F40-J40</f>
        <v>0</v>
      </c>
      <c r="L40" s="2061"/>
      <c r="M40" s="406"/>
      <c r="N40" s="406"/>
    </row>
    <row r="41" spans="1:14" ht="30" customHeight="1" x14ac:dyDescent="0.2">
      <c r="A41" s="1984">
        <v>34</v>
      </c>
      <c r="B41" s="2050" t="s">
        <v>1141</v>
      </c>
      <c r="C41" s="2064"/>
      <c r="D41" s="2056">
        <v>20000000</v>
      </c>
      <c r="E41" s="2053">
        <v>0.04</v>
      </c>
      <c r="F41" s="2056">
        <f>D41*E41</f>
        <v>800000</v>
      </c>
      <c r="G41" s="482">
        <v>800000</v>
      </c>
      <c r="H41" s="2558" t="s">
        <v>4249</v>
      </c>
      <c r="I41" s="69" t="s">
        <v>1143</v>
      </c>
      <c r="J41" s="2558">
        <f>G41</f>
        <v>800000</v>
      </c>
      <c r="K41" s="2558">
        <f t="shared" si="9"/>
        <v>0</v>
      </c>
      <c r="L41" s="2061"/>
      <c r="M41" s="406"/>
      <c r="N41" s="406"/>
    </row>
    <row r="42" spans="1:14" ht="30" customHeight="1" x14ac:dyDescent="0.2">
      <c r="A42" s="2014">
        <v>35</v>
      </c>
      <c r="B42" s="22" t="s">
        <v>1188</v>
      </c>
      <c r="C42" s="2079" t="s">
        <v>1175</v>
      </c>
      <c r="D42" s="2065">
        <v>175000000</v>
      </c>
      <c r="E42" s="2078">
        <v>0.06</v>
      </c>
      <c r="F42" s="2065">
        <f>D42*E42</f>
        <v>10500000</v>
      </c>
      <c r="G42" s="2780">
        <v>14500000</v>
      </c>
      <c r="H42" s="2557" t="s">
        <v>4330</v>
      </c>
      <c r="I42" s="2557" t="s">
        <v>1819</v>
      </c>
      <c r="J42" s="2557">
        <f>G42</f>
        <v>14500000</v>
      </c>
      <c r="K42" s="2557">
        <f>(F42+F43)-J42</f>
        <v>0</v>
      </c>
      <c r="L42" s="2086"/>
      <c r="M42" s="406"/>
      <c r="N42" s="406"/>
    </row>
    <row r="43" spans="1:14" ht="30" customHeight="1" x14ac:dyDescent="0.2">
      <c r="A43" s="1984"/>
      <c r="B43" s="2050" t="s">
        <v>3399</v>
      </c>
      <c r="C43" s="2064" t="s">
        <v>1175</v>
      </c>
      <c r="D43" s="2056">
        <v>100000000</v>
      </c>
      <c r="E43" s="2053">
        <v>0.04</v>
      </c>
      <c r="F43" s="2056">
        <f>D43*E43</f>
        <v>4000000</v>
      </c>
      <c r="G43" s="2734"/>
      <c r="H43" s="2558"/>
      <c r="I43" s="2558"/>
      <c r="J43" s="2558"/>
      <c r="K43" s="2558"/>
      <c r="L43" s="2061" t="s">
        <v>3400</v>
      </c>
      <c r="M43" s="406"/>
      <c r="N43" s="406"/>
    </row>
    <row r="44" spans="1:14" ht="30" customHeight="1" x14ac:dyDescent="0.2">
      <c r="A44" s="1081">
        <v>36</v>
      </c>
      <c r="B44" s="22" t="s">
        <v>3506</v>
      </c>
      <c r="C44" s="2079" t="s">
        <v>1112</v>
      </c>
      <c r="D44" s="2065">
        <v>50000000</v>
      </c>
      <c r="E44" s="2078">
        <v>7.0000000000000007E-2</v>
      </c>
      <c r="F44" s="2065">
        <f>D44*E44</f>
        <v>3500000.0000000005</v>
      </c>
      <c r="G44" s="561">
        <v>3500000</v>
      </c>
      <c r="H44" s="2552" t="s">
        <v>4330</v>
      </c>
      <c r="I44" s="1592" t="s">
        <v>4409</v>
      </c>
      <c r="J44" s="2552">
        <f>G44</f>
        <v>3500000</v>
      </c>
      <c r="K44" s="2552">
        <f t="shared" si="9"/>
        <v>0</v>
      </c>
      <c r="L44" s="2061"/>
      <c r="M44" s="406"/>
      <c r="N44" s="406"/>
    </row>
    <row r="45" spans="1:14" ht="30" customHeight="1" x14ac:dyDescent="0.2">
      <c r="A45" s="1984">
        <v>38</v>
      </c>
      <c r="B45" s="1985" t="s">
        <v>1302</v>
      </c>
      <c r="C45" s="2002"/>
      <c r="D45" s="315"/>
      <c r="E45" s="316"/>
      <c r="F45" s="315"/>
      <c r="G45" s="482"/>
      <c r="H45" s="2558"/>
      <c r="I45" s="69"/>
      <c r="J45" s="2558"/>
      <c r="K45" s="2562">
        <f t="shared" si="9"/>
        <v>0</v>
      </c>
      <c r="L45" s="1994"/>
    </row>
    <row r="46" spans="1:14" ht="30" customHeight="1" x14ac:dyDescent="0.2">
      <c r="A46" s="1984">
        <v>39</v>
      </c>
      <c r="B46" s="1985" t="s">
        <v>1261</v>
      </c>
      <c r="C46" s="2002"/>
      <c r="D46" s="315"/>
      <c r="E46" s="316"/>
      <c r="F46" s="315"/>
      <c r="G46" s="482"/>
      <c r="H46" s="2558"/>
      <c r="I46" s="69"/>
      <c r="J46" s="2558"/>
      <c r="K46" s="2562">
        <f t="shared" si="9"/>
        <v>0</v>
      </c>
      <c r="L46" s="1994"/>
    </row>
    <row r="47" spans="1:14" ht="30" customHeight="1" x14ac:dyDescent="0.2">
      <c r="A47" s="1984">
        <v>40</v>
      </c>
      <c r="B47" s="2048" t="s">
        <v>1314</v>
      </c>
      <c r="C47" s="2064" t="s">
        <v>1344</v>
      </c>
      <c r="D47" s="2084">
        <v>16000000</v>
      </c>
      <c r="E47" s="317">
        <v>0.05</v>
      </c>
      <c r="F47" s="2084">
        <f>D47*E47</f>
        <v>800000</v>
      </c>
      <c r="G47" s="482">
        <v>800000</v>
      </c>
      <c r="H47" s="2558" t="s">
        <v>4216</v>
      </c>
      <c r="I47" s="69" t="s">
        <v>1317</v>
      </c>
      <c r="J47" s="2558">
        <f>G47</f>
        <v>800000</v>
      </c>
      <c r="K47" s="2558">
        <f t="shared" si="9"/>
        <v>0</v>
      </c>
      <c r="L47" s="2061"/>
    </row>
    <row r="48" spans="1:14" ht="30" customHeight="1" x14ac:dyDescent="0.2">
      <c r="A48" s="1984">
        <v>41</v>
      </c>
      <c r="B48" s="1985" t="s">
        <v>1337</v>
      </c>
      <c r="C48" s="2002"/>
      <c r="D48" s="315"/>
      <c r="E48" s="316"/>
      <c r="F48" s="315"/>
      <c r="G48" s="482"/>
      <c r="H48" s="2558"/>
      <c r="I48" s="69"/>
      <c r="J48" s="2558"/>
      <c r="K48" s="2562">
        <f t="shared" si="9"/>
        <v>0</v>
      </c>
      <c r="L48" s="1994"/>
    </row>
    <row r="49" spans="1:12" ht="30" customHeight="1" x14ac:dyDescent="0.2">
      <c r="A49" s="1984">
        <v>42</v>
      </c>
      <c r="B49" s="2076" t="s">
        <v>186</v>
      </c>
      <c r="C49" s="2064"/>
      <c r="D49" s="2056">
        <v>60000000</v>
      </c>
      <c r="E49" s="2078">
        <v>0.05</v>
      </c>
      <c r="F49" s="2056">
        <f t="shared" ref="F49:F151" si="10">D49*E49</f>
        <v>3000000</v>
      </c>
      <c r="G49" s="2780">
        <v>3500000</v>
      </c>
      <c r="H49" s="2557" t="s">
        <v>4068</v>
      </c>
      <c r="I49" s="2577" t="s">
        <v>263</v>
      </c>
      <c r="J49" s="2557">
        <f>G49</f>
        <v>3500000</v>
      </c>
      <c r="K49" s="2557">
        <f>(F49+F50)-J49</f>
        <v>0</v>
      </c>
      <c r="L49" s="3525"/>
    </row>
    <row r="50" spans="1:12" ht="30" customHeight="1" x14ac:dyDescent="0.2">
      <c r="A50" s="1984">
        <v>43</v>
      </c>
      <c r="B50" s="2080" t="s">
        <v>1109</v>
      </c>
      <c r="C50" s="2064"/>
      <c r="D50" s="2056">
        <v>10000000</v>
      </c>
      <c r="E50" s="2078">
        <v>0.05</v>
      </c>
      <c r="F50" s="2056">
        <f>D50*E50</f>
        <v>500000</v>
      </c>
      <c r="G50" s="2734"/>
      <c r="H50" s="2558"/>
      <c r="I50" s="2578"/>
      <c r="J50" s="2558"/>
      <c r="K50" s="2558"/>
      <c r="L50" s="3526"/>
    </row>
    <row r="51" spans="1:12" ht="30" customHeight="1" x14ac:dyDescent="0.2">
      <c r="A51" s="1984">
        <v>44</v>
      </c>
      <c r="B51" s="2080" t="s">
        <v>187</v>
      </c>
      <c r="C51" s="2064" t="s">
        <v>916</v>
      </c>
      <c r="D51" s="2056">
        <v>150000000</v>
      </c>
      <c r="E51" s="2078">
        <v>0.05</v>
      </c>
      <c r="F51" s="2056">
        <f t="shared" si="10"/>
        <v>7500000</v>
      </c>
      <c r="G51" s="482">
        <v>7500000</v>
      </c>
      <c r="H51" s="2558" t="s">
        <v>2141</v>
      </c>
      <c r="I51" s="2552" t="s">
        <v>1411</v>
      </c>
      <c r="J51" s="2558">
        <f>G51</f>
        <v>7500000</v>
      </c>
      <c r="K51" s="2558">
        <f>F51-J51</f>
        <v>0</v>
      </c>
      <c r="L51" s="2080"/>
    </row>
    <row r="52" spans="1:12" ht="30" customHeight="1" x14ac:dyDescent="0.2">
      <c r="A52" s="3450">
        <v>45</v>
      </c>
      <c r="B52" s="3457" t="s">
        <v>188</v>
      </c>
      <c r="C52" s="3570" t="s">
        <v>1350</v>
      </c>
      <c r="D52" s="3442">
        <v>1190000000</v>
      </c>
      <c r="E52" s="3444">
        <v>7.0000000000000007E-2</v>
      </c>
      <c r="F52" s="3442">
        <f t="shared" si="10"/>
        <v>83300000.000000015</v>
      </c>
      <c r="G52" s="482">
        <v>53300000</v>
      </c>
      <c r="H52" s="2558" t="s">
        <v>1263</v>
      </c>
      <c r="I52" s="24" t="s">
        <v>4112</v>
      </c>
      <c r="J52" s="2557">
        <f>G52+G53</f>
        <v>83300000</v>
      </c>
      <c r="K52" s="2557">
        <f>F52-J52</f>
        <v>0</v>
      </c>
      <c r="L52" s="3525"/>
    </row>
    <row r="53" spans="1:12" ht="30" customHeight="1" x14ac:dyDescent="0.2">
      <c r="A53" s="3451"/>
      <c r="B53" s="3459"/>
      <c r="C53" s="3576"/>
      <c r="D53" s="3443"/>
      <c r="E53" s="3445"/>
      <c r="F53" s="3443"/>
      <c r="G53" s="482">
        <v>30000000</v>
      </c>
      <c r="H53" s="2558" t="s">
        <v>1964</v>
      </c>
      <c r="I53" s="24" t="s">
        <v>2830</v>
      </c>
      <c r="J53" s="2558"/>
      <c r="K53" s="2558"/>
      <c r="L53" s="3526"/>
    </row>
    <row r="54" spans="1:12" ht="30" customHeight="1" x14ac:dyDescent="0.2">
      <c r="A54" s="2363"/>
      <c r="B54" s="3459"/>
      <c r="C54" s="3576"/>
      <c r="D54" s="2368">
        <v>400000000</v>
      </c>
      <c r="E54" s="2366">
        <v>7.0000000000000007E-2</v>
      </c>
      <c r="F54" s="2368">
        <f>D54*E54</f>
        <v>28000000.000000004</v>
      </c>
      <c r="G54" s="1452"/>
      <c r="H54" s="1716"/>
      <c r="I54" s="1716"/>
      <c r="J54" s="1658"/>
      <c r="K54" s="2558"/>
      <c r="L54" s="2378"/>
    </row>
    <row r="55" spans="1:12" ht="30" customHeight="1" x14ac:dyDescent="0.2">
      <c r="A55" s="2363"/>
      <c r="B55" s="3459"/>
      <c r="C55" s="3576"/>
      <c r="D55" s="2361">
        <f>D52+D54</f>
        <v>1590000000</v>
      </c>
      <c r="E55" s="2379">
        <v>7.0000000000000007E-2</v>
      </c>
      <c r="F55" s="2361">
        <f>D55*E55</f>
        <v>111300000.00000001</v>
      </c>
      <c r="G55" s="561"/>
      <c r="H55" s="2558"/>
      <c r="I55" s="24"/>
      <c r="J55" s="2558"/>
      <c r="K55" s="2558"/>
      <c r="L55" s="2378"/>
    </row>
    <row r="56" spans="1:12" ht="30" customHeight="1" x14ac:dyDescent="0.2">
      <c r="A56" s="2363"/>
      <c r="B56" s="3458"/>
      <c r="C56" s="3571"/>
      <c r="D56" s="2399">
        <f>D55+100000000</f>
        <v>1690000000</v>
      </c>
      <c r="E56" s="2400">
        <v>7.0000000000000007E-2</v>
      </c>
      <c r="F56" s="2399">
        <f>D56*E56</f>
        <v>118300000.00000001</v>
      </c>
      <c r="G56" s="1452"/>
      <c r="H56" s="1716"/>
      <c r="I56" s="1716"/>
      <c r="J56" s="1658"/>
      <c r="K56" s="2558"/>
      <c r="L56" s="2378"/>
    </row>
    <row r="57" spans="1:12" ht="30" customHeight="1" x14ac:dyDescent="0.2">
      <c r="A57" s="3450">
        <v>46</v>
      </c>
      <c r="B57" s="3457" t="s">
        <v>189</v>
      </c>
      <c r="C57" s="3570" t="s">
        <v>1112</v>
      </c>
      <c r="D57" s="3442">
        <v>1200000000</v>
      </c>
      <c r="E57" s="3444">
        <v>0.08</v>
      </c>
      <c r="F57" s="3442">
        <f>D57*E57</f>
        <v>96000000</v>
      </c>
      <c r="G57" s="482"/>
      <c r="H57" s="2558"/>
      <c r="I57" s="24"/>
      <c r="J57" s="247"/>
      <c r="K57" s="247"/>
      <c r="L57" s="2067"/>
    </row>
    <row r="58" spans="1:12" ht="30" customHeight="1" x14ac:dyDescent="0.2">
      <c r="A58" s="3456"/>
      <c r="B58" s="3459"/>
      <c r="C58" s="3576"/>
      <c r="D58" s="3461"/>
      <c r="E58" s="3474"/>
      <c r="F58" s="3461"/>
      <c r="G58" s="482"/>
      <c r="H58" s="2558"/>
      <c r="I58" s="24"/>
      <c r="J58" s="247"/>
      <c r="K58" s="247"/>
      <c r="L58" s="2068"/>
    </row>
    <row r="59" spans="1:12" ht="30" customHeight="1" x14ac:dyDescent="0.2">
      <c r="A59" s="3456"/>
      <c r="B59" s="3459"/>
      <c r="C59" s="3576"/>
      <c r="D59" s="3461"/>
      <c r="E59" s="3474"/>
      <c r="F59" s="3461"/>
      <c r="G59" s="2728"/>
      <c r="H59" s="247"/>
      <c r="I59" s="247"/>
      <c r="J59" s="247"/>
      <c r="K59" s="247"/>
      <c r="L59" s="2068"/>
    </row>
    <row r="60" spans="1:12" ht="30" customHeight="1" x14ac:dyDescent="0.2">
      <c r="A60" s="3456"/>
      <c r="B60" s="3459"/>
      <c r="C60" s="3576"/>
      <c r="D60" s="3443"/>
      <c r="E60" s="3445"/>
      <c r="F60" s="3443"/>
      <c r="G60" s="482"/>
      <c r="H60" s="2558"/>
      <c r="I60" s="24"/>
      <c r="J60" s="2558"/>
      <c r="K60" s="2558"/>
      <c r="L60" s="2068"/>
    </row>
    <row r="61" spans="1:12" ht="30" customHeight="1" x14ac:dyDescent="0.2">
      <c r="A61" s="3451"/>
      <c r="B61" s="3458"/>
      <c r="C61" s="3571"/>
      <c r="D61" s="2056">
        <v>1000000000</v>
      </c>
      <c r="E61" s="2053"/>
      <c r="F61" s="2056"/>
      <c r="G61" s="1452"/>
      <c r="H61" s="1716"/>
      <c r="I61" s="1716"/>
      <c r="J61" s="1658"/>
      <c r="K61" s="2558"/>
      <c r="L61" s="2069"/>
    </row>
    <row r="62" spans="1:12" ht="30" customHeight="1" x14ac:dyDescent="0.2">
      <c r="A62" s="1982">
        <v>47</v>
      </c>
      <c r="B62" s="2076" t="s">
        <v>190</v>
      </c>
      <c r="C62" s="2079" t="s">
        <v>1110</v>
      </c>
      <c r="D62" s="2056">
        <v>20000000</v>
      </c>
      <c r="E62" s="2053">
        <v>0.05</v>
      </c>
      <c r="F62" s="2056">
        <f t="shared" si="10"/>
        <v>1000000</v>
      </c>
      <c r="G62" s="482">
        <v>1000000</v>
      </c>
      <c r="H62" s="2558" t="s">
        <v>4068</v>
      </c>
      <c r="I62" s="2576" t="s">
        <v>1627</v>
      </c>
      <c r="J62" s="2558">
        <f>G62</f>
        <v>1000000</v>
      </c>
      <c r="K62" s="2558">
        <f>F62-J62</f>
        <v>0</v>
      </c>
      <c r="L62" s="2062"/>
    </row>
    <row r="63" spans="1:12" ht="30" customHeight="1" x14ac:dyDescent="0.2">
      <c r="A63" s="2014">
        <v>48</v>
      </c>
      <c r="B63" s="2080" t="s">
        <v>1708</v>
      </c>
      <c r="C63" s="2079" t="s">
        <v>1112</v>
      </c>
      <c r="D63" s="2065">
        <v>100000000</v>
      </c>
      <c r="E63" s="2078">
        <v>0.05</v>
      </c>
      <c r="F63" s="2065">
        <f t="shared" si="10"/>
        <v>5000000</v>
      </c>
      <c r="G63" s="482"/>
      <c r="H63" s="2558"/>
      <c r="I63" s="24" t="s">
        <v>4048</v>
      </c>
      <c r="J63" s="2558">
        <f>G63</f>
        <v>0</v>
      </c>
      <c r="K63" s="2558">
        <f>F63-J63</f>
        <v>5000000</v>
      </c>
      <c r="L63" s="2086"/>
    </row>
    <row r="64" spans="1:12" ht="30" customHeight="1" x14ac:dyDescent="0.2">
      <c r="A64" s="3450">
        <v>49</v>
      </c>
      <c r="B64" s="3525" t="s">
        <v>192</v>
      </c>
      <c r="C64" s="3570" t="s">
        <v>1350</v>
      </c>
      <c r="D64" s="3442">
        <v>230000000</v>
      </c>
      <c r="E64" s="3444">
        <v>0.05</v>
      </c>
      <c r="F64" s="3442">
        <f t="shared" si="10"/>
        <v>11500000</v>
      </c>
      <c r="G64" s="482">
        <v>11500000</v>
      </c>
      <c r="H64" s="2557" t="s">
        <v>4249</v>
      </c>
      <c r="I64" s="2564" t="s">
        <v>1082</v>
      </c>
      <c r="J64" s="2558">
        <f>G64</f>
        <v>11500000</v>
      </c>
      <c r="K64" s="2558">
        <f>F64-J64</f>
        <v>0</v>
      </c>
      <c r="L64" s="813" t="s">
        <v>4251</v>
      </c>
    </row>
    <row r="65" spans="1:12" ht="30" customHeight="1" x14ac:dyDescent="0.2">
      <c r="A65" s="3456"/>
      <c r="B65" s="3643"/>
      <c r="C65" s="3576"/>
      <c r="D65" s="3443"/>
      <c r="E65" s="3445"/>
      <c r="F65" s="3443"/>
      <c r="G65" s="561">
        <v>11500000</v>
      </c>
      <c r="H65" s="2560"/>
      <c r="I65" s="2581"/>
      <c r="J65" s="2552">
        <f>G65</f>
        <v>11500000</v>
      </c>
      <c r="K65" s="2573">
        <f>F64-J65</f>
        <v>0</v>
      </c>
      <c r="L65" s="1389" t="s">
        <v>4252</v>
      </c>
    </row>
    <row r="66" spans="1:12" ht="30" customHeight="1" x14ac:dyDescent="0.2">
      <c r="A66" s="3451"/>
      <c r="B66" s="3526"/>
      <c r="C66" s="3571"/>
      <c r="D66" s="1452"/>
      <c r="E66" s="1716"/>
      <c r="F66" s="1658"/>
      <c r="G66" s="561">
        <v>80000000</v>
      </c>
      <c r="H66" s="2558"/>
      <c r="I66" s="2565"/>
      <c r="J66" s="2552">
        <f>G66</f>
        <v>80000000</v>
      </c>
      <c r="K66" s="2573">
        <v>0</v>
      </c>
      <c r="L66" s="2242"/>
    </row>
    <row r="67" spans="1:12" ht="30" customHeight="1" x14ac:dyDescent="0.2">
      <c r="A67" s="3450">
        <v>50</v>
      </c>
      <c r="B67" s="3525" t="s">
        <v>193</v>
      </c>
      <c r="C67" s="3570" t="s">
        <v>916</v>
      </c>
      <c r="D67" s="3442">
        <v>350000000</v>
      </c>
      <c r="E67" s="3444">
        <v>0.05</v>
      </c>
      <c r="F67" s="3442">
        <f t="shared" si="10"/>
        <v>17500000</v>
      </c>
      <c r="G67" s="2548" t="s">
        <v>4050</v>
      </c>
      <c r="H67" s="2550"/>
      <c r="I67" s="2550"/>
      <c r="J67" s="2550"/>
      <c r="K67" s="2551"/>
      <c r="L67" s="2086"/>
    </row>
    <row r="68" spans="1:12" ht="30" customHeight="1" x14ac:dyDescent="0.2">
      <c r="A68" s="3451"/>
      <c r="B68" s="3526"/>
      <c r="C68" s="3571"/>
      <c r="D68" s="3443"/>
      <c r="E68" s="3445"/>
      <c r="F68" s="3443"/>
      <c r="G68" s="561">
        <v>17000000</v>
      </c>
      <c r="H68" s="2552" t="s">
        <v>4330</v>
      </c>
      <c r="I68" s="2552" t="s">
        <v>1084</v>
      </c>
      <c r="J68" s="2552">
        <f>G68</f>
        <v>17000000</v>
      </c>
      <c r="K68" s="2552"/>
      <c r="L68" s="2392" t="s">
        <v>4403</v>
      </c>
    </row>
    <row r="69" spans="1:12" ht="30" customHeight="1" x14ac:dyDescent="0.2">
      <c r="A69" s="2042">
        <v>51</v>
      </c>
      <c r="B69" s="22" t="s">
        <v>194</v>
      </c>
      <c r="C69" s="2079" t="s">
        <v>916</v>
      </c>
      <c r="D69" s="2065">
        <v>260000000</v>
      </c>
      <c r="E69" s="2078">
        <f>F69/D69</f>
        <v>5.5769230769230772E-2</v>
      </c>
      <c r="F69" s="2065">
        <v>14500000</v>
      </c>
      <c r="G69" s="561">
        <v>14500000</v>
      </c>
      <c r="H69" s="2552" t="s">
        <v>2141</v>
      </c>
      <c r="I69" s="2552" t="s">
        <v>3636</v>
      </c>
      <c r="J69" s="2552">
        <f>G69</f>
        <v>14500000</v>
      </c>
      <c r="K69" s="2552">
        <f>F69-J69</f>
        <v>0</v>
      </c>
      <c r="L69" s="2048"/>
    </row>
    <row r="70" spans="1:12" ht="30" customHeight="1" x14ac:dyDescent="0.2">
      <c r="A70" s="3901"/>
      <c r="B70" s="3459" t="s">
        <v>195</v>
      </c>
      <c r="C70" s="3570" t="s">
        <v>916</v>
      </c>
      <c r="D70" s="2055">
        <v>100000000</v>
      </c>
      <c r="E70" s="2052">
        <v>7.0000000000000007E-2</v>
      </c>
      <c r="F70" s="2055">
        <f>D70*E70</f>
        <v>7000000.0000000009</v>
      </c>
      <c r="G70" s="2780">
        <v>7500000</v>
      </c>
      <c r="H70" s="2557" t="s">
        <v>1964</v>
      </c>
      <c r="I70" s="2557" t="s">
        <v>2674</v>
      </c>
      <c r="J70" s="2557">
        <f>G70</f>
        <v>7500000</v>
      </c>
      <c r="K70" s="2557">
        <f>(F70+F71)-J70</f>
        <v>0</v>
      </c>
      <c r="L70" s="813" t="s">
        <v>2845</v>
      </c>
    </row>
    <row r="71" spans="1:12" ht="30" customHeight="1" x14ac:dyDescent="0.2">
      <c r="A71" s="3902"/>
      <c r="B71" s="3458"/>
      <c r="C71" s="3571"/>
      <c r="D71" s="2054">
        <v>10000000</v>
      </c>
      <c r="E71" s="2051">
        <v>0.05</v>
      </c>
      <c r="F71" s="2054">
        <f>D71*E71</f>
        <v>500000</v>
      </c>
      <c r="G71" s="2734"/>
      <c r="H71" s="2558"/>
      <c r="I71" s="2558"/>
      <c r="J71" s="2558"/>
      <c r="K71" s="2558"/>
      <c r="L71" s="813" t="s">
        <v>4051</v>
      </c>
    </row>
    <row r="72" spans="1:12" ht="30" customHeight="1" x14ac:dyDescent="0.2">
      <c r="A72" s="2042"/>
      <c r="B72" s="22" t="s">
        <v>196</v>
      </c>
      <c r="C72" s="2380" t="s">
        <v>1349</v>
      </c>
      <c r="D72" s="2065">
        <v>500000000</v>
      </c>
      <c r="E72" s="2078">
        <v>7.0000000000000007E-2</v>
      </c>
      <c r="F72" s="2065">
        <f>D72*E72</f>
        <v>35000000</v>
      </c>
      <c r="G72" s="561">
        <v>37000000</v>
      </c>
      <c r="H72" s="2552" t="s">
        <v>4216</v>
      </c>
      <c r="I72" s="2552" t="s">
        <v>1923</v>
      </c>
      <c r="J72" s="2552">
        <f>G72</f>
        <v>37000000</v>
      </c>
      <c r="K72" s="2552">
        <v>0</v>
      </c>
      <c r="L72" s="1441" t="s">
        <v>3863</v>
      </c>
    </row>
    <row r="73" spans="1:12" ht="30" customHeight="1" x14ac:dyDescent="0.2">
      <c r="A73" s="3450">
        <v>54</v>
      </c>
      <c r="B73" s="3457" t="s">
        <v>1090</v>
      </c>
      <c r="C73" s="3570"/>
      <c r="D73" s="2056">
        <v>35000000</v>
      </c>
      <c r="E73" s="2053">
        <v>7.1999999999999995E-2</v>
      </c>
      <c r="F73" s="2056">
        <v>2500000</v>
      </c>
      <c r="G73" s="2781">
        <v>3500000</v>
      </c>
      <c r="H73" s="2598" t="s">
        <v>4059</v>
      </c>
      <c r="I73" s="2600" t="s">
        <v>4115</v>
      </c>
      <c r="J73" s="2598">
        <f>G73</f>
        <v>3500000</v>
      </c>
      <c r="K73" s="2598">
        <f>(F73+F74)-J73</f>
        <v>0</v>
      </c>
      <c r="L73" s="3525"/>
    </row>
    <row r="74" spans="1:12" ht="30" customHeight="1" x14ac:dyDescent="0.2">
      <c r="A74" s="3456"/>
      <c r="B74" s="3458"/>
      <c r="C74" s="3571"/>
      <c r="D74" s="2056">
        <v>13000000</v>
      </c>
      <c r="E74" s="2078">
        <v>7.6999999999999999E-2</v>
      </c>
      <c r="F74" s="2056">
        <v>1000000</v>
      </c>
      <c r="G74" s="2782"/>
      <c r="H74" s="2599"/>
      <c r="I74" s="2601"/>
      <c r="J74" s="2599"/>
      <c r="K74" s="2599"/>
      <c r="L74" s="3526"/>
    </row>
    <row r="75" spans="1:12" ht="30" customHeight="1" x14ac:dyDescent="0.2">
      <c r="A75" s="3450">
        <v>55</v>
      </c>
      <c r="B75" s="3457" t="s">
        <v>1295</v>
      </c>
      <c r="C75" s="3570" t="s">
        <v>1350</v>
      </c>
      <c r="D75" s="2065">
        <v>175000000</v>
      </c>
      <c r="E75" s="2078">
        <v>0.52</v>
      </c>
      <c r="F75" s="2065">
        <v>9000000</v>
      </c>
      <c r="G75" s="2740"/>
      <c r="H75" s="2741"/>
      <c r="I75" s="2741"/>
      <c r="J75" s="2742"/>
      <c r="K75" s="2552">
        <f>(F75+F76+F77)-J75</f>
        <v>18250000</v>
      </c>
      <c r="L75" s="3468" t="s">
        <v>4092</v>
      </c>
    </row>
    <row r="76" spans="1:12" ht="30" customHeight="1" x14ac:dyDescent="0.2">
      <c r="A76" s="3456"/>
      <c r="B76" s="3459"/>
      <c r="C76" s="3576"/>
      <c r="D76" s="2054">
        <f>85000000+20000000</f>
        <v>105000000</v>
      </c>
      <c r="E76" s="2051">
        <v>7.0000000000000007E-2</v>
      </c>
      <c r="F76" s="2054">
        <v>7500000</v>
      </c>
      <c r="G76" s="2743"/>
      <c r="H76" s="2744"/>
      <c r="I76" s="2744"/>
      <c r="J76" s="2745"/>
      <c r="K76" s="2552"/>
      <c r="L76" s="3606"/>
    </row>
    <row r="77" spans="1:12" ht="30" customHeight="1" x14ac:dyDescent="0.2">
      <c r="A77" s="3451"/>
      <c r="B77" s="3458"/>
      <c r="C77" s="3571"/>
      <c r="D77" s="2065">
        <v>35000000</v>
      </c>
      <c r="E77" s="2078">
        <v>0.05</v>
      </c>
      <c r="F77" s="2065">
        <f>D77*E77</f>
        <v>1750000</v>
      </c>
      <c r="G77" s="2746"/>
      <c r="H77" s="2747"/>
      <c r="I77" s="2747"/>
      <c r="J77" s="2748"/>
      <c r="K77" s="2552"/>
      <c r="L77" s="3469"/>
    </row>
    <row r="78" spans="1:12" ht="30" customHeight="1" x14ac:dyDescent="0.2">
      <c r="A78" s="3450">
        <v>56</v>
      </c>
      <c r="B78" s="3457" t="s">
        <v>36</v>
      </c>
      <c r="C78" s="3570" t="s">
        <v>1350</v>
      </c>
      <c r="D78" s="3454">
        <v>3284000000</v>
      </c>
      <c r="E78" s="3462">
        <v>7.0000000000000007E-2</v>
      </c>
      <c r="F78" s="3454">
        <v>229880000</v>
      </c>
      <c r="G78" s="2783">
        <f>F85</f>
        <v>151354320</v>
      </c>
      <c r="H78" s="2741"/>
      <c r="I78" s="2741"/>
      <c r="J78" s="2742"/>
      <c r="K78" s="2557">
        <v>0</v>
      </c>
      <c r="L78" s="683" t="s">
        <v>3982</v>
      </c>
    </row>
    <row r="79" spans="1:12" ht="30" customHeight="1" x14ac:dyDescent="0.2">
      <c r="A79" s="3456"/>
      <c r="B79" s="3459"/>
      <c r="C79" s="3571"/>
      <c r="D79" s="3455"/>
      <c r="E79" s="3463"/>
      <c r="F79" s="3455"/>
      <c r="G79" s="2743"/>
      <c r="H79" s="2744"/>
      <c r="I79" s="2744"/>
      <c r="J79" s="2745"/>
      <c r="K79" s="2558"/>
      <c r="L79" s="1665" t="s">
        <v>3977</v>
      </c>
    </row>
    <row r="80" spans="1:12" ht="30" customHeight="1" x14ac:dyDescent="0.2">
      <c r="A80" s="3456"/>
      <c r="B80" s="3459"/>
      <c r="C80" s="3570" t="s">
        <v>1378</v>
      </c>
      <c r="D80" s="2282">
        <f>1050000000+80000000</f>
        <v>1130000000</v>
      </c>
      <c r="E80" s="2292">
        <v>0.08</v>
      </c>
      <c r="F80" s="2282">
        <f>D80*E80</f>
        <v>90400000</v>
      </c>
      <c r="G80" s="2743"/>
      <c r="H80" s="2744"/>
      <c r="I80" s="2744"/>
      <c r="J80" s="2745"/>
      <c r="K80" s="2560"/>
      <c r="L80" s="1665" t="s">
        <v>3981</v>
      </c>
    </row>
    <row r="81" spans="1:12" ht="30" customHeight="1" x14ac:dyDescent="0.2">
      <c r="A81" s="3456"/>
      <c r="B81" s="3459"/>
      <c r="C81" s="3576"/>
      <c r="D81" s="2285">
        <v>229880000</v>
      </c>
      <c r="E81" s="2283">
        <v>0.08</v>
      </c>
      <c r="F81" s="2285">
        <f>D81*E81</f>
        <v>18390400</v>
      </c>
      <c r="G81" s="2743"/>
      <c r="H81" s="2744"/>
      <c r="I81" s="2744"/>
      <c r="J81" s="2745"/>
      <c r="K81" s="2552"/>
      <c r="L81" s="1665" t="s">
        <v>4313</v>
      </c>
    </row>
    <row r="82" spans="1:12" ht="30" customHeight="1" x14ac:dyDescent="0.2">
      <c r="A82" s="3456"/>
      <c r="B82" s="3459"/>
      <c r="C82" s="3576"/>
      <c r="D82" s="2285">
        <v>400000000</v>
      </c>
      <c r="E82" s="2283">
        <v>0.08</v>
      </c>
      <c r="F82" s="2285">
        <f>D82*E82</f>
        <v>32000000</v>
      </c>
      <c r="G82" s="2743"/>
      <c r="H82" s="2744"/>
      <c r="I82" s="2744"/>
      <c r="J82" s="2745"/>
      <c r="K82" s="2552"/>
      <c r="L82" s="1665" t="s">
        <v>4314</v>
      </c>
    </row>
    <row r="83" spans="1:12" ht="30" customHeight="1" x14ac:dyDescent="0.2">
      <c r="A83" s="3456"/>
      <c r="B83" s="3459"/>
      <c r="C83" s="3576"/>
      <c r="D83" s="3325" t="s">
        <v>4316</v>
      </c>
      <c r="E83" s="3341"/>
      <c r="F83" s="2285">
        <f>90400000+12260000+2133000+1866000+1600000+1600000+22190000</f>
        <v>132049000</v>
      </c>
      <c r="G83" s="2743"/>
      <c r="H83" s="2744"/>
      <c r="I83" s="2744"/>
      <c r="J83" s="2745"/>
      <c r="K83" s="2552"/>
      <c r="L83" s="1665" t="s">
        <v>4315</v>
      </c>
    </row>
    <row r="84" spans="1:12" ht="30" customHeight="1" x14ac:dyDescent="0.2">
      <c r="A84" s="3456"/>
      <c r="B84" s="3459"/>
      <c r="C84" s="3576"/>
      <c r="D84" s="3325" t="s">
        <v>4317</v>
      </c>
      <c r="E84" s="3341"/>
      <c r="F84" s="2285">
        <f>400000000+229880000+132049000</f>
        <v>761929000</v>
      </c>
      <c r="G84" s="2743"/>
      <c r="H84" s="2744"/>
      <c r="I84" s="2744"/>
      <c r="J84" s="2745"/>
      <c r="K84" s="2552"/>
      <c r="L84" s="1665" t="s">
        <v>4315</v>
      </c>
    </row>
    <row r="85" spans="1:12" ht="30" customHeight="1" x14ac:dyDescent="0.2">
      <c r="A85" s="3451"/>
      <c r="B85" s="3458"/>
      <c r="C85" s="3571"/>
      <c r="D85" s="2288">
        <f>D80+F84</f>
        <v>1891929000</v>
      </c>
      <c r="E85" s="2287">
        <v>0.08</v>
      </c>
      <c r="F85" s="2288">
        <f>D85*E85</f>
        <v>151354320</v>
      </c>
      <c r="G85" s="2746"/>
      <c r="H85" s="2747"/>
      <c r="I85" s="2747"/>
      <c r="J85" s="2748"/>
      <c r="K85" s="2552"/>
      <c r="L85" s="1665"/>
    </row>
    <row r="86" spans="1:12" ht="30" customHeight="1" x14ac:dyDescent="0.2">
      <c r="A86" s="3450">
        <v>57</v>
      </c>
      <c r="B86" s="3457" t="s">
        <v>1107</v>
      </c>
      <c r="C86" s="3570" t="s">
        <v>1353</v>
      </c>
      <c r="D86" s="3454">
        <v>317000000</v>
      </c>
      <c r="E86" s="3462">
        <v>7.0000000000000007E-2</v>
      </c>
      <c r="F86" s="3454">
        <f>D86*E86</f>
        <v>22190000.000000004</v>
      </c>
      <c r="G86" s="2724">
        <f>F86</f>
        <v>22190000.000000004</v>
      </c>
      <c r="H86" s="2412"/>
      <c r="I86" s="2412"/>
      <c r="J86" s="2088"/>
      <c r="K86" s="2557"/>
      <c r="L86" s="3618"/>
    </row>
    <row r="87" spans="1:12" ht="30" customHeight="1" x14ac:dyDescent="0.2">
      <c r="A87" s="3451"/>
      <c r="B87" s="3458"/>
      <c r="C87" s="3571"/>
      <c r="D87" s="3455"/>
      <c r="E87" s="3463"/>
      <c r="F87" s="3455"/>
      <c r="G87" s="2150"/>
      <c r="H87" s="2726"/>
      <c r="I87" s="2726"/>
      <c r="J87" s="2090"/>
      <c r="K87" s="2558"/>
      <c r="L87" s="3619"/>
    </row>
    <row r="88" spans="1:12" ht="30" customHeight="1" x14ac:dyDescent="0.2">
      <c r="A88" s="1982">
        <v>58</v>
      </c>
      <c r="B88" s="3457" t="s">
        <v>1094</v>
      </c>
      <c r="C88" s="3570" t="s">
        <v>916</v>
      </c>
      <c r="D88" s="948">
        <v>11000000</v>
      </c>
      <c r="E88" s="2078">
        <v>5.5E-2</v>
      </c>
      <c r="F88" s="2056">
        <v>600000</v>
      </c>
      <c r="G88" s="2724">
        <f>F88+F89+F90</f>
        <v>1612000</v>
      </c>
      <c r="H88" s="2749"/>
      <c r="I88" s="2749"/>
      <c r="J88" s="2750"/>
      <c r="K88" s="2558"/>
      <c r="L88" s="2080"/>
    </row>
    <row r="89" spans="1:12" ht="30" customHeight="1" x14ac:dyDescent="0.2">
      <c r="A89" s="2538"/>
      <c r="B89" s="3459"/>
      <c r="C89" s="3576"/>
      <c r="D89" s="948">
        <v>10000000</v>
      </c>
      <c r="E89" s="2543">
        <v>5.5E-2</v>
      </c>
      <c r="F89" s="2540">
        <f>D89*E89</f>
        <v>550000</v>
      </c>
      <c r="G89" s="2784"/>
      <c r="H89" s="247"/>
      <c r="I89" s="247"/>
      <c r="J89" s="247"/>
      <c r="K89" s="2560"/>
      <c r="L89" s="2546" t="s">
        <v>4429</v>
      </c>
    </row>
    <row r="90" spans="1:12" ht="30" customHeight="1" x14ac:dyDescent="0.2">
      <c r="A90" s="2538"/>
      <c r="B90" s="3458"/>
      <c r="C90" s="3571"/>
      <c r="D90" s="948">
        <v>8400000</v>
      </c>
      <c r="E90" s="2543">
        <v>5.5E-2</v>
      </c>
      <c r="F90" s="2540">
        <f>D90*E90</f>
        <v>462000</v>
      </c>
      <c r="G90" s="2785"/>
      <c r="H90" s="247"/>
      <c r="I90" s="247"/>
      <c r="J90" s="247"/>
      <c r="K90" s="2560"/>
      <c r="L90" s="2546" t="s">
        <v>4430</v>
      </c>
    </row>
    <row r="91" spans="1:12" ht="30" customHeight="1" x14ac:dyDescent="0.2">
      <c r="A91" s="3450"/>
      <c r="B91" s="3513" t="s">
        <v>197</v>
      </c>
      <c r="C91" s="3570" t="s">
        <v>1350</v>
      </c>
      <c r="D91" s="2056">
        <v>90000000</v>
      </c>
      <c r="E91" s="2078">
        <v>0.05</v>
      </c>
      <c r="F91" s="2056">
        <f t="shared" si="10"/>
        <v>4500000</v>
      </c>
      <c r="G91" s="2780">
        <v>6000000</v>
      </c>
      <c r="H91" s="2557" t="s">
        <v>4079</v>
      </c>
      <c r="I91" s="2557" t="s">
        <v>4081</v>
      </c>
      <c r="J91" s="2557">
        <f>G91</f>
        <v>6000000</v>
      </c>
      <c r="K91" s="2557">
        <f>(F91+F92+F93)-J91</f>
        <v>250000</v>
      </c>
      <c r="L91" s="683" t="s">
        <v>3491</v>
      </c>
    </row>
    <row r="92" spans="1:12" ht="30" customHeight="1" x14ac:dyDescent="0.2">
      <c r="A92" s="3456"/>
      <c r="B92" s="3553"/>
      <c r="C92" s="3576"/>
      <c r="D92" s="2056">
        <v>10000000</v>
      </c>
      <c r="E92" s="2078">
        <v>7.0000000000000007E-2</v>
      </c>
      <c r="F92" s="2056">
        <f t="shared" si="10"/>
        <v>700000.00000000012</v>
      </c>
      <c r="G92" s="2737"/>
      <c r="H92" s="2560"/>
      <c r="I92" s="2560"/>
      <c r="J92" s="2560"/>
      <c r="K92" s="2560"/>
      <c r="L92" s="192"/>
    </row>
    <row r="93" spans="1:12" ht="30" customHeight="1" x14ac:dyDescent="0.2">
      <c r="A93" s="3451"/>
      <c r="B93" s="3514"/>
      <c r="C93" s="3571"/>
      <c r="D93" s="2056">
        <v>15000000</v>
      </c>
      <c r="E93" s="2078">
        <v>7.0000000000000007E-2</v>
      </c>
      <c r="F93" s="2056">
        <f>D93*E93</f>
        <v>1050000</v>
      </c>
      <c r="G93" s="2734"/>
      <c r="H93" s="2558"/>
      <c r="I93" s="2558"/>
      <c r="J93" s="2558"/>
      <c r="K93" s="2558"/>
      <c r="L93" s="33"/>
    </row>
    <row r="94" spans="1:12" ht="30" customHeight="1" x14ac:dyDescent="0.2">
      <c r="A94" s="2014">
        <v>60</v>
      </c>
      <c r="B94" s="117" t="s">
        <v>1591</v>
      </c>
      <c r="C94" s="2002"/>
      <c r="D94" s="1997"/>
      <c r="E94" s="44"/>
      <c r="F94" s="1997">
        <f t="shared" si="10"/>
        <v>0</v>
      </c>
      <c r="G94" s="482">
        <v>10000000</v>
      </c>
      <c r="H94" s="2558" t="s">
        <v>4062</v>
      </c>
      <c r="I94" s="24" t="s">
        <v>1923</v>
      </c>
      <c r="J94" s="2558">
        <f>G94</f>
        <v>10000000</v>
      </c>
      <c r="K94" s="2562">
        <f>F94-J94</f>
        <v>-10000000</v>
      </c>
      <c r="L94" s="2017"/>
    </row>
    <row r="95" spans="1:12" ht="30" customHeight="1" x14ac:dyDescent="0.2">
      <c r="A95" s="1984">
        <v>61</v>
      </c>
      <c r="B95" s="2080" t="s">
        <v>199</v>
      </c>
      <c r="C95" s="2064"/>
      <c r="D95" s="2056">
        <v>100000000</v>
      </c>
      <c r="E95" s="2078">
        <v>7.0000000000000007E-2</v>
      </c>
      <c r="F95" s="2056">
        <f t="shared" si="10"/>
        <v>7000000.0000000009</v>
      </c>
      <c r="G95" s="482">
        <v>7000000</v>
      </c>
      <c r="H95" s="2558" t="s">
        <v>4062</v>
      </c>
      <c r="I95" s="24" t="s">
        <v>3602</v>
      </c>
      <c r="J95" s="2558">
        <f>G95</f>
        <v>7000000</v>
      </c>
      <c r="K95" s="2558">
        <f>F95-J95</f>
        <v>0</v>
      </c>
      <c r="L95" s="2080"/>
    </row>
    <row r="96" spans="1:12" ht="30" customHeight="1" x14ac:dyDescent="0.2">
      <c r="A96" s="2042">
        <v>62</v>
      </c>
      <c r="B96" s="2076" t="s">
        <v>200</v>
      </c>
      <c r="C96" s="2063"/>
      <c r="D96" s="2065">
        <v>125000000</v>
      </c>
      <c r="E96" s="2078">
        <v>5.1999999999999998E-2</v>
      </c>
      <c r="F96" s="2065">
        <f t="shared" si="10"/>
        <v>6500000</v>
      </c>
      <c r="G96" s="561"/>
      <c r="H96" s="2552"/>
      <c r="I96" s="2552" t="s">
        <v>1299</v>
      </c>
      <c r="J96" s="2552">
        <f>G96</f>
        <v>0</v>
      </c>
      <c r="K96" s="2552">
        <f>F96-J96</f>
        <v>6500000</v>
      </c>
      <c r="L96" s="2086"/>
    </row>
    <row r="97" spans="1:12" ht="30" customHeight="1" x14ac:dyDescent="0.2">
      <c r="A97" s="3693">
        <v>63</v>
      </c>
      <c r="B97" s="3687" t="s">
        <v>201</v>
      </c>
      <c r="C97" s="3686" t="s">
        <v>916</v>
      </c>
      <c r="D97" s="2065">
        <v>1700000000</v>
      </c>
      <c r="E97" s="2078">
        <v>6.5000000000000002E-2</v>
      </c>
      <c r="F97" s="2065">
        <f>D97*E97</f>
        <v>110500000</v>
      </c>
      <c r="G97" s="561">
        <v>10500000</v>
      </c>
      <c r="H97" s="2552" t="s">
        <v>1263</v>
      </c>
      <c r="I97" s="2552" t="s">
        <v>2716</v>
      </c>
      <c r="J97" s="2552">
        <f>G97</f>
        <v>10500000</v>
      </c>
      <c r="K97" s="2552">
        <f>F97-100000000-J97</f>
        <v>0</v>
      </c>
      <c r="L97" s="683" t="s">
        <v>3510</v>
      </c>
    </row>
    <row r="98" spans="1:12" ht="30" customHeight="1" x14ac:dyDescent="0.2">
      <c r="A98" s="3693"/>
      <c r="B98" s="3687"/>
      <c r="C98" s="3686"/>
      <c r="D98" s="2065">
        <v>1800000000</v>
      </c>
      <c r="E98" s="2078">
        <v>6.5000000000000002E-2</v>
      </c>
      <c r="F98" s="2065">
        <f>D98*E98</f>
        <v>117000000</v>
      </c>
      <c r="G98" s="2751"/>
      <c r="H98" s="2752"/>
      <c r="I98" s="2752"/>
      <c r="J98" s="2753"/>
      <c r="K98" s="2558"/>
      <c r="L98" s="33" t="s">
        <v>4052</v>
      </c>
    </row>
    <row r="99" spans="1:12" ht="30" customHeight="1" x14ac:dyDescent="0.2">
      <c r="A99" s="1984">
        <v>64</v>
      </c>
      <c r="B99" s="2049" t="s">
        <v>1408</v>
      </c>
      <c r="C99" s="2064" t="s">
        <v>916</v>
      </c>
      <c r="D99" s="2056">
        <v>200000000</v>
      </c>
      <c r="E99" s="2053">
        <v>5.5E-2</v>
      </c>
      <c r="F99" s="2056">
        <f t="shared" si="10"/>
        <v>11000000</v>
      </c>
      <c r="G99" s="482">
        <v>11000000</v>
      </c>
      <c r="H99" s="2558" t="s">
        <v>4062</v>
      </c>
      <c r="I99" s="24" t="s">
        <v>4064</v>
      </c>
      <c r="J99" s="2558">
        <f>G99</f>
        <v>11000000</v>
      </c>
      <c r="K99" s="2558">
        <f t="shared" ref="K99:K109" si="11">F99-J99</f>
        <v>0</v>
      </c>
      <c r="L99" s="2086" t="s">
        <v>1409</v>
      </c>
    </row>
    <row r="100" spans="1:12" ht="30" customHeight="1" x14ac:dyDescent="0.2">
      <c r="A100" s="1984">
        <v>65</v>
      </c>
      <c r="B100" s="2080" t="s">
        <v>203</v>
      </c>
      <c r="C100" s="2064"/>
      <c r="D100" s="2056">
        <v>500000000</v>
      </c>
      <c r="E100" s="2078">
        <v>0.04</v>
      </c>
      <c r="F100" s="2056">
        <f t="shared" si="10"/>
        <v>20000000</v>
      </c>
      <c r="G100" s="482"/>
      <c r="H100" s="2558"/>
      <c r="I100" s="24"/>
      <c r="J100" s="2558"/>
      <c r="K100" s="2558">
        <f t="shared" si="11"/>
        <v>20000000</v>
      </c>
      <c r="L100" s="2080" t="s">
        <v>1615</v>
      </c>
    </row>
    <row r="101" spans="1:12" ht="30" customHeight="1" x14ac:dyDescent="0.2">
      <c r="A101" s="3450">
        <v>66</v>
      </c>
      <c r="B101" s="3457" t="s">
        <v>204</v>
      </c>
      <c r="C101" s="3570" t="s">
        <v>916</v>
      </c>
      <c r="D101" s="2361">
        <v>252000000</v>
      </c>
      <c r="E101" s="2379">
        <f>F101/D101</f>
        <v>5.2142857142857144E-2</v>
      </c>
      <c r="F101" s="2361">
        <v>13140000</v>
      </c>
      <c r="G101" s="561">
        <v>13140000</v>
      </c>
      <c r="H101" s="2552" t="s">
        <v>1263</v>
      </c>
      <c r="I101" s="2593" t="s">
        <v>3637</v>
      </c>
      <c r="J101" s="2552">
        <f t="shared" ref="J101:J107" si="12">G101</f>
        <v>13140000</v>
      </c>
      <c r="K101" s="2552">
        <f t="shared" si="11"/>
        <v>0</v>
      </c>
      <c r="L101" s="2039"/>
    </row>
    <row r="102" spans="1:12" ht="30" customHeight="1" x14ac:dyDescent="0.2">
      <c r="A102" s="3451"/>
      <c r="B102" s="3458"/>
      <c r="C102" s="3571"/>
      <c r="D102" s="2361">
        <v>534000000</v>
      </c>
      <c r="E102" s="2379">
        <f>F102/D102</f>
        <v>6.1573033707865168E-2</v>
      </c>
      <c r="F102" s="2361">
        <v>32880000</v>
      </c>
      <c r="G102" s="561"/>
      <c r="H102" s="2552"/>
      <c r="I102" s="2593"/>
      <c r="J102" s="2552"/>
      <c r="K102" s="2552"/>
      <c r="L102" s="2370" t="s">
        <v>4384</v>
      </c>
    </row>
    <row r="103" spans="1:12" ht="30" customHeight="1" x14ac:dyDescent="0.2">
      <c r="A103" s="1982">
        <v>68</v>
      </c>
      <c r="B103" s="2080" t="s">
        <v>205</v>
      </c>
      <c r="C103" s="2079" t="s">
        <v>1350</v>
      </c>
      <c r="D103" s="2065">
        <v>150000000</v>
      </c>
      <c r="E103" s="2078">
        <v>0.05</v>
      </c>
      <c r="F103" s="2065">
        <f t="shared" si="10"/>
        <v>7500000</v>
      </c>
      <c r="G103" s="561">
        <v>7500000</v>
      </c>
      <c r="H103" s="2552" t="s">
        <v>4062</v>
      </c>
      <c r="I103" s="1592" t="s">
        <v>4065</v>
      </c>
      <c r="J103" s="2552">
        <f t="shared" si="12"/>
        <v>7500000</v>
      </c>
      <c r="K103" s="2552">
        <f t="shared" si="11"/>
        <v>0</v>
      </c>
      <c r="L103" s="2062"/>
    </row>
    <row r="104" spans="1:12" ht="30" customHeight="1" x14ac:dyDescent="0.2">
      <c r="A104" s="3450">
        <v>69</v>
      </c>
      <c r="B104" s="3457" t="s">
        <v>206</v>
      </c>
      <c r="C104" s="3570" t="s">
        <v>916</v>
      </c>
      <c r="D104" s="3442">
        <v>280000000</v>
      </c>
      <c r="E104" s="3444">
        <f>F104/D104</f>
        <v>7.0000000000000007E-2</v>
      </c>
      <c r="F104" s="3442">
        <v>19600000</v>
      </c>
      <c r="G104" s="561">
        <v>19600000</v>
      </c>
      <c r="H104" s="2552" t="s">
        <v>4062</v>
      </c>
      <c r="I104" s="2593" t="s">
        <v>963</v>
      </c>
      <c r="J104" s="2552">
        <f t="shared" si="12"/>
        <v>19600000</v>
      </c>
      <c r="K104" s="2552">
        <f t="shared" si="11"/>
        <v>0</v>
      </c>
      <c r="L104" s="2073"/>
    </row>
    <row r="105" spans="1:12" ht="30" customHeight="1" x14ac:dyDescent="0.2">
      <c r="A105" s="3451"/>
      <c r="B105" s="3458"/>
      <c r="C105" s="3571"/>
      <c r="D105" s="3443"/>
      <c r="E105" s="3445"/>
      <c r="F105" s="3443"/>
      <c r="G105" s="561">
        <v>19600000</v>
      </c>
      <c r="H105" s="2552" t="s">
        <v>4068</v>
      </c>
      <c r="I105" s="2593" t="s">
        <v>963</v>
      </c>
      <c r="J105" s="2552">
        <f t="shared" si="12"/>
        <v>19600000</v>
      </c>
      <c r="K105" s="2552"/>
      <c r="L105" s="2106"/>
    </row>
    <row r="106" spans="1:12" ht="30" customHeight="1" x14ac:dyDescent="0.2">
      <c r="A106" s="1982">
        <v>70</v>
      </c>
      <c r="B106" s="2076" t="s">
        <v>207</v>
      </c>
      <c r="C106" s="2079" t="s">
        <v>916</v>
      </c>
      <c r="D106" s="2065">
        <v>100000000</v>
      </c>
      <c r="E106" s="2078">
        <v>0.04</v>
      </c>
      <c r="F106" s="2065">
        <f t="shared" si="10"/>
        <v>4000000</v>
      </c>
      <c r="G106" s="561">
        <v>4000000</v>
      </c>
      <c r="H106" s="2552" t="s">
        <v>4062</v>
      </c>
      <c r="I106" s="2602" t="s">
        <v>3541</v>
      </c>
      <c r="J106" s="2552">
        <f t="shared" si="12"/>
        <v>4000000</v>
      </c>
      <c r="K106" s="2552">
        <f t="shared" si="11"/>
        <v>0</v>
      </c>
      <c r="L106" s="2062"/>
    </row>
    <row r="107" spans="1:12" ht="30" customHeight="1" x14ac:dyDescent="0.2">
      <c r="A107" s="3450"/>
      <c r="B107" s="3457" t="s">
        <v>208</v>
      </c>
      <c r="C107" s="3570" t="s">
        <v>916</v>
      </c>
      <c r="D107" s="2056">
        <v>30000000</v>
      </c>
      <c r="E107" s="2053">
        <v>0.05</v>
      </c>
      <c r="F107" s="2056">
        <f t="shared" si="10"/>
        <v>1500000</v>
      </c>
      <c r="G107" s="482">
        <v>1500000</v>
      </c>
      <c r="H107" s="2558" t="s">
        <v>4062</v>
      </c>
      <c r="I107" s="2558" t="s">
        <v>1479</v>
      </c>
      <c r="J107" s="2558">
        <f t="shared" si="12"/>
        <v>1500000</v>
      </c>
      <c r="K107" s="2558">
        <f t="shared" si="11"/>
        <v>0</v>
      </c>
      <c r="L107" s="2058"/>
    </row>
    <row r="108" spans="1:12" ht="30" customHeight="1" x14ac:dyDescent="0.2">
      <c r="A108" s="3451"/>
      <c r="B108" s="3458"/>
      <c r="C108" s="3571"/>
      <c r="D108" s="2308">
        <v>10000000</v>
      </c>
      <c r="E108" s="2305">
        <v>0.05</v>
      </c>
      <c r="F108" s="2308">
        <f t="shared" si="10"/>
        <v>500000</v>
      </c>
      <c r="G108" s="482"/>
      <c r="H108" s="2558"/>
      <c r="I108" s="2572"/>
      <c r="J108" s="2560"/>
      <c r="K108" s="2560"/>
      <c r="L108" s="2326" t="s">
        <v>4361</v>
      </c>
    </row>
    <row r="109" spans="1:12" ht="30" customHeight="1" x14ac:dyDescent="0.2">
      <c r="A109" s="3450">
        <v>72</v>
      </c>
      <c r="B109" s="3457" t="s">
        <v>1053</v>
      </c>
      <c r="C109" s="3570" t="s">
        <v>1817</v>
      </c>
      <c r="D109" s="3442">
        <v>1685000000</v>
      </c>
      <c r="E109" s="3444">
        <v>0.06</v>
      </c>
      <c r="F109" s="3442">
        <f t="shared" si="10"/>
        <v>101100000</v>
      </c>
      <c r="G109" s="482">
        <v>50000000</v>
      </c>
      <c r="H109" s="2558" t="s">
        <v>4184</v>
      </c>
      <c r="I109" s="24" t="s">
        <v>3202</v>
      </c>
      <c r="J109" s="2557">
        <f>G109+G110</f>
        <v>100000000</v>
      </c>
      <c r="K109" s="2557">
        <f t="shared" si="11"/>
        <v>1100000</v>
      </c>
      <c r="L109" s="3607"/>
    </row>
    <row r="110" spans="1:12" ht="30" customHeight="1" x14ac:dyDescent="0.2">
      <c r="A110" s="3451"/>
      <c r="B110" s="3458"/>
      <c r="C110" s="3571"/>
      <c r="D110" s="3443"/>
      <c r="E110" s="3445"/>
      <c r="F110" s="3443"/>
      <c r="G110" s="482">
        <v>50000000</v>
      </c>
      <c r="H110" s="2558" t="s">
        <v>4216</v>
      </c>
      <c r="I110" s="24" t="s">
        <v>3202</v>
      </c>
      <c r="J110" s="2558"/>
      <c r="K110" s="2558"/>
      <c r="L110" s="3609"/>
    </row>
    <row r="111" spans="1:12" ht="30" customHeight="1" x14ac:dyDescent="0.2">
      <c r="A111" s="1984">
        <v>73</v>
      </c>
      <c r="B111" s="2080" t="s">
        <v>209</v>
      </c>
      <c r="C111" s="2064" t="s">
        <v>1348</v>
      </c>
      <c r="D111" s="2056">
        <v>20000000</v>
      </c>
      <c r="E111" s="2078">
        <v>0.05</v>
      </c>
      <c r="F111" s="2056">
        <f t="shared" si="10"/>
        <v>1000000</v>
      </c>
      <c r="G111" s="482">
        <v>1000000</v>
      </c>
      <c r="H111" s="2558" t="s">
        <v>4105</v>
      </c>
      <c r="I111" s="24" t="s">
        <v>4128</v>
      </c>
      <c r="J111" s="2558">
        <f>G111</f>
        <v>1000000</v>
      </c>
      <c r="K111" s="2558">
        <f>F111-J111</f>
        <v>0</v>
      </c>
      <c r="L111" s="2080"/>
    </row>
    <row r="112" spans="1:12" ht="30" customHeight="1" x14ac:dyDescent="0.2">
      <c r="A112" s="3450">
        <v>74</v>
      </c>
      <c r="B112" s="3457" t="s">
        <v>4346</v>
      </c>
      <c r="C112" s="2310" t="s">
        <v>2778</v>
      </c>
      <c r="D112" s="2309">
        <v>125000000</v>
      </c>
      <c r="E112" s="2317">
        <v>0.04</v>
      </c>
      <c r="F112" s="2309">
        <f t="shared" si="10"/>
        <v>5000000</v>
      </c>
      <c r="G112" s="482">
        <v>5000000</v>
      </c>
      <c r="H112" s="2558" t="s">
        <v>1263</v>
      </c>
      <c r="I112" s="2572" t="s">
        <v>4078</v>
      </c>
      <c r="J112" s="2558">
        <f>G112</f>
        <v>5000000</v>
      </c>
      <c r="K112" s="2558">
        <f>F112-J112</f>
        <v>0</v>
      </c>
      <c r="L112" s="786"/>
    </row>
    <row r="113" spans="1:16" ht="30" customHeight="1" x14ac:dyDescent="0.2">
      <c r="A113" s="3451"/>
      <c r="B113" s="3458"/>
      <c r="C113" s="2310" t="s">
        <v>2778</v>
      </c>
      <c r="D113" s="2309">
        <v>90000000</v>
      </c>
      <c r="E113" s="2317">
        <v>0.05</v>
      </c>
      <c r="F113" s="2309">
        <f t="shared" si="10"/>
        <v>4500000</v>
      </c>
      <c r="G113" s="482"/>
      <c r="H113" s="2558"/>
      <c r="I113" s="2572"/>
      <c r="J113" s="2558"/>
      <c r="K113" s="2558"/>
      <c r="L113" s="786" t="s">
        <v>4349</v>
      </c>
    </row>
    <row r="114" spans="1:16" ht="30" customHeight="1" x14ac:dyDescent="0.2">
      <c r="A114" s="2319"/>
      <c r="B114" s="2320" t="s">
        <v>4348</v>
      </c>
      <c r="C114" s="2310" t="s">
        <v>265</v>
      </c>
      <c r="D114" s="2309">
        <v>200000000</v>
      </c>
      <c r="E114" s="2317">
        <v>0.05</v>
      </c>
      <c r="F114" s="2309">
        <f t="shared" si="10"/>
        <v>10000000</v>
      </c>
      <c r="G114" s="482"/>
      <c r="H114" s="2558"/>
      <c r="I114" s="2572"/>
      <c r="J114" s="2558"/>
      <c r="K114" s="2558"/>
      <c r="L114" s="786" t="s">
        <v>4347</v>
      </c>
    </row>
    <row r="115" spans="1:16" ht="30" customHeight="1" x14ac:dyDescent="0.2">
      <c r="A115" s="2509"/>
      <c r="B115" s="2508" t="s">
        <v>211</v>
      </c>
      <c r="C115" s="2506"/>
      <c r="D115" s="2505">
        <v>50000000</v>
      </c>
      <c r="E115" s="2507">
        <v>0.05</v>
      </c>
      <c r="F115" s="2505">
        <f t="shared" si="10"/>
        <v>2500000</v>
      </c>
      <c r="G115" s="482"/>
      <c r="H115" s="2558"/>
      <c r="I115" s="2572"/>
      <c r="J115" s="2558"/>
      <c r="K115" s="2558"/>
      <c r="L115" s="192"/>
    </row>
    <row r="116" spans="1:16" ht="30" customHeight="1" x14ac:dyDescent="0.2">
      <c r="A116" s="2014">
        <v>76</v>
      </c>
      <c r="B116" s="2080" t="s">
        <v>3598</v>
      </c>
      <c r="C116" s="2064" t="s">
        <v>1348</v>
      </c>
      <c r="D116" s="2056">
        <v>100000000</v>
      </c>
      <c r="E116" s="2078">
        <v>0.05</v>
      </c>
      <c r="F116" s="2056">
        <f t="shared" si="10"/>
        <v>5000000</v>
      </c>
      <c r="G116" s="482"/>
      <c r="H116" s="2558"/>
      <c r="I116" s="24" t="s">
        <v>1631</v>
      </c>
      <c r="J116" s="2558">
        <f>G116</f>
        <v>0</v>
      </c>
      <c r="K116" s="2558">
        <f>F116-J116</f>
        <v>5000000</v>
      </c>
      <c r="L116" s="192" t="s">
        <v>4093</v>
      </c>
    </row>
    <row r="117" spans="1:16" ht="30" customHeight="1" x14ac:dyDescent="0.2">
      <c r="A117" s="3450">
        <v>77</v>
      </c>
      <c r="B117" s="3457" t="s">
        <v>213</v>
      </c>
      <c r="C117" s="3570" t="s">
        <v>1816</v>
      </c>
      <c r="D117" s="2056">
        <v>30000000</v>
      </c>
      <c r="E117" s="2078">
        <v>7.0000000000000007E-2</v>
      </c>
      <c r="F117" s="2056">
        <f t="shared" si="10"/>
        <v>2100000</v>
      </c>
      <c r="G117" s="2780">
        <v>3675000</v>
      </c>
      <c r="H117" s="2557" t="s">
        <v>4062</v>
      </c>
      <c r="I117" s="2564" t="s">
        <v>981</v>
      </c>
      <c r="J117" s="2557">
        <f>G117</f>
        <v>3675000</v>
      </c>
      <c r="K117" s="2557">
        <f>(F117+F118)-J117</f>
        <v>0</v>
      </c>
      <c r="L117" s="3468"/>
    </row>
    <row r="118" spans="1:16" ht="30" customHeight="1" x14ac:dyDescent="0.2">
      <c r="A118" s="3451"/>
      <c r="B118" s="3458"/>
      <c r="C118" s="3571"/>
      <c r="D118" s="2056">
        <v>35000000</v>
      </c>
      <c r="E118" s="2078">
        <v>4.4999999999999998E-2</v>
      </c>
      <c r="F118" s="2056">
        <f t="shared" si="10"/>
        <v>1575000</v>
      </c>
      <c r="G118" s="2734"/>
      <c r="H118" s="2558"/>
      <c r="I118" s="2565"/>
      <c r="J118" s="2558"/>
      <c r="K118" s="2558"/>
      <c r="L118" s="3469"/>
    </row>
    <row r="119" spans="1:16" ht="30" customHeight="1" x14ac:dyDescent="0.2">
      <c r="A119" s="2014">
        <v>78</v>
      </c>
      <c r="B119" s="2017" t="s">
        <v>214</v>
      </c>
      <c r="C119" s="2002"/>
      <c r="D119" s="1997"/>
      <c r="E119" s="44"/>
      <c r="F119" s="1997">
        <f t="shared" si="10"/>
        <v>0</v>
      </c>
      <c r="G119" s="482">
        <v>1900000</v>
      </c>
      <c r="H119" s="2558" t="s">
        <v>2141</v>
      </c>
      <c r="I119" s="2602" t="s">
        <v>984</v>
      </c>
      <c r="J119" s="2558">
        <f t="shared" ref="J119:J125" si="13">G119</f>
        <v>1900000</v>
      </c>
      <c r="K119" s="2562">
        <f t="shared" ref="K119:K125" si="14">F119-J119</f>
        <v>-1900000</v>
      </c>
      <c r="L119" s="2017"/>
    </row>
    <row r="120" spans="1:16" ht="30" customHeight="1" x14ac:dyDescent="0.2">
      <c r="A120" s="2014">
        <v>79</v>
      </c>
      <c r="B120" s="2080" t="s">
        <v>215</v>
      </c>
      <c r="C120" s="2064" t="s">
        <v>916</v>
      </c>
      <c r="D120" s="2056">
        <v>15000000</v>
      </c>
      <c r="E120" s="2078">
        <v>4.4999999999999998E-2</v>
      </c>
      <c r="F120" s="2056">
        <f t="shared" si="10"/>
        <v>675000</v>
      </c>
      <c r="G120" s="482">
        <v>675000</v>
      </c>
      <c r="H120" s="2558" t="s">
        <v>2141</v>
      </c>
      <c r="I120" s="24" t="s">
        <v>1875</v>
      </c>
      <c r="J120" s="2558">
        <f t="shared" si="13"/>
        <v>675000</v>
      </c>
      <c r="K120" s="2558">
        <f t="shared" si="14"/>
        <v>0</v>
      </c>
      <c r="L120" s="2080"/>
      <c r="M120" s="406"/>
      <c r="N120" s="406"/>
      <c r="O120" s="406"/>
      <c r="P120" s="406"/>
    </row>
    <row r="121" spans="1:16" ht="30" customHeight="1" x14ac:dyDescent="0.2">
      <c r="A121" s="2014">
        <v>80</v>
      </c>
      <c r="B121" s="2080" t="s">
        <v>185</v>
      </c>
      <c r="C121" s="2064" t="s">
        <v>1348</v>
      </c>
      <c r="D121" s="2056">
        <v>145000000</v>
      </c>
      <c r="E121" s="2078">
        <v>4.4999999999999998E-2</v>
      </c>
      <c r="F121" s="2056">
        <v>6775000</v>
      </c>
      <c r="G121" s="482">
        <v>6775000</v>
      </c>
      <c r="H121" s="2558" t="s">
        <v>4062</v>
      </c>
      <c r="I121" s="2552" t="s">
        <v>4067</v>
      </c>
      <c r="J121" s="2558">
        <f t="shared" si="13"/>
        <v>6775000</v>
      </c>
      <c r="K121" s="2558">
        <f t="shared" si="14"/>
        <v>0</v>
      </c>
      <c r="L121" s="2080"/>
      <c r="M121" s="406"/>
      <c r="N121" s="406"/>
      <c r="O121" s="406"/>
      <c r="P121" s="406"/>
    </row>
    <row r="122" spans="1:16" ht="30" customHeight="1" x14ac:dyDescent="0.2">
      <c r="A122" s="2014">
        <v>81</v>
      </c>
      <c r="B122" s="2080" t="s">
        <v>216</v>
      </c>
      <c r="C122" s="2064"/>
      <c r="D122" s="2056">
        <v>5000000</v>
      </c>
      <c r="E122" s="2078">
        <v>0.04</v>
      </c>
      <c r="F122" s="2056">
        <f t="shared" si="10"/>
        <v>200000</v>
      </c>
      <c r="G122" s="482">
        <v>200000</v>
      </c>
      <c r="H122" s="2558" t="s">
        <v>4105</v>
      </c>
      <c r="I122" s="24" t="s">
        <v>1435</v>
      </c>
      <c r="J122" s="2558">
        <f t="shared" si="13"/>
        <v>200000</v>
      </c>
      <c r="K122" s="2558">
        <f t="shared" si="14"/>
        <v>0</v>
      </c>
      <c r="L122" s="2080"/>
      <c r="M122" s="406"/>
      <c r="N122" s="406"/>
      <c r="O122" s="406"/>
      <c r="P122" s="406"/>
    </row>
    <row r="123" spans="1:16" ht="30" customHeight="1" x14ac:dyDescent="0.2">
      <c r="A123" s="2014">
        <v>82</v>
      </c>
      <c r="B123" s="2080" t="s">
        <v>217</v>
      </c>
      <c r="C123" s="2064"/>
      <c r="D123" s="2056">
        <v>16000000</v>
      </c>
      <c r="E123" s="2078">
        <v>0.05</v>
      </c>
      <c r="F123" s="2056">
        <f t="shared" si="10"/>
        <v>800000</v>
      </c>
      <c r="G123" s="482">
        <v>800000</v>
      </c>
      <c r="H123" s="2558" t="s">
        <v>4062</v>
      </c>
      <c r="I123" s="2602" t="s">
        <v>993</v>
      </c>
      <c r="J123" s="2558">
        <f t="shared" si="13"/>
        <v>800000</v>
      </c>
      <c r="K123" s="2558">
        <f t="shared" si="14"/>
        <v>0</v>
      </c>
      <c r="L123" s="2080"/>
      <c r="M123" s="406"/>
      <c r="N123" s="406"/>
      <c r="O123" s="406"/>
      <c r="P123" s="406"/>
    </row>
    <row r="124" spans="1:16" ht="30" customHeight="1" x14ac:dyDescent="0.2">
      <c r="A124" s="2014">
        <v>83</v>
      </c>
      <c r="B124" s="2080" t="s">
        <v>218</v>
      </c>
      <c r="C124" s="2064" t="s">
        <v>1110</v>
      </c>
      <c r="D124" s="2056">
        <v>160000000</v>
      </c>
      <c r="E124" s="2078">
        <v>0.05</v>
      </c>
      <c r="F124" s="2056">
        <f>D124*E124</f>
        <v>8000000</v>
      </c>
      <c r="G124" s="482">
        <v>8000000</v>
      </c>
      <c r="H124" s="2558" t="s">
        <v>4105</v>
      </c>
      <c r="I124" s="2552" t="s">
        <v>4122</v>
      </c>
      <c r="J124" s="2558">
        <f t="shared" si="13"/>
        <v>8000000</v>
      </c>
      <c r="K124" s="2558">
        <f t="shared" si="14"/>
        <v>0</v>
      </c>
      <c r="L124" s="2080"/>
      <c r="M124" s="406"/>
      <c r="N124" s="406"/>
      <c r="O124" s="406"/>
      <c r="P124" s="406"/>
    </row>
    <row r="125" spans="1:16" ht="30" customHeight="1" x14ac:dyDescent="0.2">
      <c r="A125" s="2014">
        <v>84</v>
      </c>
      <c r="B125" s="2080" t="s">
        <v>219</v>
      </c>
      <c r="C125" s="2064"/>
      <c r="D125" s="2056">
        <v>400000000</v>
      </c>
      <c r="E125" s="2078">
        <v>6.0999999999999999E-2</v>
      </c>
      <c r="F125" s="2056">
        <f t="shared" si="10"/>
        <v>24400000</v>
      </c>
      <c r="G125" s="482">
        <v>24400000</v>
      </c>
      <c r="H125" s="2558" t="s">
        <v>2141</v>
      </c>
      <c r="I125" s="2602" t="s">
        <v>1646</v>
      </c>
      <c r="J125" s="2558">
        <f t="shared" si="13"/>
        <v>24400000</v>
      </c>
      <c r="K125" s="2558">
        <f t="shared" si="14"/>
        <v>0</v>
      </c>
      <c r="L125" s="2080"/>
      <c r="M125" s="406"/>
      <c r="N125" s="406"/>
      <c r="O125" s="406"/>
      <c r="P125" s="406"/>
    </row>
    <row r="126" spans="1:16" ht="30" customHeight="1" x14ac:dyDescent="0.2">
      <c r="A126" s="3450"/>
      <c r="B126" s="3457" t="s">
        <v>1004</v>
      </c>
      <c r="C126" s="3570" t="s">
        <v>916</v>
      </c>
      <c r="D126" s="3442">
        <v>850000000</v>
      </c>
      <c r="E126" s="3444">
        <f>F126/D126</f>
        <v>6.1647058823529409E-2</v>
      </c>
      <c r="F126" s="3442">
        <v>52400000</v>
      </c>
      <c r="G126" s="2780">
        <v>52400000</v>
      </c>
      <c r="H126" s="2557" t="s">
        <v>4062</v>
      </c>
      <c r="I126" s="2557" t="s">
        <v>2674</v>
      </c>
      <c r="J126" s="2557">
        <f>G126+G127</f>
        <v>52400000</v>
      </c>
      <c r="K126" s="2557">
        <f>F126-J126</f>
        <v>0</v>
      </c>
      <c r="L126" s="3570"/>
      <c r="M126" s="406"/>
      <c r="N126" s="406"/>
      <c r="O126" s="406"/>
      <c r="P126" s="406"/>
    </row>
    <row r="127" spans="1:16" ht="30" customHeight="1" x14ac:dyDescent="0.2">
      <c r="A127" s="3451"/>
      <c r="B127" s="3458"/>
      <c r="C127" s="3571"/>
      <c r="D127" s="3443"/>
      <c r="E127" s="3445"/>
      <c r="F127" s="3443"/>
      <c r="G127" s="2734"/>
      <c r="H127" s="2558"/>
      <c r="I127" s="2558"/>
      <c r="J127" s="2558"/>
      <c r="K127" s="2558"/>
      <c r="L127" s="3571"/>
      <c r="M127" s="406"/>
      <c r="N127" s="406"/>
      <c r="O127" s="406"/>
      <c r="P127" s="406"/>
    </row>
    <row r="128" spans="1:16" ht="30" customHeight="1" x14ac:dyDescent="0.2">
      <c r="A128" s="2014">
        <v>86</v>
      </c>
      <c r="B128" s="22" t="s">
        <v>220</v>
      </c>
      <c r="C128" s="2079" t="s">
        <v>916</v>
      </c>
      <c r="D128" s="2065">
        <v>111000000</v>
      </c>
      <c r="E128" s="2078">
        <v>0.05</v>
      </c>
      <c r="F128" s="2065">
        <f t="shared" ref="F128" si="15">D128*E128</f>
        <v>5550000</v>
      </c>
      <c r="G128" s="561">
        <v>5550000</v>
      </c>
      <c r="H128" s="2552" t="s">
        <v>4062</v>
      </c>
      <c r="I128" s="2552" t="s">
        <v>4111</v>
      </c>
      <c r="J128" s="2552">
        <f>G128</f>
        <v>5550000</v>
      </c>
      <c r="K128" s="2552">
        <f>F128-J128</f>
        <v>0</v>
      </c>
      <c r="L128" s="192" t="s">
        <v>4053</v>
      </c>
      <c r="M128" s="406"/>
      <c r="N128" s="406"/>
      <c r="O128" s="406"/>
      <c r="P128" s="406"/>
    </row>
    <row r="129" spans="1:16" ht="30" customHeight="1" x14ac:dyDescent="0.2">
      <c r="A129" s="1984"/>
      <c r="B129" s="2049" t="s">
        <v>177</v>
      </c>
      <c r="C129" s="2064" t="s">
        <v>916</v>
      </c>
      <c r="D129" s="2056">
        <v>723000000</v>
      </c>
      <c r="E129" s="2053">
        <f>F129/D129</f>
        <v>6.5560165975103737E-2</v>
      </c>
      <c r="F129" s="2056">
        <v>47400000</v>
      </c>
      <c r="G129" s="482">
        <v>47400000</v>
      </c>
      <c r="H129" s="2558" t="s">
        <v>1964</v>
      </c>
      <c r="I129" s="21" t="s">
        <v>3196</v>
      </c>
      <c r="J129" s="2558">
        <f>G129</f>
        <v>47400000</v>
      </c>
      <c r="K129" s="2558">
        <f>F129-J129</f>
        <v>0</v>
      </c>
      <c r="L129" s="3688"/>
      <c r="M129" s="3689"/>
      <c r="N129" s="3689"/>
      <c r="O129" s="3689"/>
      <c r="P129" s="3690"/>
    </row>
    <row r="130" spans="1:16" ht="30" customHeight="1" x14ac:dyDescent="0.2">
      <c r="A130" s="2014">
        <v>88</v>
      </c>
      <c r="B130" s="2080" t="s">
        <v>221</v>
      </c>
      <c r="C130" s="2064" t="s">
        <v>1350</v>
      </c>
      <c r="D130" s="2056">
        <v>45000000</v>
      </c>
      <c r="E130" s="2078">
        <v>0.04</v>
      </c>
      <c r="F130" s="2056">
        <v>2050000</v>
      </c>
      <c r="G130" s="482">
        <v>2050000</v>
      </c>
      <c r="H130" s="2558" t="s">
        <v>4062</v>
      </c>
      <c r="I130" s="21" t="s">
        <v>779</v>
      </c>
      <c r="J130" s="2558">
        <f>G130</f>
        <v>2050000</v>
      </c>
      <c r="K130" s="2558">
        <f>F130-J130</f>
        <v>0</v>
      </c>
      <c r="L130" s="2080"/>
      <c r="M130" s="406"/>
      <c r="N130" s="406"/>
      <c r="O130" s="406"/>
      <c r="P130" s="406"/>
    </row>
    <row r="131" spans="1:16" ht="30" customHeight="1" x14ac:dyDescent="0.2">
      <c r="A131" s="3450">
        <v>89</v>
      </c>
      <c r="B131" s="3457" t="s">
        <v>222</v>
      </c>
      <c r="C131" s="3570" t="s">
        <v>1348</v>
      </c>
      <c r="D131" s="2065">
        <v>93000000</v>
      </c>
      <c r="E131" s="2078">
        <v>7.0000000000000007E-2</v>
      </c>
      <c r="F131" s="2065">
        <v>6500000</v>
      </c>
      <c r="G131" s="2781">
        <v>30200000</v>
      </c>
      <c r="H131" s="2598" t="s">
        <v>2141</v>
      </c>
      <c r="I131" s="2598" t="s">
        <v>2800</v>
      </c>
      <c r="J131" s="2557">
        <f>G131</f>
        <v>30200000</v>
      </c>
      <c r="K131" s="2557">
        <v>0</v>
      </c>
      <c r="L131" s="192"/>
      <c r="M131" s="406"/>
      <c r="N131" s="406"/>
      <c r="O131" s="406"/>
      <c r="P131" s="406"/>
    </row>
    <row r="132" spans="1:16" ht="30" customHeight="1" x14ac:dyDescent="0.2">
      <c r="A132" s="3451"/>
      <c r="B132" s="3458"/>
      <c r="C132" s="3571"/>
      <c r="D132" s="2065">
        <v>450000000</v>
      </c>
      <c r="E132" s="2078">
        <v>0.05</v>
      </c>
      <c r="F132" s="2056">
        <f>D132*E132</f>
        <v>22500000</v>
      </c>
      <c r="G132" s="2782"/>
      <c r="H132" s="2599"/>
      <c r="I132" s="2599"/>
      <c r="J132" s="2558"/>
      <c r="K132" s="2558"/>
      <c r="L132" s="33" t="s">
        <v>3454</v>
      </c>
      <c r="M132" s="406"/>
      <c r="N132" s="406"/>
      <c r="O132" s="406"/>
      <c r="P132" s="406"/>
    </row>
    <row r="133" spans="1:16" ht="30" customHeight="1" x14ac:dyDescent="0.2">
      <c r="A133" s="3450">
        <v>90</v>
      </c>
      <c r="B133" s="3457" t="s">
        <v>223</v>
      </c>
      <c r="C133" s="3570" t="s">
        <v>1215</v>
      </c>
      <c r="D133" s="2056">
        <v>130000000</v>
      </c>
      <c r="E133" s="2078">
        <v>7.0000000000000007E-2</v>
      </c>
      <c r="F133" s="2056">
        <f>D133*E133</f>
        <v>9100000</v>
      </c>
      <c r="G133" s="2780">
        <v>14460000</v>
      </c>
      <c r="H133" s="2557" t="s">
        <v>4105</v>
      </c>
      <c r="I133" s="2564" t="s">
        <v>4095</v>
      </c>
      <c r="J133" s="2557">
        <f>G133</f>
        <v>14460000</v>
      </c>
      <c r="K133" s="2557">
        <f>(F133+F134)-J133</f>
        <v>0</v>
      </c>
      <c r="L133" s="3525"/>
      <c r="M133" s="406"/>
      <c r="N133" s="406"/>
      <c r="O133" s="406"/>
      <c r="P133" s="406"/>
    </row>
    <row r="134" spans="1:16" ht="30" customHeight="1" x14ac:dyDescent="0.2">
      <c r="A134" s="3451"/>
      <c r="B134" s="3458"/>
      <c r="C134" s="3571"/>
      <c r="D134" s="2056">
        <v>100000000</v>
      </c>
      <c r="E134" s="2078">
        <v>5.3999999999999999E-2</v>
      </c>
      <c r="F134" s="2056">
        <v>5360000</v>
      </c>
      <c r="G134" s="2734"/>
      <c r="H134" s="2558"/>
      <c r="I134" s="2565"/>
      <c r="J134" s="2558"/>
      <c r="K134" s="2558"/>
      <c r="L134" s="3526"/>
      <c r="M134" s="406"/>
      <c r="N134" s="406"/>
      <c r="O134" s="406"/>
      <c r="P134" s="406"/>
    </row>
    <row r="135" spans="1:16" ht="30" customHeight="1" x14ac:dyDescent="0.2">
      <c r="A135" s="3450">
        <v>91</v>
      </c>
      <c r="B135" s="3457" t="s">
        <v>224</v>
      </c>
      <c r="C135" s="3570"/>
      <c r="D135" s="2056">
        <v>50000000</v>
      </c>
      <c r="E135" s="2078">
        <v>0.05</v>
      </c>
      <c r="F135" s="2056">
        <f t="shared" si="10"/>
        <v>2500000</v>
      </c>
      <c r="G135" s="2780">
        <v>3500000</v>
      </c>
      <c r="H135" s="2557" t="s">
        <v>4105</v>
      </c>
      <c r="I135" s="2574" t="s">
        <v>787</v>
      </c>
      <c r="J135" s="2557">
        <f>G135</f>
        <v>3500000</v>
      </c>
      <c r="K135" s="2557">
        <f>F135-J135</f>
        <v>-1000000</v>
      </c>
      <c r="L135" s="33" t="s">
        <v>4130</v>
      </c>
      <c r="M135" s="406"/>
      <c r="N135" s="406"/>
      <c r="O135" s="406"/>
      <c r="P135" s="406"/>
    </row>
    <row r="136" spans="1:16" ht="30" customHeight="1" x14ac:dyDescent="0.2">
      <c r="A136" s="3451"/>
      <c r="B136" s="3458"/>
      <c r="C136" s="3571"/>
      <c r="D136" s="2056">
        <v>30000000</v>
      </c>
      <c r="E136" s="2078">
        <v>0.05</v>
      </c>
      <c r="F136" s="2056">
        <f>D136*E136</f>
        <v>1500000</v>
      </c>
      <c r="G136" s="2734"/>
      <c r="H136" s="2558"/>
      <c r="I136" s="2575"/>
      <c r="J136" s="2558"/>
      <c r="K136" s="2558"/>
      <c r="L136" s="192" t="s">
        <v>4054</v>
      </c>
      <c r="M136" s="406"/>
      <c r="N136" s="406"/>
      <c r="O136" s="406"/>
      <c r="P136" s="406"/>
    </row>
    <row r="137" spans="1:16" ht="30" customHeight="1" x14ac:dyDescent="0.2">
      <c r="A137" s="3450">
        <v>92</v>
      </c>
      <c r="B137" s="3525" t="s">
        <v>770</v>
      </c>
      <c r="C137" s="2079" t="s">
        <v>916</v>
      </c>
      <c r="D137" s="2065">
        <v>450000000</v>
      </c>
      <c r="E137" s="2078">
        <f>F137/D137</f>
        <v>5.3222222222222219E-2</v>
      </c>
      <c r="F137" s="2065">
        <v>23950000</v>
      </c>
      <c r="G137" s="561">
        <v>23950000</v>
      </c>
      <c r="H137" s="2552" t="s">
        <v>2141</v>
      </c>
      <c r="I137" s="2593" t="s">
        <v>3144</v>
      </c>
      <c r="J137" s="2552">
        <f>G137</f>
        <v>23950000</v>
      </c>
      <c r="K137" s="2552">
        <f>F137-J137</f>
        <v>0</v>
      </c>
      <c r="L137" s="2076"/>
      <c r="M137" s="406"/>
      <c r="N137" s="406"/>
      <c r="O137" s="406"/>
      <c r="P137" s="406"/>
    </row>
    <row r="138" spans="1:16" ht="30" customHeight="1" x14ac:dyDescent="0.2">
      <c r="A138" s="3456"/>
      <c r="B138" s="3643"/>
      <c r="C138" s="3570" t="s">
        <v>1342</v>
      </c>
      <c r="D138" s="2056">
        <v>273000000</v>
      </c>
      <c r="E138" s="2053">
        <f>F138/D138</f>
        <v>5.4615384615384614E-2</v>
      </c>
      <c r="F138" s="2056">
        <v>14910000</v>
      </c>
      <c r="G138" s="2780">
        <v>19910000</v>
      </c>
      <c r="H138" s="2557" t="s">
        <v>4216</v>
      </c>
      <c r="I138" s="2557" t="s">
        <v>3144</v>
      </c>
      <c r="J138" s="2557">
        <f>G138</f>
        <v>19910000</v>
      </c>
      <c r="K138" s="2557">
        <f>(F138+F139)-J138</f>
        <v>0</v>
      </c>
      <c r="L138" s="192" t="s">
        <v>3741</v>
      </c>
      <c r="M138" s="406"/>
      <c r="N138" s="406"/>
      <c r="O138" s="406"/>
      <c r="P138" s="406"/>
    </row>
    <row r="139" spans="1:16" ht="30" customHeight="1" x14ac:dyDescent="0.2">
      <c r="A139" s="3451"/>
      <c r="B139" s="3643"/>
      <c r="C139" s="3576"/>
      <c r="D139" s="2082">
        <v>100000000</v>
      </c>
      <c r="E139" s="2051">
        <v>0.05</v>
      </c>
      <c r="F139" s="2054">
        <f>D139*E139</f>
        <v>5000000</v>
      </c>
      <c r="G139" s="2734"/>
      <c r="H139" s="2558"/>
      <c r="I139" s="2558"/>
      <c r="J139" s="2558"/>
      <c r="K139" s="2558"/>
      <c r="L139" s="192" t="s">
        <v>3742</v>
      </c>
      <c r="M139" s="406"/>
      <c r="N139" s="406"/>
      <c r="O139" s="406"/>
      <c r="P139" s="406"/>
    </row>
    <row r="140" spans="1:16" ht="30" customHeight="1" x14ac:dyDescent="0.2">
      <c r="A140" s="1984"/>
      <c r="B140" s="22" t="s">
        <v>225</v>
      </c>
      <c r="C140" s="2079"/>
      <c r="D140" s="2065">
        <v>50000000</v>
      </c>
      <c r="E140" s="2065"/>
      <c r="F140" s="2065"/>
      <c r="G140" s="2728"/>
      <c r="H140" s="247"/>
      <c r="I140" s="247"/>
      <c r="J140" s="247"/>
      <c r="K140" s="2552"/>
      <c r="L140" s="168" t="s">
        <v>4055</v>
      </c>
      <c r="M140" s="406"/>
      <c r="N140" s="406"/>
      <c r="O140" s="406"/>
      <c r="P140" s="406"/>
    </row>
    <row r="141" spans="1:16" ht="30" customHeight="1" x14ac:dyDescent="0.2">
      <c r="A141" s="2014">
        <v>94</v>
      </c>
      <c r="B141" s="2080" t="s">
        <v>1182</v>
      </c>
      <c r="C141" s="2064"/>
      <c r="D141" s="2056">
        <v>25000000</v>
      </c>
      <c r="E141" s="2078">
        <v>0.04</v>
      </c>
      <c r="F141" s="2056">
        <f>D141*E141</f>
        <v>1000000</v>
      </c>
      <c r="G141" s="482">
        <v>1000000</v>
      </c>
      <c r="H141" s="2558" t="s">
        <v>4156</v>
      </c>
      <c r="I141" s="24" t="s">
        <v>1184</v>
      </c>
      <c r="J141" s="2558">
        <f>G141</f>
        <v>1000000</v>
      </c>
      <c r="K141" s="2558">
        <f t="shared" ref="K141:K147" si="16">F141-J141</f>
        <v>0</v>
      </c>
      <c r="L141" s="2080"/>
      <c r="M141" s="406"/>
      <c r="N141" s="406"/>
      <c r="O141" s="406"/>
      <c r="P141" s="406"/>
    </row>
    <row r="142" spans="1:16" ht="30" customHeight="1" x14ac:dyDescent="0.2">
      <c r="A142" s="1984"/>
      <c r="B142" s="22" t="s">
        <v>226</v>
      </c>
      <c r="C142" s="2079"/>
      <c r="D142" s="2065">
        <v>355000000</v>
      </c>
      <c r="E142" s="2078">
        <v>0.05</v>
      </c>
      <c r="F142" s="2065">
        <f>D142*E142</f>
        <v>17750000</v>
      </c>
      <c r="G142" s="561">
        <v>17500000</v>
      </c>
      <c r="H142" s="2552" t="s">
        <v>2141</v>
      </c>
      <c r="I142" s="2593" t="s">
        <v>3567</v>
      </c>
      <c r="J142" s="2552">
        <f>G142</f>
        <v>17500000</v>
      </c>
      <c r="K142" s="2552">
        <f t="shared" si="16"/>
        <v>250000</v>
      </c>
      <c r="L142" s="421" t="s">
        <v>1672</v>
      </c>
      <c r="M142" s="406"/>
      <c r="N142" s="406"/>
      <c r="O142" s="406"/>
      <c r="P142" s="406"/>
    </row>
    <row r="143" spans="1:16" ht="30" customHeight="1" x14ac:dyDescent="0.2">
      <c r="A143" s="2014">
        <v>96</v>
      </c>
      <c r="B143" s="2080" t="s">
        <v>227</v>
      </c>
      <c r="C143" s="2064"/>
      <c r="D143" s="2056">
        <v>70000000</v>
      </c>
      <c r="E143" s="2078">
        <v>0.05</v>
      </c>
      <c r="F143" s="2056">
        <f>D143*E143</f>
        <v>3500000</v>
      </c>
      <c r="G143" s="482"/>
      <c r="H143" s="2558"/>
      <c r="I143" s="2552" t="s">
        <v>1512</v>
      </c>
      <c r="J143" s="2558">
        <f>F143</f>
        <v>3500000</v>
      </c>
      <c r="K143" s="2558">
        <f t="shared" si="16"/>
        <v>0</v>
      </c>
      <c r="L143" s="2080"/>
      <c r="M143" s="406"/>
      <c r="N143" s="406"/>
      <c r="O143" s="406"/>
      <c r="P143" s="406"/>
    </row>
    <row r="144" spans="1:16" ht="30" customHeight="1" x14ac:dyDescent="0.2">
      <c r="A144" s="2014">
        <v>97</v>
      </c>
      <c r="B144" s="2080" t="s">
        <v>228</v>
      </c>
      <c r="C144" s="2064"/>
      <c r="D144" s="2056">
        <v>100000000</v>
      </c>
      <c r="E144" s="2078">
        <v>0.04</v>
      </c>
      <c r="F144" s="2056">
        <f t="shared" ref="F144:F145" si="17">D144*E144</f>
        <v>4000000</v>
      </c>
      <c r="G144" s="482"/>
      <c r="H144" s="2558"/>
      <c r="I144" s="24"/>
      <c r="J144" s="2558"/>
      <c r="K144" s="2558">
        <f t="shared" si="16"/>
        <v>4000000</v>
      </c>
      <c r="L144" s="2080"/>
      <c r="M144" s="406"/>
      <c r="N144" s="406"/>
      <c r="O144" s="406"/>
      <c r="P144" s="406"/>
    </row>
    <row r="145" spans="1:16" ht="30" customHeight="1" x14ac:dyDescent="0.2">
      <c r="A145" s="2014">
        <v>98</v>
      </c>
      <c r="B145" s="2080" t="s">
        <v>229</v>
      </c>
      <c r="C145" s="2064"/>
      <c r="D145" s="2056">
        <v>20000000</v>
      </c>
      <c r="E145" s="2078">
        <v>0.05</v>
      </c>
      <c r="F145" s="2056">
        <f t="shared" si="17"/>
        <v>1000000</v>
      </c>
      <c r="G145" s="482"/>
      <c r="H145" s="2558"/>
      <c r="I145" s="2552" t="s">
        <v>812</v>
      </c>
      <c r="J145" s="2558">
        <f>G145</f>
        <v>0</v>
      </c>
      <c r="K145" s="2558">
        <f t="shared" si="16"/>
        <v>1000000</v>
      </c>
      <c r="L145" s="2080"/>
      <c r="M145" s="406"/>
      <c r="N145" s="406"/>
      <c r="O145" s="406"/>
      <c r="P145" s="406"/>
    </row>
    <row r="146" spans="1:16" ht="30" customHeight="1" x14ac:dyDescent="0.2">
      <c r="A146" s="2014">
        <v>99</v>
      </c>
      <c r="B146" s="2080" t="s">
        <v>230</v>
      </c>
      <c r="C146" s="2064" t="s">
        <v>1352</v>
      </c>
      <c r="D146" s="2056">
        <v>100000000</v>
      </c>
      <c r="E146" s="2078">
        <v>0.04</v>
      </c>
      <c r="F146" s="2056">
        <f>D146*E146</f>
        <v>4000000</v>
      </c>
      <c r="G146" s="482">
        <v>4000000</v>
      </c>
      <c r="H146" s="2558" t="s">
        <v>4076</v>
      </c>
      <c r="I146" s="2602" t="s">
        <v>3539</v>
      </c>
      <c r="J146" s="2558">
        <f>G146</f>
        <v>4000000</v>
      </c>
      <c r="K146" s="2558">
        <f t="shared" si="16"/>
        <v>0</v>
      </c>
      <c r="L146" s="2080"/>
      <c r="M146" s="406"/>
      <c r="N146" s="406"/>
      <c r="O146" s="406"/>
      <c r="P146" s="406"/>
    </row>
    <row r="147" spans="1:16" ht="30" customHeight="1" x14ac:dyDescent="0.2">
      <c r="A147" s="2014">
        <v>100</v>
      </c>
      <c r="B147" s="2080" t="s">
        <v>231</v>
      </c>
      <c r="C147" s="2064" t="s">
        <v>401</v>
      </c>
      <c r="D147" s="2056">
        <v>101000000</v>
      </c>
      <c r="E147" s="2078">
        <v>5.0999999999999997E-2</v>
      </c>
      <c r="F147" s="2056">
        <v>5100000</v>
      </c>
      <c r="G147" s="482"/>
      <c r="H147" s="2558"/>
      <c r="I147" s="24" t="s">
        <v>2994</v>
      </c>
      <c r="J147" s="2558">
        <f>G147</f>
        <v>0</v>
      </c>
      <c r="K147" s="2558">
        <f t="shared" si="16"/>
        <v>5100000</v>
      </c>
      <c r="L147" s="2080"/>
      <c r="M147" s="406"/>
      <c r="N147" s="406"/>
      <c r="O147" s="406"/>
      <c r="P147" s="406"/>
    </row>
    <row r="148" spans="1:16" ht="30" customHeight="1" x14ac:dyDescent="0.2">
      <c r="A148" s="3497"/>
      <c r="B148" s="3457" t="s">
        <v>180</v>
      </c>
      <c r="C148" s="3570" t="s">
        <v>1110</v>
      </c>
      <c r="D148" s="3442">
        <v>100000000</v>
      </c>
      <c r="E148" s="3444">
        <v>0.06</v>
      </c>
      <c r="F148" s="3442">
        <f>D148*E148</f>
        <v>6000000</v>
      </c>
      <c r="G148" s="2729"/>
      <c r="H148" s="247"/>
      <c r="I148" s="247"/>
      <c r="J148" s="247"/>
      <c r="K148" s="2558"/>
      <c r="L148" s="2075" t="s">
        <v>3438</v>
      </c>
      <c r="M148" s="406"/>
      <c r="N148" s="406"/>
      <c r="O148" s="406"/>
      <c r="P148" s="406"/>
    </row>
    <row r="149" spans="1:16" ht="30" customHeight="1" x14ac:dyDescent="0.2">
      <c r="A149" s="3498"/>
      <c r="B149" s="3458"/>
      <c r="C149" s="3571"/>
      <c r="D149" s="3443"/>
      <c r="E149" s="3445"/>
      <c r="F149" s="3443"/>
      <c r="G149" s="482"/>
      <c r="H149" s="247"/>
      <c r="I149" s="247"/>
      <c r="J149" s="247"/>
      <c r="K149" s="2558"/>
      <c r="L149" s="2075" t="s">
        <v>4056</v>
      </c>
      <c r="M149" s="406"/>
      <c r="N149" s="406"/>
      <c r="O149" s="406"/>
      <c r="P149" s="406"/>
    </row>
    <row r="150" spans="1:16" s="1593" customFormat="1" ht="30" customHeight="1" x14ac:dyDescent="0.2">
      <c r="A150" s="2014"/>
      <c r="B150" s="22" t="s">
        <v>233</v>
      </c>
      <c r="C150" s="2079" t="s">
        <v>1215</v>
      </c>
      <c r="D150" s="2065">
        <v>37000000</v>
      </c>
      <c r="E150" s="2078">
        <v>5.5E-2</v>
      </c>
      <c r="F150" s="2065">
        <v>2000000</v>
      </c>
      <c r="G150" s="561"/>
      <c r="H150" s="2552"/>
      <c r="I150" s="2552" t="s">
        <v>1644</v>
      </c>
      <c r="J150" s="2552">
        <f>G150</f>
        <v>0</v>
      </c>
      <c r="K150" s="2552">
        <f>F150-J150</f>
        <v>2000000</v>
      </c>
      <c r="L150" s="168" t="s">
        <v>3512</v>
      </c>
      <c r="M150" s="9"/>
      <c r="N150" s="9"/>
      <c r="O150" s="9"/>
      <c r="P150" s="9"/>
    </row>
    <row r="151" spans="1:16" ht="30" customHeight="1" x14ac:dyDescent="0.2">
      <c r="A151" s="1984">
        <v>104</v>
      </c>
      <c r="B151" s="2049" t="s">
        <v>234</v>
      </c>
      <c r="C151" s="2064" t="s">
        <v>1215</v>
      </c>
      <c r="D151" s="2056">
        <v>20000000</v>
      </c>
      <c r="E151" s="2053">
        <v>0.05</v>
      </c>
      <c r="F151" s="2056">
        <f t="shared" si="10"/>
        <v>1000000</v>
      </c>
      <c r="G151" s="482">
        <v>1000000</v>
      </c>
      <c r="H151" s="2558" t="s">
        <v>4105</v>
      </c>
      <c r="I151" s="24" t="s">
        <v>3573</v>
      </c>
      <c r="J151" s="2558">
        <f>G151</f>
        <v>1000000</v>
      </c>
      <c r="K151" s="2558">
        <f>F151-J151</f>
        <v>0</v>
      </c>
      <c r="L151" s="2049"/>
      <c r="M151" s="406"/>
      <c r="N151" s="406"/>
      <c r="O151" s="406"/>
      <c r="P151" s="406"/>
    </row>
    <row r="152" spans="1:16" ht="30" customHeight="1" x14ac:dyDescent="0.2">
      <c r="A152" s="3450">
        <v>105</v>
      </c>
      <c r="B152" s="3677" t="s">
        <v>235</v>
      </c>
      <c r="C152" s="3570"/>
      <c r="D152" s="3505"/>
      <c r="E152" s="3507"/>
      <c r="F152" s="3505">
        <f t="shared" ref="F152:F184" si="18">D152*E152</f>
        <v>0</v>
      </c>
      <c r="G152" s="482"/>
      <c r="H152" s="2558"/>
      <c r="I152" s="24" t="s">
        <v>795</v>
      </c>
      <c r="J152" s="2558">
        <f>G152</f>
        <v>0</v>
      </c>
      <c r="K152" s="2562">
        <f>F152-J152</f>
        <v>0</v>
      </c>
      <c r="L152" s="1985"/>
    </row>
    <row r="153" spans="1:16" ht="30" customHeight="1" x14ac:dyDescent="0.2">
      <c r="A153" s="3451"/>
      <c r="B153" s="3679"/>
      <c r="C153" s="3571"/>
      <c r="D153" s="3506"/>
      <c r="E153" s="3508"/>
      <c r="F153" s="3506"/>
      <c r="G153" s="482"/>
      <c r="H153" s="2558"/>
      <c r="I153" s="24" t="s">
        <v>3685</v>
      </c>
      <c r="J153" s="2558">
        <f>G153</f>
        <v>0</v>
      </c>
      <c r="K153" s="2562"/>
      <c r="L153" s="1994" t="s">
        <v>3686</v>
      </c>
    </row>
    <row r="154" spans="1:16" ht="30" customHeight="1" x14ac:dyDescent="0.2">
      <c r="A154" s="2014">
        <v>107</v>
      </c>
      <c r="B154" s="2080" t="s">
        <v>237</v>
      </c>
      <c r="C154" s="2064"/>
      <c r="D154" s="2056">
        <v>65000000</v>
      </c>
      <c r="E154" s="2078">
        <v>3.4000000000000002E-2</v>
      </c>
      <c r="F154" s="2056">
        <v>2200000</v>
      </c>
      <c r="G154" s="482">
        <v>2200000</v>
      </c>
      <c r="H154" s="2558" t="s">
        <v>4059</v>
      </c>
      <c r="I154" s="2552" t="s">
        <v>821</v>
      </c>
      <c r="J154" s="2558">
        <f t="shared" ref="J154:J160" si="19">G154</f>
        <v>2200000</v>
      </c>
      <c r="K154" s="2558">
        <f t="shared" ref="K154:K160" si="20">F154-J154</f>
        <v>0</v>
      </c>
      <c r="L154" s="2413" t="s">
        <v>4414</v>
      </c>
    </row>
    <row r="155" spans="1:16" ht="30" customHeight="1" x14ac:dyDescent="0.2">
      <c r="A155" s="1982">
        <v>108</v>
      </c>
      <c r="B155" s="2080" t="s">
        <v>238</v>
      </c>
      <c r="C155" s="2079"/>
      <c r="D155" s="2065">
        <v>1430000000</v>
      </c>
      <c r="E155" s="2078">
        <v>5.5E-2</v>
      </c>
      <c r="F155" s="2065">
        <f t="shared" si="18"/>
        <v>78650000</v>
      </c>
      <c r="G155" s="561">
        <v>78650000</v>
      </c>
      <c r="H155" s="2552" t="s">
        <v>2141</v>
      </c>
      <c r="I155" s="2593" t="s">
        <v>4107</v>
      </c>
      <c r="J155" s="2552">
        <f t="shared" si="19"/>
        <v>78650000</v>
      </c>
      <c r="K155" s="2552">
        <f t="shared" si="20"/>
        <v>0</v>
      </c>
      <c r="L155" s="2079"/>
    </row>
    <row r="156" spans="1:16" ht="30" customHeight="1" x14ac:dyDescent="0.2">
      <c r="A156" s="2014">
        <v>109</v>
      </c>
      <c r="B156" s="2049" t="s">
        <v>239</v>
      </c>
      <c r="C156" s="2064"/>
      <c r="D156" s="2056">
        <v>1000000000</v>
      </c>
      <c r="E156" s="2053">
        <v>0.05</v>
      </c>
      <c r="F156" s="2056">
        <f t="shared" si="18"/>
        <v>50000000</v>
      </c>
      <c r="G156" s="482">
        <v>50000000</v>
      </c>
      <c r="H156" s="2558" t="s">
        <v>4133</v>
      </c>
      <c r="I156" s="24" t="s">
        <v>2750</v>
      </c>
      <c r="J156" s="2558">
        <f t="shared" si="19"/>
        <v>50000000</v>
      </c>
      <c r="K156" s="2558">
        <f t="shared" si="20"/>
        <v>0</v>
      </c>
      <c r="L156" s="2049"/>
    </row>
    <row r="157" spans="1:16" ht="30" customHeight="1" x14ac:dyDescent="0.2">
      <c r="A157" s="2014">
        <v>110</v>
      </c>
      <c r="B157" s="2076" t="s">
        <v>1960</v>
      </c>
      <c r="C157" s="2063" t="s">
        <v>1347</v>
      </c>
      <c r="D157" s="2055">
        <v>14000000</v>
      </c>
      <c r="E157" s="2051">
        <v>4.2999999999999997E-2</v>
      </c>
      <c r="F157" s="2056">
        <v>600000</v>
      </c>
      <c r="G157" s="482">
        <v>600000</v>
      </c>
      <c r="H157" s="2558" t="s">
        <v>4249</v>
      </c>
      <c r="I157" s="24" t="s">
        <v>1972</v>
      </c>
      <c r="J157" s="2552">
        <f t="shared" si="19"/>
        <v>600000</v>
      </c>
      <c r="K157" s="2552">
        <f t="shared" si="20"/>
        <v>0</v>
      </c>
      <c r="L157" s="22"/>
    </row>
    <row r="158" spans="1:16" ht="30" customHeight="1" x14ac:dyDescent="0.2">
      <c r="A158" s="1984"/>
      <c r="B158" s="22" t="s">
        <v>240</v>
      </c>
      <c r="C158" s="2079" t="s">
        <v>401</v>
      </c>
      <c r="D158" s="2065">
        <v>30000000</v>
      </c>
      <c r="E158" s="2078">
        <v>0.05</v>
      </c>
      <c r="F158" s="2056">
        <f>D158*E158</f>
        <v>1500000</v>
      </c>
      <c r="G158" s="561">
        <v>1500000</v>
      </c>
      <c r="H158" s="2552" t="s">
        <v>4062</v>
      </c>
      <c r="I158" s="2552" t="s">
        <v>4066</v>
      </c>
      <c r="J158" s="2552">
        <f t="shared" si="19"/>
        <v>1500000</v>
      </c>
      <c r="K158" s="2558">
        <f t="shared" si="20"/>
        <v>0</v>
      </c>
      <c r="L158" s="2061" t="s">
        <v>3586</v>
      </c>
    </row>
    <row r="159" spans="1:16" ht="30" customHeight="1" x14ac:dyDescent="0.2">
      <c r="A159" s="2014">
        <v>112</v>
      </c>
      <c r="B159" s="2080" t="s">
        <v>241</v>
      </c>
      <c r="C159" s="2079"/>
      <c r="D159" s="2056">
        <v>40000000</v>
      </c>
      <c r="E159" s="2078">
        <v>0.05</v>
      </c>
      <c r="F159" s="2056">
        <f t="shared" si="18"/>
        <v>2000000</v>
      </c>
      <c r="G159" s="482">
        <v>2000000</v>
      </c>
      <c r="H159" s="2558" t="s">
        <v>4062</v>
      </c>
      <c r="I159" s="2602" t="s">
        <v>3601</v>
      </c>
      <c r="J159" s="2558">
        <f t="shared" si="19"/>
        <v>2000000</v>
      </c>
      <c r="K159" s="2558">
        <f t="shared" si="20"/>
        <v>0</v>
      </c>
      <c r="L159" s="2080"/>
    </row>
    <row r="160" spans="1:16" ht="30" customHeight="1" x14ac:dyDescent="0.2">
      <c r="A160" s="1984"/>
      <c r="B160" s="2048" t="s">
        <v>242</v>
      </c>
      <c r="C160" s="2079" t="s">
        <v>411</v>
      </c>
      <c r="D160" s="2056">
        <v>250000000</v>
      </c>
      <c r="E160" s="2078">
        <v>0.05</v>
      </c>
      <c r="F160" s="2056">
        <f>D160*E160</f>
        <v>12500000</v>
      </c>
      <c r="G160" s="561">
        <v>12500000</v>
      </c>
      <c r="H160" s="2552" t="s">
        <v>4105</v>
      </c>
      <c r="I160" s="2552" t="s">
        <v>4129</v>
      </c>
      <c r="J160" s="2552">
        <f t="shared" si="19"/>
        <v>12500000</v>
      </c>
      <c r="K160" s="2558">
        <f t="shared" si="20"/>
        <v>0</v>
      </c>
      <c r="L160" s="2061" t="s">
        <v>2907</v>
      </c>
    </row>
    <row r="161" spans="1:12" ht="30" customHeight="1" x14ac:dyDescent="0.2">
      <c r="A161" s="2014">
        <v>114</v>
      </c>
      <c r="B161" s="2080" t="s">
        <v>243</v>
      </c>
      <c r="C161" s="2064"/>
      <c r="D161" s="2056">
        <v>100000000</v>
      </c>
      <c r="E161" s="2078">
        <v>4.4999999999999998E-2</v>
      </c>
      <c r="F161" s="2056">
        <f t="shared" si="18"/>
        <v>4500000</v>
      </c>
      <c r="G161" s="482"/>
      <c r="H161" s="2558"/>
      <c r="I161" s="89"/>
      <c r="J161" s="2558">
        <f>G161</f>
        <v>0</v>
      </c>
      <c r="K161" s="2558">
        <f>F161-J161</f>
        <v>4500000</v>
      </c>
      <c r="L161" s="2080"/>
    </row>
    <row r="162" spans="1:12" ht="30" customHeight="1" x14ac:dyDescent="0.2">
      <c r="A162" s="2042">
        <v>115</v>
      </c>
      <c r="B162" s="2076" t="s">
        <v>244</v>
      </c>
      <c r="C162" s="2063" t="s">
        <v>1175</v>
      </c>
      <c r="D162" s="2054">
        <v>20000000</v>
      </c>
      <c r="E162" s="2051">
        <v>0.05</v>
      </c>
      <c r="F162" s="2054">
        <f t="shared" si="18"/>
        <v>1000000</v>
      </c>
      <c r="G162" s="482"/>
      <c r="H162" s="2558"/>
      <c r="I162" s="24" t="s">
        <v>1444</v>
      </c>
      <c r="J162" s="2558">
        <f>G162</f>
        <v>0</v>
      </c>
      <c r="K162" s="2558">
        <f>F162-J162</f>
        <v>1000000</v>
      </c>
      <c r="L162" s="2060"/>
    </row>
    <row r="163" spans="1:12" ht="30" customHeight="1" x14ac:dyDescent="0.2">
      <c r="A163" s="1081"/>
      <c r="B163" s="22" t="s">
        <v>246</v>
      </c>
      <c r="C163" s="2079" t="s">
        <v>916</v>
      </c>
      <c r="D163" s="2065">
        <v>445000000</v>
      </c>
      <c r="E163" s="2078">
        <v>4.4999999999999998E-2</v>
      </c>
      <c r="F163" s="2065">
        <v>20000000</v>
      </c>
      <c r="G163" s="482">
        <v>20000000</v>
      </c>
      <c r="H163" s="2558" t="s">
        <v>4330</v>
      </c>
      <c r="I163" s="89" t="s">
        <v>2780</v>
      </c>
      <c r="J163" s="2558">
        <f>G163</f>
        <v>20000000</v>
      </c>
      <c r="K163" s="2558">
        <f>F163-J163</f>
        <v>0</v>
      </c>
      <c r="L163" s="2086" t="s">
        <v>4410</v>
      </c>
    </row>
    <row r="164" spans="1:12" ht="30" customHeight="1" x14ac:dyDescent="0.2">
      <c r="A164" s="3450">
        <v>118</v>
      </c>
      <c r="B164" s="3457" t="s">
        <v>247</v>
      </c>
      <c r="C164" s="3570" t="s">
        <v>1746</v>
      </c>
      <c r="D164" s="2056">
        <v>20000000</v>
      </c>
      <c r="E164" s="2053">
        <v>0.05</v>
      </c>
      <c r="F164" s="2056">
        <f t="shared" si="18"/>
        <v>1000000</v>
      </c>
      <c r="G164" s="482">
        <v>1000000</v>
      </c>
      <c r="H164" s="2558" t="s">
        <v>4184</v>
      </c>
      <c r="I164" s="89" t="s">
        <v>625</v>
      </c>
      <c r="J164" s="2558">
        <f>G164</f>
        <v>1000000</v>
      </c>
      <c r="K164" s="2558">
        <f>F164-J164</f>
        <v>0</v>
      </c>
      <c r="L164" s="2331" t="s">
        <v>4367</v>
      </c>
    </row>
    <row r="165" spans="1:12" ht="30" customHeight="1" x14ac:dyDescent="0.2">
      <c r="A165" s="3456"/>
      <c r="B165" s="3459"/>
      <c r="C165" s="3571"/>
      <c r="D165" s="1452"/>
      <c r="E165" s="1716"/>
      <c r="F165" s="1658"/>
      <c r="G165" s="482">
        <v>20000000</v>
      </c>
      <c r="H165" s="2558" t="s">
        <v>3160</v>
      </c>
      <c r="I165" s="89" t="s">
        <v>3665</v>
      </c>
      <c r="J165" s="2552">
        <f>G165</f>
        <v>20000000</v>
      </c>
      <c r="K165" s="2552">
        <v>0</v>
      </c>
      <c r="L165" s="2331" t="s">
        <v>4368</v>
      </c>
    </row>
    <row r="166" spans="1:12" ht="30" customHeight="1" x14ac:dyDescent="0.2">
      <c r="A166" s="3451"/>
      <c r="B166" s="3458"/>
      <c r="C166" s="2222" t="s">
        <v>4366</v>
      </c>
      <c r="D166" s="2208">
        <v>33000000</v>
      </c>
      <c r="E166" s="2306">
        <v>0.05</v>
      </c>
      <c r="F166" s="2208">
        <f>D166*E166</f>
        <v>1650000</v>
      </c>
      <c r="G166" s="482"/>
      <c r="H166" s="2558"/>
      <c r="I166" s="89"/>
      <c r="J166" s="2560"/>
      <c r="K166" s="2560"/>
      <c r="L166" s="2210"/>
    </row>
    <row r="167" spans="1:12" ht="30" customHeight="1" x14ac:dyDescent="0.2">
      <c r="A167" s="3450">
        <v>120</v>
      </c>
      <c r="B167" s="3457" t="s">
        <v>249</v>
      </c>
      <c r="C167" s="3570" t="s">
        <v>379</v>
      </c>
      <c r="D167" s="3442">
        <v>617000000</v>
      </c>
      <c r="E167" s="3444">
        <v>7.0000000000000007E-2</v>
      </c>
      <c r="F167" s="3442">
        <v>43200000</v>
      </c>
      <c r="G167" s="561">
        <v>10000000</v>
      </c>
      <c r="H167" s="2552" t="s">
        <v>4177</v>
      </c>
      <c r="I167" s="2593" t="s">
        <v>3000</v>
      </c>
      <c r="J167" s="2557">
        <f>G167+G168</f>
        <v>43200000</v>
      </c>
      <c r="K167" s="2557">
        <f>F167-J167</f>
        <v>0</v>
      </c>
      <c r="L167" s="3525"/>
    </row>
    <row r="168" spans="1:12" ht="30" customHeight="1" x14ac:dyDescent="0.2">
      <c r="A168" s="3451"/>
      <c r="B168" s="3458"/>
      <c r="C168" s="3571"/>
      <c r="D168" s="3443"/>
      <c r="E168" s="3445"/>
      <c r="F168" s="3443"/>
      <c r="G168" s="482">
        <v>33200000</v>
      </c>
      <c r="H168" s="2558" t="s">
        <v>4201</v>
      </c>
      <c r="I168" s="2593" t="s">
        <v>3000</v>
      </c>
      <c r="J168" s="2558"/>
      <c r="K168" s="2558"/>
      <c r="L168" s="3526"/>
    </row>
    <row r="169" spans="1:12" ht="30" customHeight="1" x14ac:dyDescent="0.2">
      <c r="A169" s="2014">
        <v>122</v>
      </c>
      <c r="B169" s="2080" t="s">
        <v>251</v>
      </c>
      <c r="C169" s="2064"/>
      <c r="D169" s="2056">
        <v>50000000</v>
      </c>
      <c r="E169" s="2078">
        <v>4.4999999999999998E-2</v>
      </c>
      <c r="F169" s="2056">
        <f t="shared" si="18"/>
        <v>2250000</v>
      </c>
      <c r="G169" s="482">
        <v>2250000</v>
      </c>
      <c r="H169" s="2558" t="s">
        <v>4156</v>
      </c>
      <c r="I169" s="21" t="s">
        <v>1661</v>
      </c>
      <c r="J169" s="2558">
        <f>G169</f>
        <v>2250000</v>
      </c>
      <c r="K169" s="2558">
        <f>F169-J169</f>
        <v>0</v>
      </c>
      <c r="L169" s="2080"/>
    </row>
    <row r="170" spans="1:12" ht="30" customHeight="1" x14ac:dyDescent="0.2">
      <c r="A170" s="3450">
        <v>123</v>
      </c>
      <c r="B170" s="3457" t="s">
        <v>1744</v>
      </c>
      <c r="C170" s="3570" t="s">
        <v>1219</v>
      </c>
      <c r="D170" s="1992">
        <v>60000000</v>
      </c>
      <c r="E170" s="2013">
        <v>0.05</v>
      </c>
      <c r="F170" s="1992">
        <f t="shared" si="18"/>
        <v>3000000</v>
      </c>
      <c r="G170" s="2780"/>
      <c r="H170" s="2557"/>
      <c r="I170" s="2564" t="s">
        <v>3670</v>
      </c>
      <c r="J170" s="2557">
        <f>G170</f>
        <v>0</v>
      </c>
      <c r="K170" s="2557">
        <f>(F170+F171)-J170</f>
        <v>4400000</v>
      </c>
      <c r="L170" s="3525"/>
    </row>
    <row r="171" spans="1:12" ht="30" customHeight="1" x14ac:dyDescent="0.2">
      <c r="A171" s="3456"/>
      <c r="B171" s="3459"/>
      <c r="C171" s="3576"/>
      <c r="D171" s="1992">
        <v>20000000</v>
      </c>
      <c r="E171" s="2013">
        <v>7.0000000000000007E-2</v>
      </c>
      <c r="F171" s="1992">
        <f t="shared" si="18"/>
        <v>1400000.0000000002</v>
      </c>
      <c r="G171" s="2734"/>
      <c r="H171" s="2558"/>
      <c r="I171" s="2565"/>
      <c r="J171" s="2558"/>
      <c r="K171" s="2558"/>
      <c r="L171" s="3526"/>
    </row>
    <row r="172" spans="1:12" ht="30" customHeight="1" x14ac:dyDescent="0.2">
      <c r="A172" s="3456"/>
      <c r="B172" s="3459"/>
      <c r="C172" s="3576"/>
      <c r="D172" s="3442">
        <v>52000000</v>
      </c>
      <c r="E172" s="3444">
        <v>0.05</v>
      </c>
      <c r="F172" s="3442">
        <f>D172*E172</f>
        <v>2600000</v>
      </c>
      <c r="G172" s="1452"/>
      <c r="H172" s="1716"/>
      <c r="I172" s="1716"/>
      <c r="J172" s="1658"/>
      <c r="K172" s="2558"/>
      <c r="L172" s="2086" t="s">
        <v>3883</v>
      </c>
    </row>
    <row r="173" spans="1:12" ht="30" customHeight="1" x14ac:dyDescent="0.2">
      <c r="A173" s="3456"/>
      <c r="B173" s="3459"/>
      <c r="C173" s="3576"/>
      <c r="D173" s="3461"/>
      <c r="E173" s="3474"/>
      <c r="F173" s="3461"/>
      <c r="G173" s="2780">
        <v>6600000</v>
      </c>
      <c r="H173" s="2557" t="s">
        <v>4184</v>
      </c>
      <c r="I173" s="2557" t="s">
        <v>588</v>
      </c>
      <c r="J173" s="2557">
        <f>G173</f>
        <v>6600000</v>
      </c>
      <c r="K173" s="2557">
        <v>0</v>
      </c>
      <c r="L173" s="2086" t="s">
        <v>3884</v>
      </c>
    </row>
    <row r="174" spans="1:12" ht="30" customHeight="1" x14ac:dyDescent="0.2">
      <c r="A174" s="3456"/>
      <c r="B174" s="3459"/>
      <c r="C174" s="3576"/>
      <c r="D174" s="3461"/>
      <c r="E174" s="3474"/>
      <c r="F174" s="3461"/>
      <c r="G174" s="2737"/>
      <c r="H174" s="2560"/>
      <c r="I174" s="2560"/>
      <c r="J174" s="2560"/>
      <c r="K174" s="2560"/>
      <c r="L174" s="2086" t="s">
        <v>3885</v>
      </c>
    </row>
    <row r="175" spans="1:12" ht="30" customHeight="1" x14ac:dyDescent="0.2">
      <c r="A175" s="3451"/>
      <c r="B175" s="3458"/>
      <c r="C175" s="3571"/>
      <c r="D175" s="3443"/>
      <c r="E175" s="3445"/>
      <c r="F175" s="3443"/>
      <c r="G175" s="2734"/>
      <c r="H175" s="2558"/>
      <c r="I175" s="2558"/>
      <c r="J175" s="2558"/>
      <c r="K175" s="2558"/>
      <c r="L175" s="2086" t="s">
        <v>3886</v>
      </c>
    </row>
    <row r="176" spans="1:12" ht="30" customHeight="1" x14ac:dyDescent="0.2">
      <c r="A176" s="2014">
        <v>124</v>
      </c>
      <c r="B176" s="2080" t="s">
        <v>253</v>
      </c>
      <c r="C176" s="2064" t="s">
        <v>401</v>
      </c>
      <c r="D176" s="2056">
        <v>200000000</v>
      </c>
      <c r="E176" s="2078">
        <v>0.05</v>
      </c>
      <c r="F176" s="2056">
        <f t="shared" si="18"/>
        <v>10000000</v>
      </c>
      <c r="G176" s="482">
        <v>10000000</v>
      </c>
      <c r="H176" s="2558" t="s">
        <v>2141</v>
      </c>
      <c r="I176" s="21" t="s">
        <v>1473</v>
      </c>
      <c r="J176" s="2558">
        <f>G176</f>
        <v>10000000</v>
      </c>
      <c r="K176" s="2558">
        <f>F176-J176</f>
        <v>0</v>
      </c>
      <c r="L176" s="2080"/>
    </row>
    <row r="177" spans="1:12" ht="30" customHeight="1" x14ac:dyDescent="0.2">
      <c r="A177" s="2042">
        <v>125</v>
      </c>
      <c r="B177" s="2076" t="s">
        <v>254</v>
      </c>
      <c r="C177" s="2079"/>
      <c r="D177" s="2065">
        <v>160000000</v>
      </c>
      <c r="E177" s="2078">
        <v>7.0000000000000007E-2</v>
      </c>
      <c r="F177" s="2065">
        <v>11000000</v>
      </c>
      <c r="G177" s="482">
        <v>11000000</v>
      </c>
      <c r="H177" s="2558" t="s">
        <v>2141</v>
      </c>
      <c r="I177" s="24" t="s">
        <v>1723</v>
      </c>
      <c r="J177" s="2558">
        <f>G177</f>
        <v>11000000</v>
      </c>
      <c r="K177" s="2558">
        <f>F177-J177</f>
        <v>0</v>
      </c>
      <c r="L177" s="2080"/>
    </row>
    <row r="178" spans="1:12" ht="30" customHeight="1" x14ac:dyDescent="0.2">
      <c r="A178" s="2014">
        <v>126</v>
      </c>
      <c r="B178" s="2080" t="s">
        <v>255</v>
      </c>
      <c r="C178" s="2064" t="s">
        <v>411</v>
      </c>
      <c r="D178" s="2056">
        <v>180000000</v>
      </c>
      <c r="E178" s="2053">
        <v>4.4999999999999998E-2</v>
      </c>
      <c r="F178" s="2056">
        <f t="shared" si="18"/>
        <v>8100000</v>
      </c>
      <c r="G178" s="482">
        <v>8100000</v>
      </c>
      <c r="H178" s="2558" t="s">
        <v>4105</v>
      </c>
      <c r="I178" s="24" t="s">
        <v>632</v>
      </c>
      <c r="J178" s="2558">
        <f>G178</f>
        <v>8100000</v>
      </c>
      <c r="K178" s="2558">
        <f>F178-J178</f>
        <v>0</v>
      </c>
      <c r="L178" s="2080"/>
    </row>
    <row r="179" spans="1:12" ht="30" customHeight="1" x14ac:dyDescent="0.2">
      <c r="A179" s="3450">
        <v>127</v>
      </c>
      <c r="B179" s="3457" t="s">
        <v>256</v>
      </c>
      <c r="C179" s="3570" t="s">
        <v>916</v>
      </c>
      <c r="D179" s="3442">
        <v>800000000</v>
      </c>
      <c r="E179" s="3444">
        <v>0.05</v>
      </c>
      <c r="F179" s="3442">
        <f t="shared" si="18"/>
        <v>40000000</v>
      </c>
      <c r="G179" s="2780">
        <v>40000000</v>
      </c>
      <c r="H179" s="2557" t="s">
        <v>1263</v>
      </c>
      <c r="I179" s="2564" t="s">
        <v>2674</v>
      </c>
      <c r="J179" s="2557">
        <f>G179+G180</f>
        <v>40000000</v>
      </c>
      <c r="K179" s="2557">
        <f>F179-J179</f>
        <v>0</v>
      </c>
      <c r="L179" s="3525"/>
    </row>
    <row r="180" spans="1:12" ht="30" customHeight="1" x14ac:dyDescent="0.2">
      <c r="A180" s="3451"/>
      <c r="B180" s="3458"/>
      <c r="C180" s="3571"/>
      <c r="D180" s="3443"/>
      <c r="E180" s="3445"/>
      <c r="F180" s="3443"/>
      <c r="G180" s="2734"/>
      <c r="H180" s="2558"/>
      <c r="I180" s="2565"/>
      <c r="J180" s="2558"/>
      <c r="K180" s="2558"/>
      <c r="L180" s="3526"/>
    </row>
    <row r="181" spans="1:12" ht="30" customHeight="1" x14ac:dyDescent="0.2">
      <c r="A181" s="2014">
        <v>128</v>
      </c>
      <c r="B181" s="2017" t="s">
        <v>257</v>
      </c>
      <c r="C181" s="2002"/>
      <c r="D181" s="1997"/>
      <c r="E181" s="44"/>
      <c r="F181" s="1997">
        <f t="shared" si="18"/>
        <v>0</v>
      </c>
      <c r="G181" s="482"/>
      <c r="H181" s="2558"/>
      <c r="I181" s="24"/>
      <c r="J181" s="2558">
        <f>G181</f>
        <v>0</v>
      </c>
      <c r="K181" s="2562">
        <f>F181-J181</f>
        <v>0</v>
      </c>
      <c r="L181" s="2017"/>
    </row>
    <row r="182" spans="1:12" ht="30" customHeight="1" x14ac:dyDescent="0.2">
      <c r="A182" s="2014">
        <v>129</v>
      </c>
      <c r="B182" s="22" t="s">
        <v>258</v>
      </c>
      <c r="C182" s="2079" t="s">
        <v>1138</v>
      </c>
      <c r="D182" s="2065">
        <v>200000000</v>
      </c>
      <c r="E182" s="2078">
        <v>0.06</v>
      </c>
      <c r="F182" s="2065">
        <f>D182*E182</f>
        <v>12000000</v>
      </c>
      <c r="G182" s="482">
        <v>12000000</v>
      </c>
      <c r="H182" s="2558" t="s">
        <v>4286</v>
      </c>
      <c r="I182" s="24" t="s">
        <v>3387</v>
      </c>
      <c r="J182" s="2558">
        <f>G182</f>
        <v>12000000</v>
      </c>
      <c r="K182" s="2558">
        <f>F182-J182</f>
        <v>0</v>
      </c>
      <c r="L182" s="2086"/>
    </row>
    <row r="183" spans="1:12" ht="30" customHeight="1" x14ac:dyDescent="0.2">
      <c r="A183" s="2014"/>
      <c r="B183" s="22" t="s">
        <v>1213</v>
      </c>
      <c r="C183" s="2079" t="s">
        <v>1354</v>
      </c>
      <c r="D183" s="2065">
        <v>150000000</v>
      </c>
      <c r="E183" s="2078">
        <v>0.05</v>
      </c>
      <c r="F183" s="2065">
        <f>D183*E183</f>
        <v>7500000</v>
      </c>
      <c r="G183" s="561">
        <v>5000000</v>
      </c>
      <c r="H183" s="2552" t="s">
        <v>4201</v>
      </c>
      <c r="I183" s="2552" t="s">
        <v>1792</v>
      </c>
      <c r="J183" s="2552">
        <f>G183</f>
        <v>5000000</v>
      </c>
      <c r="K183" s="2552">
        <f>F183-J183</f>
        <v>2500000</v>
      </c>
      <c r="L183" s="2086" t="s">
        <v>4209</v>
      </c>
    </row>
    <row r="184" spans="1:12" ht="30" customHeight="1" x14ac:dyDescent="0.2">
      <c r="A184" s="3450">
        <v>131</v>
      </c>
      <c r="B184" s="3457" t="s">
        <v>259</v>
      </c>
      <c r="C184" s="3570"/>
      <c r="D184" s="2056">
        <v>200000000</v>
      </c>
      <c r="E184" s="2053">
        <v>0.05</v>
      </c>
      <c r="F184" s="2056">
        <f t="shared" si="18"/>
        <v>10000000</v>
      </c>
      <c r="G184" s="482">
        <v>10000000</v>
      </c>
      <c r="H184" s="2558" t="s">
        <v>2141</v>
      </c>
      <c r="I184" s="2572" t="s">
        <v>3572</v>
      </c>
      <c r="J184" s="2558">
        <f>G184</f>
        <v>10000000</v>
      </c>
      <c r="K184" s="2558">
        <f>F184-J184</f>
        <v>0</v>
      </c>
      <c r="L184" s="2086"/>
    </row>
    <row r="185" spans="1:12" ht="30" customHeight="1" x14ac:dyDescent="0.2">
      <c r="A185" s="3451"/>
      <c r="B185" s="3458"/>
      <c r="C185" s="3571"/>
      <c r="D185" s="2159">
        <v>400000000</v>
      </c>
      <c r="E185" s="2157"/>
      <c r="F185" s="2159"/>
      <c r="G185" s="1452"/>
      <c r="H185" s="1716"/>
      <c r="I185" s="1716"/>
      <c r="J185" s="1658"/>
      <c r="K185" s="2558"/>
      <c r="L185" s="2161"/>
    </row>
    <row r="186" spans="1:12" ht="30" customHeight="1" x14ac:dyDescent="0.2">
      <c r="A186" s="3450"/>
      <c r="B186" s="3457" t="s">
        <v>1266</v>
      </c>
      <c r="C186" s="3570" t="s">
        <v>1746</v>
      </c>
      <c r="D186" s="3442">
        <v>490000000</v>
      </c>
      <c r="E186" s="3444">
        <v>0.05</v>
      </c>
      <c r="F186" s="3442">
        <f>D186*E186</f>
        <v>24500000</v>
      </c>
      <c r="G186" s="2728">
        <v>14500000</v>
      </c>
      <c r="H186" s="2558" t="s">
        <v>4133</v>
      </c>
      <c r="I186" s="2572" t="s">
        <v>1268</v>
      </c>
      <c r="J186" s="2558">
        <f>10000000+G186</f>
        <v>24500000</v>
      </c>
      <c r="K186" s="2558">
        <f>F186-J186</f>
        <v>0</v>
      </c>
      <c r="L186" s="2060" t="s">
        <v>4057</v>
      </c>
    </row>
    <row r="187" spans="1:12" ht="30" customHeight="1" x14ac:dyDescent="0.2">
      <c r="A187" s="3451"/>
      <c r="B187" s="3458"/>
      <c r="C187" s="3571"/>
      <c r="D187" s="3443"/>
      <c r="E187" s="3445"/>
      <c r="F187" s="3443"/>
      <c r="G187" s="2728">
        <v>10000000</v>
      </c>
      <c r="H187" s="2558" t="s">
        <v>4270</v>
      </c>
      <c r="I187" s="2572" t="s">
        <v>1268</v>
      </c>
      <c r="J187" s="2558">
        <f>G187</f>
        <v>10000000</v>
      </c>
      <c r="K187" s="2558"/>
      <c r="L187" s="2060" t="s">
        <v>4271</v>
      </c>
    </row>
    <row r="188" spans="1:12" ht="30" customHeight="1" x14ac:dyDescent="0.2">
      <c r="A188" s="2014">
        <v>133</v>
      </c>
      <c r="B188" s="2049" t="s">
        <v>178</v>
      </c>
      <c r="C188" s="2064" t="s">
        <v>1817</v>
      </c>
      <c r="D188" s="2056">
        <v>100000000</v>
      </c>
      <c r="E188" s="2053">
        <v>0.05</v>
      </c>
      <c r="F188" s="2056">
        <f t="shared" ref="F188:F274" si="21">D188*E188</f>
        <v>5000000</v>
      </c>
      <c r="G188" s="482">
        <v>5000000</v>
      </c>
      <c r="H188" s="2558" t="s">
        <v>4105</v>
      </c>
      <c r="I188" s="24" t="s">
        <v>534</v>
      </c>
      <c r="J188" s="2558">
        <f>G188</f>
        <v>5000000</v>
      </c>
      <c r="K188" s="2558">
        <f>F188-J188</f>
        <v>0</v>
      </c>
      <c r="L188" s="2060" t="s">
        <v>3247</v>
      </c>
    </row>
    <row r="189" spans="1:12" ht="30" customHeight="1" x14ac:dyDescent="0.2">
      <c r="A189" s="1982">
        <v>134</v>
      </c>
      <c r="B189" s="2076" t="s">
        <v>169</v>
      </c>
      <c r="C189" s="2079" t="s">
        <v>1746</v>
      </c>
      <c r="D189" s="2065">
        <v>110000000</v>
      </c>
      <c r="E189" s="2078">
        <v>0.04</v>
      </c>
      <c r="F189" s="2065">
        <f t="shared" si="21"/>
        <v>4400000</v>
      </c>
      <c r="G189" s="482">
        <v>4400000</v>
      </c>
      <c r="H189" s="2558" t="s">
        <v>4156</v>
      </c>
      <c r="I189" s="24" t="s">
        <v>4241</v>
      </c>
      <c r="J189" s="2557">
        <f>G189</f>
        <v>4400000</v>
      </c>
      <c r="K189" s="2557">
        <f>F189-J189</f>
        <v>0</v>
      </c>
      <c r="L189" s="2062"/>
    </row>
    <row r="190" spans="1:12" ht="30" customHeight="1" x14ac:dyDescent="0.2">
      <c r="A190" s="3450">
        <v>135</v>
      </c>
      <c r="B190" s="3457" t="s">
        <v>7</v>
      </c>
      <c r="C190" s="2079" t="s">
        <v>401</v>
      </c>
      <c r="D190" s="2056">
        <v>100000000</v>
      </c>
      <c r="E190" s="2078">
        <v>0.05</v>
      </c>
      <c r="F190" s="2056">
        <f t="shared" si="21"/>
        <v>5000000</v>
      </c>
      <c r="G190" s="482">
        <v>5000000</v>
      </c>
      <c r="H190" s="2558" t="s">
        <v>2141</v>
      </c>
      <c r="I190" s="30" t="s">
        <v>1642</v>
      </c>
      <c r="J190" s="2557">
        <f>G190+G191</f>
        <v>11000000</v>
      </c>
      <c r="K190" s="2557">
        <f>(F190+F191)-J190</f>
        <v>0</v>
      </c>
      <c r="L190" s="3525"/>
    </row>
    <row r="191" spans="1:12" ht="30" customHeight="1" x14ac:dyDescent="0.2">
      <c r="A191" s="3451"/>
      <c r="B191" s="3458"/>
      <c r="C191" s="2079" t="s">
        <v>1354</v>
      </c>
      <c r="D191" s="2056">
        <v>124000000</v>
      </c>
      <c r="E191" s="2078">
        <v>4.9000000000000002E-2</v>
      </c>
      <c r="F191" s="2056">
        <v>6000000</v>
      </c>
      <c r="G191" s="482">
        <v>6000000</v>
      </c>
      <c r="H191" s="2558" t="s">
        <v>4249</v>
      </c>
      <c r="I191" s="57" t="s">
        <v>1642</v>
      </c>
      <c r="J191" s="2558"/>
      <c r="K191" s="2558"/>
      <c r="L191" s="3526"/>
    </row>
    <row r="192" spans="1:12" ht="30" customHeight="1" x14ac:dyDescent="0.2">
      <c r="A192" s="2014">
        <v>136</v>
      </c>
      <c r="B192" s="3457" t="s">
        <v>4142</v>
      </c>
      <c r="C192" s="3686"/>
      <c r="D192" s="3505"/>
      <c r="E192" s="3507"/>
      <c r="F192" s="3505">
        <f t="shared" si="21"/>
        <v>0</v>
      </c>
      <c r="G192" s="482">
        <v>57000000</v>
      </c>
      <c r="H192" s="2558" t="s">
        <v>4062</v>
      </c>
      <c r="I192" s="28" t="s">
        <v>4108</v>
      </c>
      <c r="J192" s="2558">
        <f>G192</f>
        <v>57000000</v>
      </c>
      <c r="K192" s="2562">
        <f>F192-J192</f>
        <v>-57000000</v>
      </c>
      <c r="L192" s="1993" t="s">
        <v>3297</v>
      </c>
    </row>
    <row r="193" spans="1:12" ht="30" customHeight="1" x14ac:dyDescent="0.2">
      <c r="A193" s="2300"/>
      <c r="B193" s="3459"/>
      <c r="C193" s="3686"/>
      <c r="D193" s="3549"/>
      <c r="E193" s="3550"/>
      <c r="F193" s="3549"/>
      <c r="G193" s="561">
        <v>140000000</v>
      </c>
      <c r="H193" s="2552" t="s">
        <v>4133</v>
      </c>
      <c r="I193" s="248" t="s">
        <v>4108</v>
      </c>
      <c r="J193" s="2552">
        <f>G193</f>
        <v>140000000</v>
      </c>
      <c r="K193" s="2570"/>
      <c r="L193" s="2331"/>
    </row>
    <row r="194" spans="1:12" ht="30" customHeight="1" x14ac:dyDescent="0.2">
      <c r="A194" s="2300"/>
      <c r="B194" s="3458"/>
      <c r="C194" s="3686"/>
      <c r="D194" s="3506"/>
      <c r="E194" s="3508"/>
      <c r="F194" s="3506"/>
      <c r="G194" s="1452"/>
      <c r="H194" s="1716"/>
      <c r="I194" s="1716"/>
      <c r="J194" s="1658"/>
      <c r="K194" s="2570"/>
      <c r="L194" s="2331" t="s">
        <v>4338</v>
      </c>
    </row>
    <row r="195" spans="1:12" ht="30" customHeight="1" x14ac:dyDescent="0.2">
      <c r="A195" s="2152"/>
      <c r="B195" s="2154" t="s">
        <v>260</v>
      </c>
      <c r="C195" s="2168"/>
      <c r="D195" s="2160">
        <v>100000000</v>
      </c>
      <c r="E195" s="2171">
        <v>0.05</v>
      </c>
      <c r="F195" s="2160">
        <f>D195*E195</f>
        <v>5000000</v>
      </c>
      <c r="G195" s="483">
        <v>5000000</v>
      </c>
      <c r="H195" s="2560" t="s">
        <v>4133</v>
      </c>
      <c r="I195" s="1664" t="s">
        <v>4143</v>
      </c>
      <c r="J195" s="2560">
        <f>G195</f>
        <v>5000000</v>
      </c>
      <c r="K195" s="2560">
        <f>F195-J195</f>
        <v>0</v>
      </c>
      <c r="L195" s="2326"/>
    </row>
    <row r="196" spans="1:12" ht="30" customHeight="1" x14ac:dyDescent="0.2">
      <c r="A196" s="3450"/>
      <c r="B196" s="3457" t="s">
        <v>182</v>
      </c>
      <c r="C196" s="3570" t="s">
        <v>1219</v>
      </c>
      <c r="D196" s="2065">
        <v>80000000</v>
      </c>
      <c r="E196" s="2078">
        <v>0.05</v>
      </c>
      <c r="F196" s="2065">
        <f>D196*E196</f>
        <v>4000000</v>
      </c>
      <c r="G196" s="2780">
        <v>6100000</v>
      </c>
      <c r="H196" s="2557" t="s">
        <v>4133</v>
      </c>
      <c r="I196" s="2557" t="s">
        <v>1810</v>
      </c>
      <c r="J196" s="2557">
        <f>G196</f>
        <v>6100000</v>
      </c>
      <c r="K196" s="2557">
        <f>(F196+F197)-J196</f>
        <v>0</v>
      </c>
      <c r="L196" s="3468" t="s">
        <v>3581</v>
      </c>
    </row>
    <row r="197" spans="1:12" ht="30" customHeight="1" x14ac:dyDescent="0.2">
      <c r="A197" s="3451"/>
      <c r="B197" s="3458"/>
      <c r="C197" s="3571"/>
      <c r="D197" s="2158">
        <v>30000000</v>
      </c>
      <c r="E197" s="2156">
        <v>7.0000000000000007E-2</v>
      </c>
      <c r="F197" s="2158">
        <f>D197*E197</f>
        <v>2100000</v>
      </c>
      <c r="G197" s="2734"/>
      <c r="H197" s="2558"/>
      <c r="I197" s="2558"/>
      <c r="J197" s="2558"/>
      <c r="K197" s="2558"/>
      <c r="L197" s="3469"/>
    </row>
    <row r="198" spans="1:12" ht="30" customHeight="1" x14ac:dyDescent="0.2">
      <c r="A198" s="3450">
        <v>138</v>
      </c>
      <c r="B198" s="3457" t="s">
        <v>262</v>
      </c>
      <c r="C198" s="3570" t="s">
        <v>1215</v>
      </c>
      <c r="D198" s="3442">
        <v>1200000000</v>
      </c>
      <c r="E198" s="3444">
        <v>6.5000000000000002E-2</v>
      </c>
      <c r="F198" s="3442">
        <f t="shared" si="21"/>
        <v>78000000</v>
      </c>
      <c r="G198" s="482">
        <v>50000000</v>
      </c>
      <c r="H198" s="2552" t="s">
        <v>4156</v>
      </c>
      <c r="I198" s="2593" t="s">
        <v>542</v>
      </c>
      <c r="J198" s="2557">
        <f>G198+G199</f>
        <v>78000000</v>
      </c>
      <c r="K198" s="2557">
        <f>F198-J198</f>
        <v>0</v>
      </c>
      <c r="L198" s="3525"/>
    </row>
    <row r="199" spans="1:12" ht="30" customHeight="1" x14ac:dyDescent="0.2">
      <c r="A199" s="3456"/>
      <c r="B199" s="3459"/>
      <c r="C199" s="3576"/>
      <c r="D199" s="3443"/>
      <c r="E199" s="3445"/>
      <c r="F199" s="3443"/>
      <c r="G199" s="561">
        <v>28000000</v>
      </c>
      <c r="H199" s="2552" t="s">
        <v>4184</v>
      </c>
      <c r="I199" s="2593" t="s">
        <v>542</v>
      </c>
      <c r="J199" s="2558"/>
      <c r="K199" s="2558"/>
      <c r="L199" s="3643"/>
    </row>
    <row r="200" spans="1:12" ht="30" customHeight="1" x14ac:dyDescent="0.2">
      <c r="A200" s="3456"/>
      <c r="B200" s="3459"/>
      <c r="C200" s="3576"/>
      <c r="D200" s="2337">
        <v>150000000</v>
      </c>
      <c r="E200" s="2336">
        <v>6.5000000000000002E-2</v>
      </c>
      <c r="F200" s="2337">
        <f>D200*E200</f>
        <v>9750000</v>
      </c>
      <c r="G200" s="2754"/>
      <c r="H200" s="2755"/>
      <c r="I200" s="2755"/>
      <c r="J200" s="2756"/>
      <c r="K200" s="2558"/>
      <c r="L200" s="3606" t="s">
        <v>4375</v>
      </c>
    </row>
    <row r="201" spans="1:12" ht="30" customHeight="1" x14ac:dyDescent="0.2">
      <c r="A201" s="3451"/>
      <c r="B201" s="3458"/>
      <c r="C201" s="3571"/>
      <c r="D201" s="2337">
        <v>79600000</v>
      </c>
      <c r="E201" s="2336">
        <v>6.5000000000000002E-2</v>
      </c>
      <c r="F201" s="2337">
        <f>D201*E201</f>
        <v>5174000</v>
      </c>
      <c r="G201" s="1452"/>
      <c r="H201" s="1716"/>
      <c r="I201" s="1716"/>
      <c r="J201" s="1658"/>
      <c r="K201" s="2558"/>
      <c r="L201" s="3469"/>
    </row>
    <row r="202" spans="1:12" ht="30" customHeight="1" x14ac:dyDescent="0.2">
      <c r="A202" s="2014">
        <v>139</v>
      </c>
      <c r="B202" s="22" t="s">
        <v>163</v>
      </c>
      <c r="C202" s="2064" t="s">
        <v>1817</v>
      </c>
      <c r="D202" s="2065">
        <v>110000000</v>
      </c>
      <c r="E202" s="2078">
        <v>0.05</v>
      </c>
      <c r="F202" s="2065">
        <f t="shared" si="21"/>
        <v>5500000</v>
      </c>
      <c r="G202" s="482">
        <v>5500000</v>
      </c>
      <c r="H202" s="2558" t="s">
        <v>4105</v>
      </c>
      <c r="I202" s="30" t="s">
        <v>4095</v>
      </c>
      <c r="J202" s="2552">
        <f>G202</f>
        <v>5500000</v>
      </c>
      <c r="K202" s="2552">
        <f>F202-J202</f>
        <v>0</v>
      </c>
      <c r="L202" s="22"/>
    </row>
    <row r="203" spans="1:12" ht="30" customHeight="1" x14ac:dyDescent="0.2">
      <c r="A203" s="2014"/>
      <c r="B203" s="22" t="s">
        <v>2400</v>
      </c>
      <c r="C203" s="2064" t="s">
        <v>265</v>
      </c>
      <c r="D203" s="2065">
        <v>50000000</v>
      </c>
      <c r="E203" s="2078">
        <v>0.05</v>
      </c>
      <c r="F203" s="2065">
        <f>D203*E203</f>
        <v>2500000</v>
      </c>
      <c r="G203" s="482">
        <v>2500000</v>
      </c>
      <c r="H203" s="2558" t="s">
        <v>4201</v>
      </c>
      <c r="I203" s="30" t="s">
        <v>466</v>
      </c>
      <c r="J203" s="2552">
        <f>G203</f>
        <v>2500000</v>
      </c>
      <c r="K203" s="2552">
        <f>F203-J203</f>
        <v>0</v>
      </c>
      <c r="L203" s="22"/>
    </row>
    <row r="204" spans="1:12" ht="30" customHeight="1" x14ac:dyDescent="0.2">
      <c r="A204" s="2014">
        <v>140</v>
      </c>
      <c r="B204" s="2080" t="s">
        <v>546</v>
      </c>
      <c r="C204" s="2064" t="s">
        <v>380</v>
      </c>
      <c r="D204" s="2056">
        <v>150000000</v>
      </c>
      <c r="E204" s="2078">
        <v>0.04</v>
      </c>
      <c r="F204" s="2056">
        <f t="shared" si="21"/>
        <v>6000000</v>
      </c>
      <c r="G204" s="482">
        <v>6000000</v>
      </c>
      <c r="H204" s="2558" t="s">
        <v>4133</v>
      </c>
      <c r="I204" s="21" t="s">
        <v>2816</v>
      </c>
      <c r="J204" s="2558">
        <f>G204</f>
        <v>6000000</v>
      </c>
      <c r="K204" s="2558">
        <f>F204-J204</f>
        <v>0</v>
      </c>
      <c r="L204" s="2080"/>
    </row>
    <row r="205" spans="1:12" ht="30" customHeight="1" x14ac:dyDescent="0.2">
      <c r="A205" s="3450">
        <v>141</v>
      </c>
      <c r="B205" s="3457" t="s">
        <v>8</v>
      </c>
      <c r="C205" s="3570"/>
      <c r="D205" s="3442">
        <v>30000000</v>
      </c>
      <c r="E205" s="3444">
        <v>0.05</v>
      </c>
      <c r="F205" s="3442">
        <f t="shared" si="21"/>
        <v>1500000</v>
      </c>
      <c r="G205" s="482">
        <v>1500000</v>
      </c>
      <c r="H205" s="2558" t="s">
        <v>4068</v>
      </c>
      <c r="I205" s="24" t="s">
        <v>548</v>
      </c>
      <c r="J205" s="2558">
        <f>G205</f>
        <v>1500000</v>
      </c>
      <c r="K205" s="2558">
        <f>F205-J205</f>
        <v>0</v>
      </c>
      <c r="L205" s="2230"/>
    </row>
    <row r="206" spans="1:12" ht="30" customHeight="1" x14ac:dyDescent="0.2">
      <c r="A206" s="3451"/>
      <c r="B206" s="3458"/>
      <c r="C206" s="3571"/>
      <c r="D206" s="3443"/>
      <c r="E206" s="3445"/>
      <c r="F206" s="3443"/>
      <c r="G206" s="482">
        <v>1500000</v>
      </c>
      <c r="H206" s="2562" t="s">
        <v>4105</v>
      </c>
      <c r="I206" s="61" t="s">
        <v>548</v>
      </c>
      <c r="J206" s="2563">
        <f>G206</f>
        <v>1500000</v>
      </c>
      <c r="K206" s="2560">
        <f>F205-J206</f>
        <v>0</v>
      </c>
      <c r="L206" s="2230" t="s">
        <v>4229</v>
      </c>
    </row>
    <row r="207" spans="1:12" ht="30" customHeight="1" x14ac:dyDescent="0.2">
      <c r="A207" s="3450">
        <v>142</v>
      </c>
      <c r="B207" s="3525" t="s">
        <v>9</v>
      </c>
      <c r="C207" s="3570"/>
      <c r="D207" s="3442">
        <v>2000000000</v>
      </c>
      <c r="E207" s="3444">
        <v>0.08</v>
      </c>
      <c r="F207" s="3442">
        <f>D207*E207</f>
        <v>160000000</v>
      </c>
      <c r="G207" s="561">
        <v>50000000</v>
      </c>
      <c r="H207" s="2552" t="s">
        <v>4105</v>
      </c>
      <c r="I207" s="2552" t="s">
        <v>2057</v>
      </c>
      <c r="J207" s="2557">
        <f>G207+G208+G209+G210+G211+G212+G213+G214+G215+G216</f>
        <v>130000000</v>
      </c>
      <c r="K207" s="2557">
        <f>160000000-J207</f>
        <v>30000000</v>
      </c>
      <c r="L207" s="3468" t="s">
        <v>3514</v>
      </c>
    </row>
    <row r="208" spans="1:12" ht="30" customHeight="1" x14ac:dyDescent="0.2">
      <c r="A208" s="3456"/>
      <c r="B208" s="3643"/>
      <c r="C208" s="3576"/>
      <c r="D208" s="3461"/>
      <c r="E208" s="3474"/>
      <c r="F208" s="3461"/>
      <c r="G208" s="482">
        <v>50000000</v>
      </c>
      <c r="H208" s="2558"/>
      <c r="I208" s="2593"/>
      <c r="J208" s="2560"/>
      <c r="K208" s="2560"/>
      <c r="L208" s="3606"/>
    </row>
    <row r="209" spans="1:12" ht="30" customHeight="1" x14ac:dyDescent="0.2">
      <c r="A209" s="3456"/>
      <c r="B209" s="3643"/>
      <c r="C209" s="3576"/>
      <c r="D209" s="3461"/>
      <c r="E209" s="3474"/>
      <c r="F209" s="3461"/>
      <c r="G209" s="482">
        <v>30000000</v>
      </c>
      <c r="H209" s="2558" t="s">
        <v>1045</v>
      </c>
      <c r="I209" s="2593" t="s">
        <v>2057</v>
      </c>
      <c r="J209" s="2560"/>
      <c r="K209" s="2560"/>
      <c r="L209" s="3606"/>
    </row>
    <row r="210" spans="1:12" ht="30" customHeight="1" x14ac:dyDescent="0.2">
      <c r="A210" s="3456"/>
      <c r="B210" s="3643"/>
      <c r="C210" s="3576"/>
      <c r="D210" s="3461"/>
      <c r="E210" s="3474"/>
      <c r="F210" s="3461"/>
      <c r="G210" s="482"/>
      <c r="H210" s="2558"/>
      <c r="I210" s="2552"/>
      <c r="J210" s="2560"/>
      <c r="K210" s="2560"/>
      <c r="L210" s="3606"/>
    </row>
    <row r="211" spans="1:12" ht="30" customHeight="1" x14ac:dyDescent="0.2">
      <c r="A211" s="3456"/>
      <c r="B211" s="3643"/>
      <c r="C211" s="3576"/>
      <c r="D211" s="3461"/>
      <c r="E211" s="3474"/>
      <c r="F211" s="3461"/>
      <c r="G211" s="482"/>
      <c r="H211" s="2558"/>
      <c r="I211" s="2593"/>
      <c r="J211" s="2560"/>
      <c r="K211" s="2560"/>
      <c r="L211" s="3606"/>
    </row>
    <row r="212" spans="1:12" ht="30" customHeight="1" x14ac:dyDescent="0.2">
      <c r="A212" s="3456"/>
      <c r="B212" s="3643"/>
      <c r="C212" s="3576"/>
      <c r="D212" s="3461"/>
      <c r="E212" s="3474"/>
      <c r="F212" s="3461"/>
      <c r="G212" s="482"/>
      <c r="H212" s="2558"/>
      <c r="I212" s="2593"/>
      <c r="J212" s="2560"/>
      <c r="K212" s="2560"/>
      <c r="L212" s="3606"/>
    </row>
    <row r="213" spans="1:12" ht="30" customHeight="1" x14ac:dyDescent="0.2">
      <c r="A213" s="3456"/>
      <c r="B213" s="3643"/>
      <c r="C213" s="3576"/>
      <c r="D213" s="3461"/>
      <c r="E213" s="3474"/>
      <c r="F213" s="3461"/>
      <c r="G213" s="482"/>
      <c r="H213" s="2558"/>
      <c r="I213" s="427"/>
      <c r="J213" s="2560"/>
      <c r="K213" s="2560"/>
      <c r="L213" s="3606"/>
    </row>
    <row r="214" spans="1:12" ht="30" customHeight="1" x14ac:dyDescent="0.2">
      <c r="A214" s="3456"/>
      <c r="B214" s="3643"/>
      <c r="C214" s="3576"/>
      <c r="D214" s="3461"/>
      <c r="E214" s="3474"/>
      <c r="F214" s="3461"/>
      <c r="G214" s="482"/>
      <c r="H214" s="2558"/>
      <c r="I214" s="2593"/>
      <c r="J214" s="2560"/>
      <c r="K214" s="2560"/>
      <c r="L214" s="3606"/>
    </row>
    <row r="215" spans="1:12" ht="30" customHeight="1" x14ac:dyDescent="0.2">
      <c r="A215" s="3456"/>
      <c r="B215" s="3643"/>
      <c r="C215" s="3576"/>
      <c r="D215" s="3461"/>
      <c r="E215" s="3474"/>
      <c r="F215" s="3461"/>
      <c r="G215" s="482"/>
      <c r="H215" s="2558"/>
      <c r="I215" s="2593"/>
      <c r="J215" s="2560"/>
      <c r="K215" s="2560"/>
      <c r="L215" s="3606"/>
    </row>
    <row r="216" spans="1:12" ht="30" customHeight="1" x14ac:dyDescent="0.2">
      <c r="A216" s="3451"/>
      <c r="B216" s="3526"/>
      <c r="C216" s="3571"/>
      <c r="D216" s="3443"/>
      <c r="E216" s="3445"/>
      <c r="F216" s="3443"/>
      <c r="G216" s="482"/>
      <c r="H216" s="2558"/>
      <c r="I216" s="2593"/>
      <c r="J216" s="2558"/>
      <c r="K216" s="2558"/>
      <c r="L216" s="3469"/>
    </row>
    <row r="217" spans="1:12" ht="30" customHeight="1" x14ac:dyDescent="0.2">
      <c r="A217" s="2014">
        <v>143</v>
      </c>
      <c r="B217" s="2080" t="s">
        <v>4288</v>
      </c>
      <c r="C217" s="2064"/>
      <c r="D217" s="2056">
        <v>50000000</v>
      </c>
      <c r="E217" s="2078">
        <v>0.04</v>
      </c>
      <c r="F217" s="2056">
        <f t="shared" si="21"/>
        <v>2000000</v>
      </c>
      <c r="G217" s="482">
        <v>2000000</v>
      </c>
      <c r="H217" s="2558" t="s">
        <v>4330</v>
      </c>
      <c r="I217" s="30" t="s">
        <v>4401</v>
      </c>
      <c r="J217" s="2558">
        <f>G217</f>
        <v>2000000</v>
      </c>
      <c r="K217" s="2558">
        <f>F217-J217</f>
        <v>0</v>
      </c>
      <c r="L217" s="2086" t="s">
        <v>4402</v>
      </c>
    </row>
    <row r="218" spans="1:12" ht="30" customHeight="1" x14ac:dyDescent="0.2">
      <c r="A218" s="2014">
        <v>144</v>
      </c>
      <c r="B218" s="2080" t="s">
        <v>527</v>
      </c>
      <c r="C218" s="2064"/>
      <c r="D218" s="2056">
        <v>5000000</v>
      </c>
      <c r="E218" s="2078">
        <v>0.05</v>
      </c>
      <c r="F218" s="2056">
        <f t="shared" si="21"/>
        <v>250000</v>
      </c>
      <c r="G218" s="482">
        <v>250000</v>
      </c>
      <c r="H218" s="2558" t="s">
        <v>4062</v>
      </c>
      <c r="I218" s="24" t="s">
        <v>3569</v>
      </c>
      <c r="J218" s="2558">
        <f>G218</f>
        <v>250000</v>
      </c>
      <c r="K218" s="2558">
        <f>F218-J218</f>
        <v>0</v>
      </c>
      <c r="L218" s="2080"/>
    </row>
    <row r="219" spans="1:12" ht="30" customHeight="1" x14ac:dyDescent="0.2">
      <c r="A219" s="2014">
        <v>145</v>
      </c>
      <c r="B219" s="2080" t="s">
        <v>11</v>
      </c>
      <c r="C219" s="2064" t="s">
        <v>1215</v>
      </c>
      <c r="D219" s="2056">
        <v>105000000</v>
      </c>
      <c r="E219" s="2078">
        <v>0.04</v>
      </c>
      <c r="F219" s="2056">
        <f t="shared" si="21"/>
        <v>4200000</v>
      </c>
      <c r="G219" s="482"/>
      <c r="H219" s="2558"/>
      <c r="I219" s="21" t="s">
        <v>3661</v>
      </c>
      <c r="J219" s="2558">
        <f>G219</f>
        <v>0</v>
      </c>
      <c r="K219" s="2558">
        <f>F219-J219</f>
        <v>4200000</v>
      </c>
      <c r="L219" s="2080"/>
    </row>
    <row r="220" spans="1:12" ht="30" customHeight="1" x14ac:dyDescent="0.2">
      <c r="A220" s="2014">
        <v>146</v>
      </c>
      <c r="B220" s="2080" t="s">
        <v>12</v>
      </c>
      <c r="C220" s="2064"/>
      <c r="D220" s="2056">
        <v>50000000</v>
      </c>
      <c r="E220" s="2078">
        <v>4.4999999999999998E-2</v>
      </c>
      <c r="F220" s="2056">
        <f t="shared" si="21"/>
        <v>2250000</v>
      </c>
      <c r="G220" s="482"/>
      <c r="H220" s="2558"/>
      <c r="I220" s="24"/>
      <c r="J220" s="2558"/>
      <c r="K220" s="2558">
        <f>F220-J220</f>
        <v>2250000</v>
      </c>
      <c r="L220" s="2080"/>
    </row>
    <row r="221" spans="1:12" ht="30" customHeight="1" x14ac:dyDescent="0.2">
      <c r="A221" s="2014">
        <v>147</v>
      </c>
      <c r="B221" s="2076" t="s">
        <v>13</v>
      </c>
      <c r="C221" s="2063" t="s">
        <v>1350</v>
      </c>
      <c r="D221" s="2056">
        <v>60000000</v>
      </c>
      <c r="E221" s="2078">
        <v>0.05</v>
      </c>
      <c r="F221" s="2056">
        <f t="shared" si="21"/>
        <v>3000000</v>
      </c>
      <c r="G221" s="561">
        <v>3000000</v>
      </c>
      <c r="H221" s="2552" t="s">
        <v>2141</v>
      </c>
      <c r="I221" s="30" t="s">
        <v>3555</v>
      </c>
      <c r="J221" s="2552">
        <f>G221</f>
        <v>3000000</v>
      </c>
      <c r="K221" s="2552">
        <f>F221-J221</f>
        <v>0</v>
      </c>
      <c r="L221" s="2087"/>
    </row>
    <row r="222" spans="1:12" ht="30" customHeight="1" x14ac:dyDescent="0.2">
      <c r="A222" s="3450">
        <v>148</v>
      </c>
      <c r="B222" s="3457" t="s">
        <v>14</v>
      </c>
      <c r="C222" s="3570" t="s">
        <v>379</v>
      </c>
      <c r="D222" s="2065">
        <v>55000000</v>
      </c>
      <c r="E222" s="2078">
        <v>0.05</v>
      </c>
      <c r="F222" s="2065">
        <f t="shared" si="21"/>
        <v>2750000</v>
      </c>
      <c r="G222" s="561">
        <v>5000000</v>
      </c>
      <c r="H222" s="2552" t="s">
        <v>4062</v>
      </c>
      <c r="I222" s="2593" t="s">
        <v>3707</v>
      </c>
      <c r="J222" s="2552">
        <f t="shared" ref="J222:J230" si="22">G222</f>
        <v>5000000</v>
      </c>
      <c r="K222" s="2552"/>
      <c r="L222" s="2115" t="s">
        <v>1284</v>
      </c>
    </row>
    <row r="223" spans="1:12" ht="30" customHeight="1" x14ac:dyDescent="0.2">
      <c r="A223" s="3451"/>
      <c r="B223" s="3458"/>
      <c r="C223" s="3571"/>
      <c r="D223" s="2098">
        <v>50000000</v>
      </c>
      <c r="E223" s="2096">
        <v>0.05</v>
      </c>
      <c r="F223" s="2098">
        <f t="shared" si="21"/>
        <v>2500000</v>
      </c>
      <c r="G223" s="482">
        <v>2500000</v>
      </c>
      <c r="H223" s="2558" t="s">
        <v>4184</v>
      </c>
      <c r="I223" s="2565" t="s">
        <v>4095</v>
      </c>
      <c r="J223" s="2558">
        <f t="shared" si="22"/>
        <v>2500000</v>
      </c>
      <c r="K223" s="2558">
        <f t="shared" ref="K223:K231" si="23">F223-J223</f>
        <v>0</v>
      </c>
      <c r="L223" s="2115"/>
    </row>
    <row r="224" spans="1:12" ht="30" customHeight="1" x14ac:dyDescent="0.2">
      <c r="A224" s="2014">
        <v>149</v>
      </c>
      <c r="B224" s="2080" t="s">
        <v>15</v>
      </c>
      <c r="C224" s="2064" t="s">
        <v>1346</v>
      </c>
      <c r="D224" s="2056">
        <v>80000000</v>
      </c>
      <c r="E224" s="2053">
        <v>0.05</v>
      </c>
      <c r="F224" s="2056">
        <f t="shared" si="21"/>
        <v>4000000</v>
      </c>
      <c r="G224" s="482">
        <v>4000000</v>
      </c>
      <c r="H224" s="2558" t="s">
        <v>4201</v>
      </c>
      <c r="I224" s="2615" t="s">
        <v>484</v>
      </c>
      <c r="J224" s="2558">
        <f t="shared" si="22"/>
        <v>4000000</v>
      </c>
      <c r="K224" s="2558">
        <f t="shared" si="23"/>
        <v>0</v>
      </c>
      <c r="L224" s="168" t="s">
        <v>364</v>
      </c>
    </row>
    <row r="225" spans="1:16" ht="30" customHeight="1" x14ac:dyDescent="0.2">
      <c r="A225" s="2014">
        <v>150</v>
      </c>
      <c r="B225" s="2017" t="s">
        <v>16</v>
      </c>
      <c r="C225" s="2002" t="s">
        <v>1349</v>
      </c>
      <c r="D225" s="2188">
        <v>160000000</v>
      </c>
      <c r="E225" s="2192">
        <v>0.04</v>
      </c>
      <c r="F225" s="2188">
        <f t="shared" si="21"/>
        <v>6400000</v>
      </c>
      <c r="G225" s="482">
        <v>6400000</v>
      </c>
      <c r="H225" s="2558" t="s">
        <v>4216</v>
      </c>
      <c r="I225" s="24" t="s">
        <v>3121</v>
      </c>
      <c r="J225" s="2558">
        <f t="shared" si="22"/>
        <v>6400000</v>
      </c>
      <c r="K225" s="2558">
        <f t="shared" si="23"/>
        <v>0</v>
      </c>
      <c r="L225" s="1993" t="s">
        <v>3122</v>
      </c>
    </row>
    <row r="226" spans="1:16" ht="30" customHeight="1" x14ac:dyDescent="0.2">
      <c r="A226" s="2014">
        <v>151</v>
      </c>
      <c r="B226" s="2080" t="s">
        <v>17</v>
      </c>
      <c r="C226" s="2064" t="s">
        <v>1138</v>
      </c>
      <c r="D226" s="2056">
        <v>180000000</v>
      </c>
      <c r="E226" s="2078">
        <v>0.05</v>
      </c>
      <c r="F226" s="2056">
        <f t="shared" si="21"/>
        <v>9000000</v>
      </c>
      <c r="G226" s="482">
        <v>9000000</v>
      </c>
      <c r="H226" s="2558" t="s">
        <v>4264</v>
      </c>
      <c r="I226" s="24" t="s">
        <v>2275</v>
      </c>
      <c r="J226" s="2558">
        <f t="shared" si="22"/>
        <v>9000000</v>
      </c>
      <c r="K226" s="2558">
        <f t="shared" si="23"/>
        <v>0</v>
      </c>
      <c r="L226" s="2080"/>
    </row>
    <row r="227" spans="1:16" ht="30" customHeight="1" x14ac:dyDescent="0.2">
      <c r="A227" s="3450">
        <v>152</v>
      </c>
      <c r="B227" s="3457" t="s">
        <v>1146</v>
      </c>
      <c r="C227" s="3570" t="s">
        <v>3142</v>
      </c>
      <c r="D227" s="2056">
        <v>35000000</v>
      </c>
      <c r="E227" s="2078">
        <v>4.7E-2</v>
      </c>
      <c r="F227" s="2056">
        <v>1650000</v>
      </c>
      <c r="G227" s="561">
        <v>1650000</v>
      </c>
      <c r="H227" s="2557" t="s">
        <v>4216</v>
      </c>
      <c r="I227" s="2564" t="s">
        <v>3841</v>
      </c>
      <c r="J227" s="2557">
        <f>G227+G228</f>
        <v>36650000</v>
      </c>
      <c r="K227" s="2557">
        <f>(D227+F227)-J227</f>
        <v>0</v>
      </c>
      <c r="L227" s="3627" t="s">
        <v>1398</v>
      </c>
    </row>
    <row r="228" spans="1:16" ht="30" customHeight="1" x14ac:dyDescent="0.2">
      <c r="A228" s="3451"/>
      <c r="B228" s="3458"/>
      <c r="C228" s="3571"/>
      <c r="D228" s="2212">
        <v>35000000</v>
      </c>
      <c r="E228" s="2776"/>
      <c r="F228" s="2777"/>
      <c r="G228" s="561">
        <v>35000000</v>
      </c>
      <c r="H228" s="2558"/>
      <c r="I228" s="2565"/>
      <c r="J228" s="2558"/>
      <c r="K228" s="2558"/>
      <c r="L228" s="3628"/>
    </row>
    <row r="229" spans="1:16" ht="30" customHeight="1" x14ac:dyDescent="0.2">
      <c r="A229" s="2014">
        <v>153</v>
      </c>
      <c r="B229" s="2080" t="s">
        <v>18</v>
      </c>
      <c r="C229" s="2064"/>
      <c r="D229" s="2056">
        <v>30000000</v>
      </c>
      <c r="E229" s="2078">
        <v>0.04</v>
      </c>
      <c r="F229" s="2056">
        <f t="shared" si="21"/>
        <v>1200000</v>
      </c>
      <c r="G229" s="482">
        <v>1200000</v>
      </c>
      <c r="H229" s="2558" t="s">
        <v>4249</v>
      </c>
      <c r="I229" s="24" t="s">
        <v>1181</v>
      </c>
      <c r="J229" s="2558">
        <f t="shared" si="22"/>
        <v>1200000</v>
      </c>
      <c r="K229" s="2558">
        <f t="shared" si="23"/>
        <v>0</v>
      </c>
      <c r="L229" s="2080"/>
    </row>
    <row r="230" spans="1:16" ht="30" customHeight="1" x14ac:dyDescent="0.2">
      <c r="A230" s="2014">
        <v>154</v>
      </c>
      <c r="B230" s="2080" t="s">
        <v>19</v>
      </c>
      <c r="C230" s="2064" t="s">
        <v>1909</v>
      </c>
      <c r="D230" s="2056">
        <v>15000000</v>
      </c>
      <c r="E230" s="2078">
        <v>7.0000000000000007E-2</v>
      </c>
      <c r="F230" s="2056">
        <f t="shared" si="21"/>
        <v>1050000</v>
      </c>
      <c r="G230" s="482">
        <v>1050000</v>
      </c>
      <c r="H230" s="2558" t="s">
        <v>4286</v>
      </c>
      <c r="I230" s="24" t="s">
        <v>1330</v>
      </c>
      <c r="J230" s="2558">
        <f t="shared" si="22"/>
        <v>1050000</v>
      </c>
      <c r="K230" s="2558">
        <f t="shared" si="23"/>
        <v>0</v>
      </c>
      <c r="L230" s="2080"/>
    </row>
    <row r="231" spans="1:16" ht="30" customHeight="1" x14ac:dyDescent="0.2">
      <c r="A231" s="2014">
        <v>155</v>
      </c>
      <c r="B231" s="2017" t="s">
        <v>20</v>
      </c>
      <c r="C231" s="2002"/>
      <c r="D231" s="1997"/>
      <c r="E231" s="44"/>
      <c r="F231" s="1997">
        <f t="shared" si="21"/>
        <v>0</v>
      </c>
      <c r="G231" s="482"/>
      <c r="H231" s="2558"/>
      <c r="I231" s="24"/>
      <c r="J231" s="2558"/>
      <c r="K231" s="2562">
        <f t="shared" si="23"/>
        <v>0</v>
      </c>
      <c r="L231" s="2017"/>
    </row>
    <row r="232" spans="1:16" ht="30" customHeight="1" x14ac:dyDescent="0.2">
      <c r="A232" s="1982">
        <v>156</v>
      </c>
      <c r="B232" s="2076" t="s">
        <v>21</v>
      </c>
      <c r="C232" s="421"/>
      <c r="D232" s="2065">
        <v>50000000</v>
      </c>
      <c r="E232" s="2078">
        <v>0.04</v>
      </c>
      <c r="F232" s="2065">
        <f t="shared" si="21"/>
        <v>2000000</v>
      </c>
      <c r="G232" s="482">
        <v>2000000</v>
      </c>
      <c r="H232" s="2558" t="s">
        <v>4201</v>
      </c>
      <c r="I232" s="21" t="s">
        <v>3802</v>
      </c>
      <c r="J232" s="2552">
        <f>G232</f>
        <v>2000000</v>
      </c>
      <c r="K232" s="2552">
        <f>F232-500000</f>
        <v>1500000</v>
      </c>
      <c r="L232" s="2060" t="s">
        <v>3803</v>
      </c>
      <c r="M232" s="406"/>
      <c r="N232" s="406"/>
      <c r="O232" s="406"/>
      <c r="P232" s="406"/>
    </row>
    <row r="233" spans="1:16" ht="30" customHeight="1" x14ac:dyDescent="0.2">
      <c r="A233" s="2014">
        <v>157</v>
      </c>
      <c r="B233" s="2080" t="s">
        <v>22</v>
      </c>
      <c r="C233" s="2064" t="s">
        <v>1349</v>
      </c>
      <c r="D233" s="2056">
        <v>20000000</v>
      </c>
      <c r="E233" s="2053">
        <v>0.05</v>
      </c>
      <c r="F233" s="2056">
        <f t="shared" si="21"/>
        <v>1000000</v>
      </c>
      <c r="G233" s="482"/>
      <c r="H233" s="2558"/>
      <c r="I233" s="24" t="s">
        <v>3818</v>
      </c>
      <c r="J233" s="2558">
        <f>G233</f>
        <v>0</v>
      </c>
      <c r="K233" s="2558">
        <f>F233-J233</f>
        <v>1000000</v>
      </c>
      <c r="L233" s="2080"/>
      <c r="M233" s="406"/>
      <c r="N233" s="406"/>
      <c r="O233" s="406"/>
      <c r="P233" s="406"/>
    </row>
    <row r="234" spans="1:16" ht="30" customHeight="1" x14ac:dyDescent="0.2">
      <c r="A234" s="3456"/>
      <c r="B234" s="3457" t="s">
        <v>848</v>
      </c>
      <c r="C234" s="2064" t="s">
        <v>1378</v>
      </c>
      <c r="D234" s="2056">
        <v>160000000</v>
      </c>
      <c r="E234" s="2078">
        <v>0.05</v>
      </c>
      <c r="F234" s="2056">
        <f>D234*E234</f>
        <v>8000000</v>
      </c>
      <c r="G234" s="2780">
        <v>9200000</v>
      </c>
      <c r="H234" s="2557" t="s">
        <v>4249</v>
      </c>
      <c r="I234" s="2557" t="s">
        <v>3264</v>
      </c>
      <c r="J234" s="2557">
        <f>G234</f>
        <v>9200000</v>
      </c>
      <c r="K234" s="2557">
        <f>(F234+F235)-J234</f>
        <v>0</v>
      </c>
      <c r="L234" s="247"/>
      <c r="M234" s="247"/>
      <c r="N234" s="247"/>
      <c r="O234" s="247"/>
      <c r="P234" s="247"/>
    </row>
    <row r="235" spans="1:16" ht="30" customHeight="1" x14ac:dyDescent="0.2">
      <c r="A235" s="3451"/>
      <c r="B235" s="3458"/>
      <c r="C235" s="2064" t="s">
        <v>1378</v>
      </c>
      <c r="D235" s="2056">
        <v>22000000</v>
      </c>
      <c r="E235" s="2078">
        <v>5.5E-2</v>
      </c>
      <c r="F235" s="2056">
        <v>1200000</v>
      </c>
      <c r="G235" s="2734"/>
      <c r="H235" s="2558"/>
      <c r="I235" s="2558"/>
      <c r="J235" s="2558"/>
      <c r="K235" s="2558"/>
      <c r="L235" s="2080"/>
      <c r="M235" s="406"/>
      <c r="N235" s="406"/>
      <c r="O235" s="406"/>
      <c r="P235" s="406"/>
    </row>
    <row r="236" spans="1:16" ht="30" customHeight="1" x14ac:dyDescent="0.2">
      <c r="A236" s="2014">
        <v>159</v>
      </c>
      <c r="B236" s="2080" t="s">
        <v>23</v>
      </c>
      <c r="C236" s="2064" t="s">
        <v>1355</v>
      </c>
      <c r="D236" s="2056">
        <v>25000000</v>
      </c>
      <c r="E236" s="2078">
        <v>0.05</v>
      </c>
      <c r="F236" s="2056">
        <f t="shared" si="21"/>
        <v>1250000</v>
      </c>
      <c r="G236" s="482">
        <v>1250000</v>
      </c>
      <c r="H236" s="2558" t="s">
        <v>4133</v>
      </c>
      <c r="I236" s="24" t="s">
        <v>2318</v>
      </c>
      <c r="J236" s="2558">
        <f>G236</f>
        <v>1250000</v>
      </c>
      <c r="K236" s="2558">
        <f t="shared" ref="K236:K246" si="24">F236-J236</f>
        <v>0</v>
      </c>
      <c r="L236" s="2080"/>
      <c r="M236" s="406"/>
      <c r="N236" s="406"/>
      <c r="O236" s="406"/>
      <c r="P236" s="406"/>
    </row>
    <row r="237" spans="1:16" ht="30" customHeight="1" x14ac:dyDescent="0.2">
      <c r="A237" s="2014">
        <v>160</v>
      </c>
      <c r="B237" s="2080" t="s">
        <v>24</v>
      </c>
      <c r="C237" s="2064"/>
      <c r="D237" s="2056">
        <v>55000000</v>
      </c>
      <c r="E237" s="2078">
        <v>0.05</v>
      </c>
      <c r="F237" s="2056">
        <f t="shared" si="21"/>
        <v>2750000</v>
      </c>
      <c r="G237" s="482"/>
      <c r="H237" s="2558"/>
      <c r="I237" s="24"/>
      <c r="J237" s="2558">
        <f>G237</f>
        <v>0</v>
      </c>
      <c r="K237" s="2558">
        <f t="shared" si="24"/>
        <v>2750000</v>
      </c>
      <c r="L237" s="2080"/>
      <c r="M237" s="406"/>
      <c r="N237" s="406"/>
      <c r="O237" s="406"/>
      <c r="P237" s="406"/>
    </row>
    <row r="238" spans="1:16" ht="30" customHeight="1" x14ac:dyDescent="0.2">
      <c r="A238" s="2014">
        <v>161</v>
      </c>
      <c r="B238" s="2076" t="s">
        <v>25</v>
      </c>
      <c r="C238" s="2079" t="s">
        <v>1378</v>
      </c>
      <c r="D238" s="2056">
        <v>20000000</v>
      </c>
      <c r="E238" s="2078">
        <v>4.4999999999999998E-2</v>
      </c>
      <c r="F238" s="2056">
        <f t="shared" si="21"/>
        <v>900000</v>
      </c>
      <c r="G238" s="482">
        <v>900000</v>
      </c>
      <c r="H238" s="2558" t="s">
        <v>4286</v>
      </c>
      <c r="I238" s="24" t="s">
        <v>4295</v>
      </c>
      <c r="J238" s="2558">
        <f>G238</f>
        <v>900000</v>
      </c>
      <c r="K238" s="2558">
        <f t="shared" si="24"/>
        <v>0</v>
      </c>
      <c r="L238" s="2080"/>
      <c r="M238" s="406"/>
      <c r="N238" s="406"/>
      <c r="O238" s="406"/>
      <c r="P238" s="406"/>
    </row>
    <row r="239" spans="1:16" ht="30" customHeight="1" x14ac:dyDescent="0.2">
      <c r="A239" s="2014">
        <v>162</v>
      </c>
      <c r="B239" s="2080" t="s">
        <v>26</v>
      </c>
      <c r="C239" s="2064" t="s">
        <v>1378</v>
      </c>
      <c r="D239" s="2056">
        <v>180000000</v>
      </c>
      <c r="E239" s="2078">
        <v>0.05</v>
      </c>
      <c r="F239" s="2056">
        <f t="shared" si="21"/>
        <v>9000000</v>
      </c>
      <c r="G239" s="482">
        <v>9000000</v>
      </c>
      <c r="H239" s="2558" t="s">
        <v>4249</v>
      </c>
      <c r="I239" s="24" t="s">
        <v>3267</v>
      </c>
      <c r="J239" s="2558">
        <f>G239</f>
        <v>9000000</v>
      </c>
      <c r="K239" s="2558">
        <f t="shared" si="24"/>
        <v>0</v>
      </c>
      <c r="L239" s="2080"/>
      <c r="M239" s="406"/>
      <c r="N239" s="406"/>
      <c r="O239" s="406"/>
      <c r="P239" s="406"/>
    </row>
    <row r="240" spans="1:16" ht="30" customHeight="1" x14ac:dyDescent="0.2">
      <c r="A240" s="2014">
        <v>163</v>
      </c>
      <c r="B240" s="2080" t="s">
        <v>854</v>
      </c>
      <c r="C240" s="2064"/>
      <c r="D240" s="2056">
        <v>200000000</v>
      </c>
      <c r="E240" s="2078">
        <v>0.05</v>
      </c>
      <c r="F240" s="2056">
        <f t="shared" si="21"/>
        <v>10000000</v>
      </c>
      <c r="G240" s="482">
        <v>10000000</v>
      </c>
      <c r="H240" s="2558" t="s">
        <v>4261</v>
      </c>
      <c r="I240" s="24" t="s">
        <v>3870</v>
      </c>
      <c r="J240" s="2558">
        <f>G240</f>
        <v>10000000</v>
      </c>
      <c r="K240" s="2558">
        <f t="shared" si="24"/>
        <v>0</v>
      </c>
      <c r="L240" s="2080"/>
      <c r="M240" s="406"/>
      <c r="N240" s="406"/>
      <c r="O240" s="406"/>
      <c r="P240" s="406"/>
    </row>
    <row r="241" spans="1:16" ht="30" customHeight="1" x14ac:dyDescent="0.2">
      <c r="A241" s="2014">
        <v>164</v>
      </c>
      <c r="B241" s="2080" t="s">
        <v>27</v>
      </c>
      <c r="C241" s="2064"/>
      <c r="D241" s="2056">
        <v>50000000</v>
      </c>
      <c r="E241" s="2078">
        <v>0.05</v>
      </c>
      <c r="F241" s="2056">
        <f t="shared" si="21"/>
        <v>2500000</v>
      </c>
      <c r="G241" s="482">
        <v>2500000</v>
      </c>
      <c r="H241" s="2558" t="s">
        <v>4249</v>
      </c>
      <c r="I241" s="24" t="s">
        <v>762</v>
      </c>
      <c r="J241" s="2558">
        <f t="shared" ref="J241:J249" si="25">G241</f>
        <v>2500000</v>
      </c>
      <c r="K241" s="2558">
        <f t="shared" si="24"/>
        <v>0</v>
      </c>
      <c r="L241" s="2080"/>
      <c r="M241" s="406"/>
      <c r="N241" s="406"/>
      <c r="O241" s="406"/>
      <c r="P241" s="406"/>
    </row>
    <row r="242" spans="1:16" ht="30" customHeight="1" x14ac:dyDescent="0.2">
      <c r="A242" s="2014">
        <v>165</v>
      </c>
      <c r="B242" s="2080" t="s">
        <v>28</v>
      </c>
      <c r="C242" s="2064" t="s">
        <v>700</v>
      </c>
      <c r="D242" s="2056">
        <v>20000000</v>
      </c>
      <c r="E242" s="2078">
        <v>0.04</v>
      </c>
      <c r="F242" s="2056">
        <f t="shared" si="21"/>
        <v>800000</v>
      </c>
      <c r="G242" s="482">
        <v>800000</v>
      </c>
      <c r="H242" s="2558" t="s">
        <v>4249</v>
      </c>
      <c r="I242" s="24" t="s">
        <v>3878</v>
      </c>
      <c r="J242" s="2558">
        <f t="shared" si="25"/>
        <v>800000</v>
      </c>
      <c r="K242" s="2558">
        <f t="shared" si="24"/>
        <v>0</v>
      </c>
      <c r="L242" s="2080"/>
      <c r="M242" s="406"/>
      <c r="N242" s="406"/>
      <c r="O242" s="406"/>
      <c r="P242" s="406"/>
    </row>
    <row r="243" spans="1:16" ht="30" customHeight="1" x14ac:dyDescent="0.2">
      <c r="A243" s="2014">
        <v>166</v>
      </c>
      <c r="B243" s="2080" t="s">
        <v>29</v>
      </c>
      <c r="C243" s="2064" t="s">
        <v>564</v>
      </c>
      <c r="D243" s="2056">
        <v>100000000</v>
      </c>
      <c r="E243" s="2078">
        <v>0.05</v>
      </c>
      <c r="F243" s="2056">
        <f t="shared" si="21"/>
        <v>5000000</v>
      </c>
      <c r="G243" s="482">
        <v>5000000</v>
      </c>
      <c r="H243" s="2558" t="s">
        <v>4249</v>
      </c>
      <c r="I243" s="30" t="s">
        <v>4265</v>
      </c>
      <c r="J243" s="2558">
        <f t="shared" si="25"/>
        <v>5000000</v>
      </c>
      <c r="K243" s="2558">
        <f t="shared" si="24"/>
        <v>0</v>
      </c>
      <c r="L243" s="2080"/>
      <c r="M243" s="406"/>
      <c r="N243" s="406"/>
      <c r="O243" s="406"/>
      <c r="P243" s="406"/>
    </row>
    <row r="244" spans="1:16" ht="30" customHeight="1" x14ac:dyDescent="0.2">
      <c r="A244" s="2014">
        <v>167</v>
      </c>
      <c r="B244" s="2080" t="s">
        <v>758</v>
      </c>
      <c r="C244" s="2064" t="s">
        <v>1378</v>
      </c>
      <c r="D244" s="2056">
        <v>50000000</v>
      </c>
      <c r="E244" s="2078">
        <v>0.05</v>
      </c>
      <c r="F244" s="2056">
        <f t="shared" si="21"/>
        <v>2500000</v>
      </c>
      <c r="G244" s="482">
        <v>2500000</v>
      </c>
      <c r="H244" s="2558" t="s">
        <v>4249</v>
      </c>
      <c r="I244" s="24" t="s">
        <v>760</v>
      </c>
      <c r="J244" s="2558">
        <f t="shared" si="25"/>
        <v>2500000</v>
      </c>
      <c r="K244" s="2558">
        <f t="shared" si="24"/>
        <v>0</v>
      </c>
      <c r="L244" s="2080"/>
      <c r="M244" s="406"/>
      <c r="N244" s="406"/>
      <c r="O244" s="406"/>
      <c r="P244" s="406"/>
    </row>
    <row r="245" spans="1:16" ht="30" customHeight="1" x14ac:dyDescent="0.2">
      <c r="A245" s="2014">
        <v>168</v>
      </c>
      <c r="B245" s="2080" t="s">
        <v>844</v>
      </c>
      <c r="C245" s="2064"/>
      <c r="D245" s="2056">
        <v>50000000</v>
      </c>
      <c r="E245" s="2078">
        <v>7.0000000000000007E-2</v>
      </c>
      <c r="F245" s="2056">
        <f t="shared" si="21"/>
        <v>3500000.0000000005</v>
      </c>
      <c r="G245" s="482">
        <v>3500000</v>
      </c>
      <c r="H245" s="2558" t="s">
        <v>4249</v>
      </c>
      <c r="I245" s="24" t="s">
        <v>3220</v>
      </c>
      <c r="J245" s="2558">
        <f t="shared" si="25"/>
        <v>3500000</v>
      </c>
      <c r="K245" s="2558">
        <f t="shared" si="24"/>
        <v>0</v>
      </c>
      <c r="L245" s="2080"/>
      <c r="M245" s="406"/>
      <c r="N245" s="406"/>
      <c r="O245" s="406"/>
      <c r="P245" s="406"/>
    </row>
    <row r="246" spans="1:16" ht="30" customHeight="1" x14ac:dyDescent="0.2">
      <c r="A246" s="2043"/>
      <c r="B246" s="2076" t="s">
        <v>30</v>
      </c>
      <c r="C246" s="756"/>
      <c r="D246" s="2056">
        <v>20000000</v>
      </c>
      <c r="E246" s="2078">
        <v>0.05</v>
      </c>
      <c r="F246" s="2056">
        <f>D246*E246</f>
        <v>1000000</v>
      </c>
      <c r="G246" s="482">
        <v>1000000</v>
      </c>
      <c r="H246" s="2558" t="s">
        <v>4249</v>
      </c>
      <c r="I246" s="2558" t="s">
        <v>875</v>
      </c>
      <c r="J246" s="2558">
        <f t="shared" si="25"/>
        <v>1000000</v>
      </c>
      <c r="K246" s="2558">
        <f t="shared" si="24"/>
        <v>0</v>
      </c>
      <c r="L246" s="3478"/>
      <c r="M246" s="3479"/>
      <c r="N246" s="3479"/>
      <c r="O246" s="3479"/>
      <c r="P246" s="3480"/>
    </row>
    <row r="247" spans="1:16" ht="30" customHeight="1" x14ac:dyDescent="0.2">
      <c r="A247" s="2014">
        <v>170</v>
      </c>
      <c r="B247" s="2080" t="s">
        <v>31</v>
      </c>
      <c r="C247" s="2064" t="s">
        <v>1138</v>
      </c>
      <c r="D247" s="2056">
        <v>70000000</v>
      </c>
      <c r="E247" s="2078">
        <v>0.05</v>
      </c>
      <c r="F247" s="2056">
        <f t="shared" si="21"/>
        <v>3500000</v>
      </c>
      <c r="G247" s="482">
        <v>3500000</v>
      </c>
      <c r="H247" s="2558" t="s">
        <v>4276</v>
      </c>
      <c r="I247" s="24" t="s">
        <v>4280</v>
      </c>
      <c r="J247" s="2558">
        <f t="shared" si="25"/>
        <v>3500000</v>
      </c>
      <c r="K247" s="2558">
        <f>F247-J247</f>
        <v>0</v>
      </c>
      <c r="L247" s="2080"/>
      <c r="M247" s="406"/>
      <c r="N247" s="406"/>
      <c r="O247" s="406"/>
      <c r="P247" s="406"/>
    </row>
    <row r="248" spans="1:16" ht="30" customHeight="1" x14ac:dyDescent="0.2">
      <c r="A248" s="2014">
        <v>171</v>
      </c>
      <c r="B248" s="2017" t="s">
        <v>32</v>
      </c>
      <c r="C248" s="2002" t="s">
        <v>1348</v>
      </c>
      <c r="D248" s="2160">
        <v>10000000</v>
      </c>
      <c r="E248" s="2171">
        <v>0.04</v>
      </c>
      <c r="F248" s="1992">
        <f>D248*E248</f>
        <v>400000</v>
      </c>
      <c r="G248" s="482">
        <v>400000</v>
      </c>
      <c r="H248" s="2558" t="s">
        <v>4105</v>
      </c>
      <c r="I248" s="24" t="s">
        <v>686</v>
      </c>
      <c r="J248" s="2558">
        <f t="shared" si="25"/>
        <v>400000</v>
      </c>
      <c r="K248" s="2558">
        <f>F248-J248</f>
        <v>0</v>
      </c>
      <c r="L248" s="2039"/>
    </row>
    <row r="249" spans="1:16" ht="30" customHeight="1" x14ac:dyDescent="0.2">
      <c r="A249" s="1982">
        <v>172</v>
      </c>
      <c r="B249" s="2076" t="s">
        <v>33</v>
      </c>
      <c r="C249" s="421"/>
      <c r="D249" s="2056">
        <v>5000000</v>
      </c>
      <c r="E249" s="2078">
        <v>0.06</v>
      </c>
      <c r="F249" s="2056">
        <f t="shared" si="21"/>
        <v>300000</v>
      </c>
      <c r="G249" s="482">
        <v>300000</v>
      </c>
      <c r="H249" s="2558" t="s">
        <v>4286</v>
      </c>
      <c r="I249" s="24" t="s">
        <v>648</v>
      </c>
      <c r="J249" s="2558">
        <f t="shared" si="25"/>
        <v>300000</v>
      </c>
      <c r="K249" s="2558">
        <f>F249-J249</f>
        <v>0</v>
      </c>
      <c r="L249" s="431" t="s">
        <v>3393</v>
      </c>
    </row>
    <row r="250" spans="1:16" ht="30" customHeight="1" x14ac:dyDescent="0.2">
      <c r="A250" s="2014">
        <v>173</v>
      </c>
      <c r="B250" s="2080" t="s">
        <v>34</v>
      </c>
      <c r="C250" s="2064"/>
      <c r="D250" s="2056">
        <v>40000000</v>
      </c>
      <c r="E250" s="2078">
        <v>0.05</v>
      </c>
      <c r="F250" s="2056">
        <f t="shared" si="21"/>
        <v>2000000</v>
      </c>
      <c r="G250" s="482">
        <v>2000000</v>
      </c>
      <c r="H250" s="2558" t="s">
        <v>4276</v>
      </c>
      <c r="I250" s="24" t="s">
        <v>864</v>
      </c>
      <c r="J250" s="2558">
        <f>G250</f>
        <v>2000000</v>
      </c>
      <c r="K250" s="2558">
        <f>F250-J250</f>
        <v>0</v>
      </c>
      <c r="L250" s="2080"/>
    </row>
    <row r="251" spans="1:16" ht="30" customHeight="1" x14ac:dyDescent="0.2">
      <c r="A251" s="3693"/>
      <c r="B251" s="3687" t="s">
        <v>4411</v>
      </c>
      <c r="C251" s="3686" t="s">
        <v>1342</v>
      </c>
      <c r="D251" s="3575">
        <v>5000000000</v>
      </c>
      <c r="E251" s="3683">
        <v>0.08</v>
      </c>
      <c r="F251" s="3575">
        <f>D251*E251</f>
        <v>400000000</v>
      </c>
      <c r="G251" s="482"/>
      <c r="H251" s="2558"/>
      <c r="I251" s="24"/>
      <c r="J251" s="2557"/>
      <c r="K251" s="2557"/>
      <c r="L251" s="431" t="s">
        <v>3023</v>
      </c>
    </row>
    <row r="252" spans="1:16" ht="30" customHeight="1" x14ac:dyDescent="0.2">
      <c r="A252" s="3693"/>
      <c r="B252" s="3687"/>
      <c r="C252" s="3686"/>
      <c r="D252" s="3575"/>
      <c r="E252" s="3683"/>
      <c r="F252" s="3575"/>
      <c r="G252" s="2728"/>
      <c r="H252" s="247"/>
      <c r="I252" s="247"/>
      <c r="J252" s="2560"/>
      <c r="K252" s="2560"/>
      <c r="L252" s="1715" t="s">
        <v>2454</v>
      </c>
    </row>
    <row r="253" spans="1:16" ht="30" customHeight="1" x14ac:dyDescent="0.2">
      <c r="A253" s="3693"/>
      <c r="B253" s="3687"/>
      <c r="C253" s="3686"/>
      <c r="D253" s="3575"/>
      <c r="E253" s="3683"/>
      <c r="F253" s="3575"/>
      <c r="G253" s="2728"/>
      <c r="H253" s="247"/>
      <c r="I253" s="247"/>
      <c r="J253" s="2560"/>
      <c r="K253" s="2560"/>
      <c r="L253" s="431" t="s">
        <v>3021</v>
      </c>
    </row>
    <row r="254" spans="1:16" ht="30" customHeight="1" x14ac:dyDescent="0.2">
      <c r="A254" s="3693"/>
      <c r="B254" s="3687"/>
      <c r="C254" s="3686"/>
      <c r="D254" s="3575"/>
      <c r="E254" s="3683"/>
      <c r="F254" s="3575"/>
      <c r="G254" s="2728"/>
      <c r="H254" s="247"/>
      <c r="I254" s="247"/>
      <c r="J254" s="2560"/>
      <c r="K254" s="2560"/>
      <c r="L254" s="3457"/>
    </row>
    <row r="255" spans="1:16" ht="30" customHeight="1" x14ac:dyDescent="0.2">
      <c r="A255" s="3693"/>
      <c r="B255" s="3687"/>
      <c r="C255" s="3686"/>
      <c r="D255" s="3575"/>
      <c r="E255" s="3683"/>
      <c r="F255" s="3575"/>
      <c r="G255" s="2728"/>
      <c r="H255" s="247"/>
      <c r="I255" s="247"/>
      <c r="J255" s="2558"/>
      <c r="K255" s="2558"/>
      <c r="L255" s="3458"/>
    </row>
    <row r="256" spans="1:16" ht="30" customHeight="1" x14ac:dyDescent="0.2">
      <c r="A256" s="2014">
        <v>175</v>
      </c>
      <c r="B256" s="2017" t="s">
        <v>37</v>
      </c>
      <c r="C256" s="2002" t="s">
        <v>1378</v>
      </c>
      <c r="D256" s="1992">
        <v>200000000</v>
      </c>
      <c r="E256" s="1989">
        <v>0.05</v>
      </c>
      <c r="F256" s="1992">
        <f t="shared" si="21"/>
        <v>10000000</v>
      </c>
      <c r="G256" s="482">
        <v>10000000</v>
      </c>
      <c r="H256" s="2558" t="s">
        <v>4286</v>
      </c>
      <c r="I256" s="24" t="s">
        <v>3876</v>
      </c>
      <c r="J256" s="2558">
        <f t="shared" ref="J256:J263" si="26">G256</f>
        <v>10000000</v>
      </c>
      <c r="K256" s="2558">
        <f t="shared" ref="K256:K261" si="27">F256-J256</f>
        <v>0</v>
      </c>
      <c r="L256" s="2017"/>
    </row>
    <row r="257" spans="1:12" ht="30" customHeight="1" x14ac:dyDescent="0.2">
      <c r="A257" s="2014">
        <v>176</v>
      </c>
      <c r="B257" s="2017" t="s">
        <v>38</v>
      </c>
      <c r="C257" s="2002" t="s">
        <v>1138</v>
      </c>
      <c r="D257" s="1992">
        <v>150000000</v>
      </c>
      <c r="E257" s="2013">
        <v>7.0000000000000007E-2</v>
      </c>
      <c r="F257" s="1992">
        <f t="shared" si="21"/>
        <v>10500000.000000002</v>
      </c>
      <c r="G257" s="482"/>
      <c r="H257" s="2558"/>
      <c r="I257" s="24" t="s">
        <v>3358</v>
      </c>
      <c r="J257" s="2558">
        <f t="shared" si="26"/>
        <v>0</v>
      </c>
      <c r="K257" s="2558">
        <f t="shared" si="27"/>
        <v>10500000.000000002</v>
      </c>
      <c r="L257" s="2017"/>
    </row>
    <row r="258" spans="1:12" ht="30" customHeight="1" x14ac:dyDescent="0.2">
      <c r="A258" s="2014">
        <v>177</v>
      </c>
      <c r="B258" s="2017" t="s">
        <v>39</v>
      </c>
      <c r="C258" s="2002" t="s">
        <v>1354</v>
      </c>
      <c r="D258" s="1992">
        <v>25000000</v>
      </c>
      <c r="E258" s="2013">
        <v>0.04</v>
      </c>
      <c r="F258" s="1992">
        <f t="shared" si="21"/>
        <v>1000000</v>
      </c>
      <c r="G258" s="482">
        <v>1000000</v>
      </c>
      <c r="H258" s="2558" t="s">
        <v>4249</v>
      </c>
      <c r="I258" s="21" t="s">
        <v>767</v>
      </c>
      <c r="J258" s="2558">
        <f t="shared" si="26"/>
        <v>1000000</v>
      </c>
      <c r="K258" s="2558">
        <f t="shared" si="27"/>
        <v>0</v>
      </c>
      <c r="L258" s="2017"/>
    </row>
    <row r="259" spans="1:12" ht="30" customHeight="1" x14ac:dyDescent="0.2">
      <c r="A259" s="2014">
        <v>178</v>
      </c>
      <c r="B259" s="2017" t="s">
        <v>40</v>
      </c>
      <c r="C259" s="2002" t="s">
        <v>1354</v>
      </c>
      <c r="D259" s="1992">
        <v>90000000</v>
      </c>
      <c r="E259" s="2013">
        <v>4.4999999999999998E-2</v>
      </c>
      <c r="F259" s="1992">
        <v>4000000</v>
      </c>
      <c r="G259" s="482">
        <v>4000000</v>
      </c>
      <c r="H259" s="2558" t="s">
        <v>4249</v>
      </c>
      <c r="I259" s="24" t="s">
        <v>2290</v>
      </c>
      <c r="J259" s="2558">
        <f t="shared" si="26"/>
        <v>4000000</v>
      </c>
      <c r="K259" s="2558">
        <f t="shared" si="27"/>
        <v>0</v>
      </c>
      <c r="L259" s="2017"/>
    </row>
    <row r="260" spans="1:12" ht="30" customHeight="1" x14ac:dyDescent="0.2">
      <c r="A260" s="2042">
        <v>179</v>
      </c>
      <c r="B260" s="2018" t="s">
        <v>41</v>
      </c>
      <c r="C260" s="2001"/>
      <c r="D260" s="2232">
        <v>320000000</v>
      </c>
      <c r="E260" s="2231">
        <v>0.05</v>
      </c>
      <c r="F260" s="2232">
        <f t="shared" si="21"/>
        <v>16000000</v>
      </c>
      <c r="G260" s="482">
        <v>16000000</v>
      </c>
      <c r="H260" s="2558" t="s">
        <v>4249</v>
      </c>
      <c r="I260" s="24" t="s">
        <v>1121</v>
      </c>
      <c r="J260" s="2557">
        <f t="shared" si="26"/>
        <v>16000000</v>
      </c>
      <c r="K260" s="2557">
        <f t="shared" si="27"/>
        <v>0</v>
      </c>
      <c r="L260" s="2005"/>
    </row>
    <row r="261" spans="1:12" ht="30" customHeight="1" x14ac:dyDescent="0.2">
      <c r="A261" s="1982">
        <v>180</v>
      </c>
      <c r="B261" s="22" t="s">
        <v>42</v>
      </c>
      <c r="C261" s="53" t="s">
        <v>2533</v>
      </c>
      <c r="D261" s="2009">
        <v>300000000</v>
      </c>
      <c r="E261" s="2013">
        <v>5.7000000000000002E-2</v>
      </c>
      <c r="F261" s="2009">
        <v>17000000</v>
      </c>
      <c r="G261" s="561">
        <v>17000000</v>
      </c>
      <c r="H261" s="2552" t="s">
        <v>4249</v>
      </c>
      <c r="I261" s="2593" t="s">
        <v>2390</v>
      </c>
      <c r="J261" s="2552">
        <f t="shared" si="26"/>
        <v>17000000</v>
      </c>
      <c r="K261" s="2552">
        <f t="shared" si="27"/>
        <v>0</v>
      </c>
      <c r="L261" s="2032"/>
    </row>
    <row r="262" spans="1:12" ht="30" customHeight="1" x14ac:dyDescent="0.2">
      <c r="A262" s="2014">
        <v>181</v>
      </c>
      <c r="B262" s="1987" t="s">
        <v>43</v>
      </c>
      <c r="C262" s="2002" t="s">
        <v>1018</v>
      </c>
      <c r="D262" s="1992">
        <v>50000000</v>
      </c>
      <c r="E262" s="1989">
        <v>0.05</v>
      </c>
      <c r="F262" s="1992">
        <f t="shared" si="21"/>
        <v>2500000</v>
      </c>
      <c r="G262" s="482"/>
      <c r="H262" s="2558"/>
      <c r="I262" s="24" t="s">
        <v>1106</v>
      </c>
      <c r="J262" s="2558">
        <f t="shared" si="26"/>
        <v>0</v>
      </c>
      <c r="K262" s="2558">
        <f>F262-J262</f>
        <v>2500000</v>
      </c>
      <c r="L262" s="1987"/>
    </row>
    <row r="263" spans="1:12" ht="30" customHeight="1" x14ac:dyDescent="0.2">
      <c r="A263" s="3456"/>
      <c r="B263" s="3457" t="s">
        <v>44</v>
      </c>
      <c r="C263" s="3570" t="s">
        <v>1018</v>
      </c>
      <c r="D263" s="3442">
        <v>125000000</v>
      </c>
      <c r="E263" s="3444">
        <v>0.05</v>
      </c>
      <c r="F263" s="3442">
        <f>D263*E263</f>
        <v>6250000</v>
      </c>
      <c r="G263" s="2780">
        <v>6250000</v>
      </c>
      <c r="H263" s="2557" t="s">
        <v>4201</v>
      </c>
      <c r="I263" s="2557" t="s">
        <v>3854</v>
      </c>
      <c r="J263" s="2557">
        <f t="shared" si="26"/>
        <v>6250000</v>
      </c>
      <c r="K263" s="2557">
        <f>F263-J263</f>
        <v>0</v>
      </c>
      <c r="L263" s="431" t="s">
        <v>2899</v>
      </c>
    </row>
    <row r="264" spans="1:12" ht="30" customHeight="1" x14ac:dyDescent="0.2">
      <c r="A264" s="3451"/>
      <c r="B264" s="3458"/>
      <c r="C264" s="3571"/>
      <c r="D264" s="3443"/>
      <c r="E264" s="3445"/>
      <c r="F264" s="3443"/>
      <c r="G264" s="2734"/>
      <c r="H264" s="2558"/>
      <c r="I264" s="2558"/>
      <c r="J264" s="2558"/>
      <c r="K264" s="2558"/>
      <c r="L264" s="431" t="s">
        <v>3302</v>
      </c>
    </row>
    <row r="265" spans="1:12" ht="30" customHeight="1" x14ac:dyDescent="0.2">
      <c r="A265" s="2014">
        <v>183</v>
      </c>
      <c r="B265" s="2017" t="s">
        <v>4290</v>
      </c>
      <c r="C265" s="2002" t="s">
        <v>1131</v>
      </c>
      <c r="D265" s="1992">
        <v>100000000</v>
      </c>
      <c r="E265" s="2013">
        <v>0.05</v>
      </c>
      <c r="F265" s="1992">
        <f t="shared" si="21"/>
        <v>5000000</v>
      </c>
      <c r="G265" s="482">
        <v>5000000</v>
      </c>
      <c r="H265" s="2558" t="s">
        <v>4286</v>
      </c>
      <c r="I265" s="24" t="s">
        <v>4291</v>
      </c>
      <c r="J265" s="2558">
        <f>G265</f>
        <v>5000000</v>
      </c>
      <c r="K265" s="2558">
        <f t="shared" ref="K265:K271" si="28">F265-J265</f>
        <v>0</v>
      </c>
      <c r="L265" s="168"/>
    </row>
    <row r="266" spans="1:12" ht="30" customHeight="1" x14ac:dyDescent="0.2">
      <c r="A266" s="2014">
        <v>184</v>
      </c>
      <c r="B266" s="2017" t="s">
        <v>46</v>
      </c>
      <c r="C266" s="2002" t="s">
        <v>1018</v>
      </c>
      <c r="D266" s="1992">
        <v>20000000</v>
      </c>
      <c r="E266" s="2013">
        <v>0.05</v>
      </c>
      <c r="F266" s="1992">
        <f t="shared" si="21"/>
        <v>1000000</v>
      </c>
      <c r="G266" s="482">
        <v>1000000</v>
      </c>
      <c r="H266" s="2558" t="s">
        <v>4286</v>
      </c>
      <c r="I266" s="24" t="s">
        <v>1125</v>
      </c>
      <c r="J266" s="2558">
        <f>G266</f>
        <v>1000000</v>
      </c>
      <c r="K266" s="2558">
        <f t="shared" si="28"/>
        <v>0</v>
      </c>
      <c r="L266" s="2017"/>
    </row>
    <row r="267" spans="1:12" ht="30" customHeight="1" x14ac:dyDescent="0.2">
      <c r="A267" s="2014">
        <v>185</v>
      </c>
      <c r="B267" s="2017" t="s">
        <v>47</v>
      </c>
      <c r="C267" s="2002" t="s">
        <v>1019</v>
      </c>
      <c r="D267" s="1992">
        <v>70000000</v>
      </c>
      <c r="E267" s="2013">
        <v>0.05</v>
      </c>
      <c r="F267" s="1992">
        <f t="shared" si="21"/>
        <v>3500000</v>
      </c>
      <c r="G267" s="482"/>
      <c r="H267" s="2558"/>
      <c r="I267" s="24"/>
      <c r="J267" s="2558">
        <f>G267</f>
        <v>0</v>
      </c>
      <c r="K267" s="2558">
        <f t="shared" si="28"/>
        <v>3500000</v>
      </c>
      <c r="L267" s="192" t="s">
        <v>3882</v>
      </c>
    </row>
    <row r="268" spans="1:12" ht="30" customHeight="1" x14ac:dyDescent="0.2">
      <c r="A268" s="2014">
        <v>186</v>
      </c>
      <c r="B268" s="2017" t="s">
        <v>48</v>
      </c>
      <c r="C268" s="2002"/>
      <c r="D268" s="1992">
        <v>8000000</v>
      </c>
      <c r="E268" s="2013">
        <v>0.04</v>
      </c>
      <c r="F268" s="1992">
        <f t="shared" si="21"/>
        <v>320000</v>
      </c>
      <c r="G268" s="482">
        <v>320000</v>
      </c>
      <c r="H268" s="2558" t="s">
        <v>4276</v>
      </c>
      <c r="I268" s="24" t="s">
        <v>862</v>
      </c>
      <c r="J268" s="2558">
        <f>G268</f>
        <v>320000</v>
      </c>
      <c r="K268" s="2558">
        <f t="shared" si="28"/>
        <v>0</v>
      </c>
      <c r="L268" s="2017"/>
    </row>
    <row r="269" spans="1:12" ht="30" customHeight="1" x14ac:dyDescent="0.2">
      <c r="A269" s="1982">
        <v>187</v>
      </c>
      <c r="B269" s="2017" t="s">
        <v>2601</v>
      </c>
      <c r="C269" s="2016" t="s">
        <v>1175</v>
      </c>
      <c r="D269" s="2009">
        <v>200000000</v>
      </c>
      <c r="E269" s="2013">
        <v>0.05</v>
      </c>
      <c r="F269" s="2009">
        <f t="shared" si="21"/>
        <v>10000000</v>
      </c>
      <c r="G269" s="482"/>
      <c r="H269" s="2558"/>
      <c r="I269" s="24"/>
      <c r="J269" s="2558"/>
      <c r="K269" s="2558">
        <f t="shared" si="28"/>
        <v>10000000</v>
      </c>
      <c r="L269" s="2039"/>
    </row>
    <row r="270" spans="1:12" ht="30" customHeight="1" x14ac:dyDescent="0.2">
      <c r="A270" s="2014">
        <v>188</v>
      </c>
      <c r="B270" s="1987" t="s">
        <v>50</v>
      </c>
      <c r="C270" s="2002"/>
      <c r="D270" s="1992">
        <v>200000000</v>
      </c>
      <c r="E270" s="1989">
        <v>0.05</v>
      </c>
      <c r="F270" s="1992">
        <f t="shared" si="21"/>
        <v>10000000</v>
      </c>
      <c r="G270" s="482">
        <v>10000000</v>
      </c>
      <c r="H270" s="2558" t="s">
        <v>4276</v>
      </c>
      <c r="I270" s="24" t="s">
        <v>1923</v>
      </c>
      <c r="J270" s="2558">
        <f>G270</f>
        <v>10000000</v>
      </c>
      <c r="K270" s="2558">
        <f t="shared" si="28"/>
        <v>0</v>
      </c>
      <c r="L270" s="2017"/>
    </row>
    <row r="271" spans="1:12" ht="30" customHeight="1" x14ac:dyDescent="0.2">
      <c r="A271" s="2014">
        <v>189</v>
      </c>
      <c r="B271" s="2017" t="s">
        <v>51</v>
      </c>
      <c r="C271" s="2002" t="s">
        <v>700</v>
      </c>
      <c r="D271" s="1992">
        <v>15000000</v>
      </c>
      <c r="E271" s="2013">
        <v>0.05</v>
      </c>
      <c r="F271" s="1992">
        <f t="shared" si="21"/>
        <v>750000</v>
      </c>
      <c r="G271" s="482">
        <v>750000</v>
      </c>
      <c r="H271" s="2558" t="s">
        <v>4249</v>
      </c>
      <c r="I271" s="24" t="s">
        <v>860</v>
      </c>
      <c r="J271" s="2558">
        <f>G271</f>
        <v>750000</v>
      </c>
      <c r="K271" s="2558">
        <f t="shared" si="28"/>
        <v>0</v>
      </c>
      <c r="L271" s="2017"/>
    </row>
    <row r="272" spans="1:12" ht="30" customHeight="1" x14ac:dyDescent="0.2">
      <c r="A272" s="3450">
        <v>190</v>
      </c>
      <c r="B272" s="3457" t="s">
        <v>52</v>
      </c>
      <c r="C272" s="2002" t="s">
        <v>1131</v>
      </c>
      <c r="D272" s="1992">
        <v>80000000</v>
      </c>
      <c r="E272" s="2013">
        <v>0.05</v>
      </c>
      <c r="F272" s="1992">
        <f t="shared" si="21"/>
        <v>4000000</v>
      </c>
      <c r="G272" s="2780">
        <v>14000000</v>
      </c>
      <c r="H272" s="2557" t="s">
        <v>4286</v>
      </c>
      <c r="I272" s="2564" t="s">
        <v>3102</v>
      </c>
      <c r="J272" s="2557">
        <f>G272</f>
        <v>14000000</v>
      </c>
      <c r="K272" s="2557">
        <f>(F272+F273)-J272</f>
        <v>0</v>
      </c>
      <c r="L272" s="3525"/>
    </row>
    <row r="273" spans="1:16" ht="30" customHeight="1" x14ac:dyDescent="0.2">
      <c r="A273" s="3456"/>
      <c r="B273" s="3459"/>
      <c r="C273" s="2002" t="s">
        <v>1131</v>
      </c>
      <c r="D273" s="1992">
        <v>200000000</v>
      </c>
      <c r="E273" s="2013">
        <v>0.05</v>
      </c>
      <c r="F273" s="1992">
        <f t="shared" si="21"/>
        <v>10000000</v>
      </c>
      <c r="G273" s="2734"/>
      <c r="H273" s="2558"/>
      <c r="I273" s="2565"/>
      <c r="J273" s="2558"/>
      <c r="K273" s="2558"/>
      <c r="L273" s="3526"/>
    </row>
    <row r="274" spans="1:16" ht="30" customHeight="1" x14ac:dyDescent="0.2">
      <c r="A274" s="3451"/>
      <c r="B274" s="3458"/>
      <c r="C274" s="2010" t="s">
        <v>265</v>
      </c>
      <c r="D274" s="1991">
        <v>220000000</v>
      </c>
      <c r="E274" s="1988">
        <v>0.05</v>
      </c>
      <c r="F274" s="1991">
        <f t="shared" si="21"/>
        <v>11000000</v>
      </c>
      <c r="G274" s="482">
        <v>11000000</v>
      </c>
      <c r="H274" s="2558" t="s">
        <v>4184</v>
      </c>
      <c r="I274" s="24" t="s">
        <v>3102</v>
      </c>
      <c r="J274" s="2560">
        <f>G274</f>
        <v>11000000</v>
      </c>
      <c r="K274" s="2560">
        <f>F274-J274</f>
        <v>0</v>
      </c>
      <c r="L274" s="2015"/>
    </row>
    <row r="275" spans="1:16" ht="30" customHeight="1" x14ac:dyDescent="0.2">
      <c r="A275" s="3450">
        <v>191</v>
      </c>
      <c r="B275" s="3457" t="s">
        <v>53</v>
      </c>
      <c r="C275" s="3570" t="s">
        <v>265</v>
      </c>
      <c r="D275" s="3442">
        <v>700000000</v>
      </c>
      <c r="E275" s="3444">
        <v>7.6999999999999999E-2</v>
      </c>
      <c r="F275" s="3442">
        <v>54000000</v>
      </c>
      <c r="G275" s="482">
        <v>34000000</v>
      </c>
      <c r="H275" s="2558" t="s">
        <v>4184</v>
      </c>
      <c r="I275" s="24" t="s">
        <v>696</v>
      </c>
      <c r="J275" s="2557">
        <f>G275+G276</f>
        <v>54000000</v>
      </c>
      <c r="K275" s="2557">
        <f>F275-J275</f>
        <v>0</v>
      </c>
      <c r="L275" s="2020"/>
    </row>
    <row r="276" spans="1:16" ht="30" customHeight="1" x14ac:dyDescent="0.2">
      <c r="A276" s="3451"/>
      <c r="B276" s="3458"/>
      <c r="C276" s="3571"/>
      <c r="D276" s="3443"/>
      <c r="E276" s="3445"/>
      <c r="F276" s="3443"/>
      <c r="G276" s="482">
        <v>20000000</v>
      </c>
      <c r="H276" s="2558" t="s">
        <v>4201</v>
      </c>
      <c r="I276" s="24" t="s">
        <v>696</v>
      </c>
      <c r="J276" s="2558"/>
      <c r="K276" s="2558"/>
      <c r="L276" s="2204"/>
    </row>
    <row r="277" spans="1:16" ht="30" customHeight="1" x14ac:dyDescent="0.2">
      <c r="A277" s="3450">
        <v>192</v>
      </c>
      <c r="B277" s="3457" t="s">
        <v>54</v>
      </c>
      <c r="C277" s="3570" t="s">
        <v>1342</v>
      </c>
      <c r="D277" s="3442">
        <v>1400000000</v>
      </c>
      <c r="E277" s="3444">
        <v>7.0000000000000007E-2</v>
      </c>
      <c r="F277" s="3442">
        <f>D277*E277</f>
        <v>98000000.000000015</v>
      </c>
      <c r="G277" s="561">
        <v>82000000</v>
      </c>
      <c r="H277" s="2552" t="s">
        <v>4216</v>
      </c>
      <c r="I277" s="2552" t="s">
        <v>888</v>
      </c>
      <c r="J277" s="2557">
        <f>G278+G277</f>
        <v>82000000</v>
      </c>
      <c r="K277" s="2557">
        <f>38000000-J277</f>
        <v>-44000000</v>
      </c>
      <c r="L277" s="192" t="s">
        <v>4239</v>
      </c>
    </row>
    <row r="278" spans="1:16" ht="30" customHeight="1" x14ac:dyDescent="0.2">
      <c r="A278" s="3456"/>
      <c r="B278" s="3459"/>
      <c r="C278" s="3576"/>
      <c r="D278" s="3461"/>
      <c r="E278" s="3474"/>
      <c r="F278" s="3461"/>
      <c r="G278" s="561"/>
      <c r="H278" s="2552"/>
      <c r="I278" s="2552" t="s">
        <v>888</v>
      </c>
      <c r="J278" s="2558"/>
      <c r="K278" s="2558"/>
      <c r="L278" s="192" t="s">
        <v>2118</v>
      </c>
    </row>
    <row r="279" spans="1:16" ht="30" customHeight="1" x14ac:dyDescent="0.2">
      <c r="A279" s="3456"/>
      <c r="B279" s="3459"/>
      <c r="C279" s="3576"/>
      <c r="D279" s="3461"/>
      <c r="E279" s="3474"/>
      <c r="F279" s="3461"/>
      <c r="G279" s="2728"/>
      <c r="H279" s="247"/>
      <c r="I279" s="247"/>
      <c r="J279" s="2558"/>
      <c r="K279" s="2558"/>
      <c r="L279" s="192" t="s">
        <v>2417</v>
      </c>
    </row>
    <row r="280" spans="1:16" ht="30" customHeight="1" x14ac:dyDescent="0.2">
      <c r="A280" s="3456"/>
      <c r="B280" s="3459"/>
      <c r="C280" s="3576"/>
      <c r="D280" s="3461"/>
      <c r="E280" s="3474"/>
      <c r="F280" s="3461"/>
      <c r="G280" s="2728"/>
      <c r="H280" s="247"/>
      <c r="I280" s="247"/>
      <c r="J280" s="2558"/>
      <c r="K280" s="2558"/>
      <c r="L280" s="192" t="s">
        <v>3050</v>
      </c>
    </row>
    <row r="281" spans="1:16" ht="30" customHeight="1" x14ac:dyDescent="0.2">
      <c r="A281" s="3456"/>
      <c r="B281" s="3459"/>
      <c r="C281" s="3576"/>
      <c r="D281" s="3461"/>
      <c r="E281" s="3474"/>
      <c r="F281" s="3461"/>
      <c r="G281" s="561"/>
      <c r="H281" s="2552"/>
      <c r="I281" s="2552"/>
      <c r="J281" s="2558"/>
      <c r="K281" s="2558"/>
      <c r="L281" s="192" t="s">
        <v>3049</v>
      </c>
    </row>
    <row r="282" spans="1:16" ht="30" customHeight="1" x14ac:dyDescent="0.2">
      <c r="A282" s="3451"/>
      <c r="B282" s="3458"/>
      <c r="C282" s="3571"/>
      <c r="D282" s="3443"/>
      <c r="E282" s="3445"/>
      <c r="F282" s="3443"/>
      <c r="G282" s="561"/>
      <c r="H282" s="2552"/>
      <c r="I282" s="2552"/>
      <c r="J282" s="2558"/>
      <c r="K282" s="2558"/>
      <c r="L282" s="192" t="s">
        <v>3048</v>
      </c>
    </row>
    <row r="283" spans="1:16" ht="30" customHeight="1" x14ac:dyDescent="0.2">
      <c r="A283" s="2014">
        <v>193</v>
      </c>
      <c r="B283" s="2017" t="s">
        <v>55</v>
      </c>
      <c r="C283" s="2002" t="s">
        <v>1378</v>
      </c>
      <c r="D283" s="1992">
        <v>45000000</v>
      </c>
      <c r="E283" s="2013">
        <v>0.04</v>
      </c>
      <c r="F283" s="1992">
        <f t="shared" ref="F283:F365" si="29">D283*E283</f>
        <v>1800000</v>
      </c>
      <c r="G283" s="482">
        <v>1800000</v>
      </c>
      <c r="H283" s="2558" t="s">
        <v>4276</v>
      </c>
      <c r="I283" s="2552" t="s">
        <v>4278</v>
      </c>
      <c r="J283" s="2558">
        <f t="shared" ref="J283:J298" si="30">G283</f>
        <v>1800000</v>
      </c>
      <c r="K283" s="2558">
        <f t="shared" ref="K283:K297" si="31">F283-J283</f>
        <v>0</v>
      </c>
      <c r="L283" s="2017"/>
    </row>
    <row r="284" spans="1:16" ht="30" customHeight="1" x14ac:dyDescent="0.2">
      <c r="A284" s="1982">
        <v>194</v>
      </c>
      <c r="B284" s="22" t="s">
        <v>56</v>
      </c>
      <c r="C284" s="421"/>
      <c r="D284" s="2008"/>
      <c r="E284" s="1078"/>
      <c r="F284" s="2008">
        <f t="shared" si="29"/>
        <v>0</v>
      </c>
      <c r="G284" s="561">
        <v>6500000</v>
      </c>
      <c r="H284" s="2552" t="s">
        <v>4330</v>
      </c>
      <c r="I284" s="2593" t="s">
        <v>3319</v>
      </c>
      <c r="J284" s="2552">
        <f t="shared" si="30"/>
        <v>6500000</v>
      </c>
      <c r="K284" s="2570">
        <f t="shared" si="31"/>
        <v>-6500000</v>
      </c>
      <c r="L284" s="2005"/>
    </row>
    <row r="285" spans="1:16" ht="30" customHeight="1" x14ac:dyDescent="0.2">
      <c r="A285" s="2014">
        <v>195</v>
      </c>
      <c r="B285" s="1987" t="s">
        <v>57</v>
      </c>
      <c r="C285" s="2002" t="s">
        <v>1019</v>
      </c>
      <c r="D285" s="1992">
        <v>10000000</v>
      </c>
      <c r="E285" s="1989">
        <v>0.05</v>
      </c>
      <c r="F285" s="1992">
        <f t="shared" si="29"/>
        <v>500000</v>
      </c>
      <c r="G285" s="482">
        <v>500000</v>
      </c>
      <c r="H285" s="2558" t="s">
        <v>4330</v>
      </c>
      <c r="I285" s="24" t="s">
        <v>1152</v>
      </c>
      <c r="J285" s="2558">
        <f t="shared" si="30"/>
        <v>500000</v>
      </c>
      <c r="K285" s="2558">
        <f t="shared" si="31"/>
        <v>0</v>
      </c>
      <c r="L285" s="2017"/>
    </row>
    <row r="286" spans="1:16" ht="30" customHeight="1" x14ac:dyDescent="0.2">
      <c r="A286" s="3450">
        <v>196</v>
      </c>
      <c r="B286" s="3457" t="s">
        <v>58</v>
      </c>
      <c r="C286" s="3570" t="s">
        <v>1138</v>
      </c>
      <c r="D286" s="1992">
        <v>20000000</v>
      </c>
      <c r="E286" s="2013">
        <v>0.04</v>
      </c>
      <c r="F286" s="1992">
        <f t="shared" si="29"/>
        <v>800000</v>
      </c>
      <c r="G286" s="2780">
        <v>2300000</v>
      </c>
      <c r="H286" s="2557" t="s">
        <v>4286</v>
      </c>
      <c r="I286" s="2564" t="s">
        <v>3899</v>
      </c>
      <c r="J286" s="2557">
        <f t="shared" si="30"/>
        <v>2300000</v>
      </c>
      <c r="K286" s="2557">
        <f>(F286+F287)-J286</f>
        <v>0</v>
      </c>
      <c r="L286" s="3890" t="s">
        <v>3901</v>
      </c>
    </row>
    <row r="287" spans="1:16" ht="30" customHeight="1" x14ac:dyDescent="0.2">
      <c r="A287" s="3456"/>
      <c r="B287" s="3459"/>
      <c r="C287" s="3571"/>
      <c r="D287" s="1992">
        <v>30000000</v>
      </c>
      <c r="E287" s="2013">
        <v>0.05</v>
      </c>
      <c r="F287" s="1992">
        <f t="shared" si="29"/>
        <v>1500000</v>
      </c>
      <c r="G287" s="2734"/>
      <c r="H287" s="2558"/>
      <c r="I287" s="2565"/>
      <c r="J287" s="2558"/>
      <c r="K287" s="2558"/>
      <c r="L287" s="3890"/>
    </row>
    <row r="288" spans="1:16" ht="30" customHeight="1" x14ac:dyDescent="0.2">
      <c r="A288" s="3450">
        <v>197</v>
      </c>
      <c r="B288" s="3457" t="s">
        <v>4293</v>
      </c>
      <c r="C288" s="3570" t="s">
        <v>1165</v>
      </c>
      <c r="D288" s="1992">
        <v>150000000</v>
      </c>
      <c r="E288" s="2013">
        <v>0.04</v>
      </c>
      <c r="F288" s="1992">
        <f t="shared" si="29"/>
        <v>6000000</v>
      </c>
      <c r="G288" s="482">
        <v>6000000</v>
      </c>
      <c r="H288" s="2558" t="s">
        <v>4133</v>
      </c>
      <c r="I288" s="2552" t="s">
        <v>2451</v>
      </c>
      <c r="J288" s="2558">
        <f t="shared" si="30"/>
        <v>6000000</v>
      </c>
      <c r="K288" s="2558">
        <f t="shared" si="31"/>
        <v>0</v>
      </c>
      <c r="L288" s="192" t="s">
        <v>4152</v>
      </c>
      <c r="M288" s="406"/>
      <c r="N288" s="406"/>
      <c r="O288" s="406"/>
      <c r="P288" s="406"/>
    </row>
    <row r="289" spans="1:16" ht="30" customHeight="1" x14ac:dyDescent="0.2">
      <c r="A289" s="3451"/>
      <c r="B289" s="3458"/>
      <c r="C289" s="3571"/>
      <c r="D289" s="2237">
        <v>100000000</v>
      </c>
      <c r="E289" s="2239">
        <v>0.05</v>
      </c>
      <c r="F289" s="2237">
        <f t="shared" si="29"/>
        <v>5000000</v>
      </c>
      <c r="G289" s="482">
        <v>5000000</v>
      </c>
      <c r="H289" s="2558" t="s">
        <v>4286</v>
      </c>
      <c r="I289" s="2552" t="s">
        <v>4294</v>
      </c>
      <c r="J289" s="2558">
        <f>G289</f>
        <v>5000000</v>
      </c>
      <c r="K289" s="2558">
        <f t="shared" si="31"/>
        <v>0</v>
      </c>
      <c r="L289" s="192"/>
      <c r="M289" s="406"/>
      <c r="N289" s="406"/>
      <c r="O289" s="406"/>
      <c r="P289" s="406"/>
    </row>
    <row r="290" spans="1:16" ht="30" customHeight="1" x14ac:dyDescent="0.2">
      <c r="A290" s="2014">
        <v>198</v>
      </c>
      <c r="B290" s="2017" t="s">
        <v>60</v>
      </c>
      <c r="C290" s="2002" t="s">
        <v>1165</v>
      </c>
      <c r="D290" s="1992">
        <v>30000000</v>
      </c>
      <c r="E290" s="2013">
        <v>8.5000000000000006E-2</v>
      </c>
      <c r="F290" s="1992">
        <v>2500000</v>
      </c>
      <c r="G290" s="482">
        <v>2500000</v>
      </c>
      <c r="H290" s="2558" t="s">
        <v>4276</v>
      </c>
      <c r="I290" s="2552" t="s">
        <v>4279</v>
      </c>
      <c r="J290" s="2558">
        <f t="shared" si="30"/>
        <v>2500000</v>
      </c>
      <c r="K290" s="2558">
        <f t="shared" si="31"/>
        <v>0</v>
      </c>
      <c r="L290" s="2017"/>
      <c r="M290" s="406"/>
      <c r="N290" s="406"/>
      <c r="O290" s="406"/>
      <c r="P290" s="406"/>
    </row>
    <row r="291" spans="1:16" ht="30" customHeight="1" x14ac:dyDescent="0.2">
      <c r="A291" s="2014">
        <v>199</v>
      </c>
      <c r="B291" s="2017" t="s">
        <v>61</v>
      </c>
      <c r="C291" s="2002" t="s">
        <v>1131</v>
      </c>
      <c r="D291" s="1992">
        <v>50000000</v>
      </c>
      <c r="E291" s="2013">
        <v>0.05</v>
      </c>
      <c r="F291" s="1992">
        <f t="shared" si="29"/>
        <v>2500000</v>
      </c>
      <c r="G291" s="482">
        <v>2500000</v>
      </c>
      <c r="H291" s="2558" t="s">
        <v>4286</v>
      </c>
      <c r="I291" s="2552" t="s">
        <v>1173</v>
      </c>
      <c r="J291" s="2558">
        <f t="shared" si="30"/>
        <v>2500000</v>
      </c>
      <c r="K291" s="2558">
        <f t="shared" si="31"/>
        <v>0</v>
      </c>
      <c r="L291" s="2017"/>
      <c r="M291" s="406"/>
      <c r="N291" s="406"/>
      <c r="O291" s="406"/>
      <c r="P291" s="406"/>
    </row>
    <row r="292" spans="1:16" ht="30" customHeight="1" x14ac:dyDescent="0.2">
      <c r="A292" s="2014">
        <v>200</v>
      </c>
      <c r="B292" s="2017" t="s">
        <v>62</v>
      </c>
      <c r="C292" s="2002" t="s">
        <v>1112</v>
      </c>
      <c r="D292" s="1992">
        <v>350000000</v>
      </c>
      <c r="E292" s="2013">
        <v>7.0000000000000007E-2</v>
      </c>
      <c r="F292" s="1992">
        <f t="shared" si="29"/>
        <v>24500000.000000004</v>
      </c>
      <c r="G292" s="482">
        <v>24500000</v>
      </c>
      <c r="H292" s="2558" t="s">
        <v>4330</v>
      </c>
      <c r="I292" s="24" t="s">
        <v>1667</v>
      </c>
      <c r="J292" s="2558">
        <f>G292</f>
        <v>24500000</v>
      </c>
      <c r="K292" s="2558">
        <f t="shared" si="31"/>
        <v>0</v>
      </c>
      <c r="L292" s="2017"/>
      <c r="M292" s="406"/>
      <c r="N292" s="406"/>
      <c r="O292" s="406"/>
      <c r="P292" s="406"/>
    </row>
    <row r="293" spans="1:16" ht="30" customHeight="1" x14ac:dyDescent="0.2">
      <c r="A293" s="2014">
        <v>201</v>
      </c>
      <c r="B293" s="2017" t="s">
        <v>63</v>
      </c>
      <c r="C293" s="2002"/>
      <c r="D293" s="1992">
        <v>60000000</v>
      </c>
      <c r="E293" s="2013">
        <v>6.5000000000000002E-2</v>
      </c>
      <c r="F293" s="1992">
        <v>4000000</v>
      </c>
      <c r="G293" s="482">
        <v>4500000</v>
      </c>
      <c r="H293" s="2558" t="s">
        <v>4330</v>
      </c>
      <c r="I293" s="2602" t="s">
        <v>4039</v>
      </c>
      <c r="J293" s="2558">
        <f t="shared" si="30"/>
        <v>4500000</v>
      </c>
      <c r="K293" s="2558">
        <f t="shared" si="31"/>
        <v>-500000</v>
      </c>
      <c r="L293" s="2017"/>
      <c r="M293" s="406"/>
      <c r="N293" s="406"/>
      <c r="O293" s="406"/>
      <c r="P293" s="406"/>
    </row>
    <row r="294" spans="1:16" ht="30" customHeight="1" x14ac:dyDescent="0.2">
      <c r="A294" s="2033">
        <v>202</v>
      </c>
      <c r="B294" s="2017" t="s">
        <v>64</v>
      </c>
      <c r="C294" s="2016" t="s">
        <v>1112</v>
      </c>
      <c r="D294" s="2009">
        <v>100000000</v>
      </c>
      <c r="E294" s="2013">
        <v>4.4999999999999998E-2</v>
      </c>
      <c r="F294" s="2009">
        <f t="shared" si="29"/>
        <v>4500000</v>
      </c>
      <c r="G294" s="561">
        <v>4500000</v>
      </c>
      <c r="H294" s="2558" t="s">
        <v>4330</v>
      </c>
      <c r="I294" s="24" t="s">
        <v>4027</v>
      </c>
      <c r="J294" s="2558">
        <f t="shared" si="30"/>
        <v>4500000</v>
      </c>
      <c r="K294" s="2558">
        <f t="shared" si="31"/>
        <v>0</v>
      </c>
      <c r="L294" s="2039"/>
      <c r="M294" s="406"/>
      <c r="N294" s="406"/>
      <c r="O294" s="406"/>
      <c r="P294" s="406"/>
    </row>
    <row r="295" spans="1:16" ht="30" customHeight="1" x14ac:dyDescent="0.2">
      <c r="A295" s="2014">
        <v>203</v>
      </c>
      <c r="B295" s="1987" t="s">
        <v>1292</v>
      </c>
      <c r="C295" s="2002" t="s">
        <v>1112</v>
      </c>
      <c r="D295" s="1992">
        <v>60000000</v>
      </c>
      <c r="E295" s="1989">
        <v>0.05</v>
      </c>
      <c r="F295" s="1992">
        <f t="shared" si="29"/>
        <v>3000000</v>
      </c>
      <c r="G295" s="482">
        <v>3000000</v>
      </c>
      <c r="H295" s="2558" t="s">
        <v>4330</v>
      </c>
      <c r="I295" s="24" t="s">
        <v>1792</v>
      </c>
      <c r="J295" s="2558">
        <f t="shared" si="30"/>
        <v>3000000</v>
      </c>
      <c r="K295" s="2558">
        <f t="shared" si="31"/>
        <v>0</v>
      </c>
      <c r="L295" s="2017"/>
    </row>
    <row r="296" spans="1:16" ht="30" customHeight="1" x14ac:dyDescent="0.2">
      <c r="A296" s="2014">
        <v>205</v>
      </c>
      <c r="B296" s="2017" t="s">
        <v>66</v>
      </c>
      <c r="C296" s="2002" t="s">
        <v>3380</v>
      </c>
      <c r="D296" s="1992">
        <v>15000000</v>
      </c>
      <c r="E296" s="2013">
        <v>0.04</v>
      </c>
      <c r="F296" s="1992">
        <f t="shared" si="29"/>
        <v>600000</v>
      </c>
      <c r="G296" s="482">
        <v>600000</v>
      </c>
      <c r="H296" s="2558" t="s">
        <v>4276</v>
      </c>
      <c r="I296" s="24" t="s">
        <v>3379</v>
      </c>
      <c r="J296" s="2558">
        <f t="shared" si="30"/>
        <v>600000</v>
      </c>
      <c r="K296" s="2558">
        <f t="shared" si="31"/>
        <v>0</v>
      </c>
      <c r="L296" s="2017"/>
    </row>
    <row r="297" spans="1:16" ht="30" customHeight="1" x14ac:dyDescent="0.2">
      <c r="A297" s="2014">
        <v>206</v>
      </c>
      <c r="B297" s="2017" t="s">
        <v>2531</v>
      </c>
      <c r="C297" s="2002" t="s">
        <v>1019</v>
      </c>
      <c r="D297" s="1992">
        <v>150000000</v>
      </c>
      <c r="E297" s="2013">
        <v>0.05</v>
      </c>
      <c r="F297" s="1992">
        <f t="shared" si="29"/>
        <v>7500000</v>
      </c>
      <c r="G297" s="482">
        <v>7500000</v>
      </c>
      <c r="H297" s="2576" t="s">
        <v>4286</v>
      </c>
      <c r="I297" s="70" t="s">
        <v>3913</v>
      </c>
      <c r="J297" s="2558">
        <f t="shared" si="30"/>
        <v>7500000</v>
      </c>
      <c r="K297" s="2558">
        <f t="shared" si="31"/>
        <v>0</v>
      </c>
      <c r="L297" s="2333" t="s">
        <v>1398</v>
      </c>
    </row>
    <row r="298" spans="1:16" ht="30" customHeight="1" x14ac:dyDescent="0.2">
      <c r="A298" s="3450">
        <v>207</v>
      </c>
      <c r="B298" s="3687" t="s">
        <v>2810</v>
      </c>
      <c r="C298" s="3686" t="s">
        <v>700</v>
      </c>
      <c r="D298" s="1992">
        <v>45000000</v>
      </c>
      <c r="E298" s="2013">
        <v>0.04</v>
      </c>
      <c r="F298" s="1992">
        <f t="shared" si="29"/>
        <v>1800000</v>
      </c>
      <c r="G298" s="2780">
        <v>3800000</v>
      </c>
      <c r="H298" s="2557" t="s">
        <v>4276</v>
      </c>
      <c r="I298" s="2564" t="s">
        <v>3877</v>
      </c>
      <c r="J298" s="2557">
        <f t="shared" si="30"/>
        <v>3800000</v>
      </c>
      <c r="K298" s="2557">
        <f>(F298+F299)-J298</f>
        <v>0</v>
      </c>
      <c r="L298" s="3468"/>
    </row>
    <row r="299" spans="1:16" ht="30" customHeight="1" x14ac:dyDescent="0.2">
      <c r="A299" s="3456"/>
      <c r="B299" s="3687"/>
      <c r="C299" s="3686"/>
      <c r="D299" s="1992">
        <v>50000000</v>
      </c>
      <c r="E299" s="2013">
        <v>0.04</v>
      </c>
      <c r="F299" s="1992">
        <f t="shared" si="29"/>
        <v>2000000</v>
      </c>
      <c r="G299" s="2734"/>
      <c r="H299" s="2558"/>
      <c r="I299" s="2565"/>
      <c r="J299" s="2558"/>
      <c r="K299" s="2558"/>
      <c r="L299" s="3469"/>
    </row>
    <row r="300" spans="1:16" ht="30" customHeight="1" x14ac:dyDescent="0.2">
      <c r="A300" s="2390">
        <v>208</v>
      </c>
      <c r="B300" s="22" t="s">
        <v>70</v>
      </c>
      <c r="C300" s="421" t="s">
        <v>1131</v>
      </c>
      <c r="D300" s="2389">
        <v>15000000</v>
      </c>
      <c r="E300" s="2397">
        <v>0.04</v>
      </c>
      <c r="F300" s="2389">
        <f t="shared" si="29"/>
        <v>600000</v>
      </c>
      <c r="G300" s="561">
        <v>600000</v>
      </c>
      <c r="H300" s="2552" t="s">
        <v>4330</v>
      </c>
      <c r="I300" s="2593" t="s">
        <v>1130</v>
      </c>
      <c r="J300" s="2552">
        <f t="shared" ref="J300:J310" si="32">G300</f>
        <v>600000</v>
      </c>
      <c r="K300" s="2552">
        <f t="shared" ref="K300:K313" si="33">F300-J300</f>
        <v>0</v>
      </c>
      <c r="L300" s="168" t="s">
        <v>4092</v>
      </c>
    </row>
    <row r="301" spans="1:16" ht="30" customHeight="1" x14ac:dyDescent="0.2">
      <c r="A301" s="2014">
        <v>209</v>
      </c>
      <c r="B301" s="2391" t="s">
        <v>71</v>
      </c>
      <c r="C301" s="2002" t="s">
        <v>3458</v>
      </c>
      <c r="D301" s="1992">
        <v>10000000</v>
      </c>
      <c r="E301" s="2394">
        <v>0.05</v>
      </c>
      <c r="F301" s="1992">
        <f t="shared" si="29"/>
        <v>500000</v>
      </c>
      <c r="G301" s="482"/>
      <c r="H301" s="2558"/>
      <c r="I301" s="2578" t="s">
        <v>4044</v>
      </c>
      <c r="J301" s="2558">
        <f t="shared" si="32"/>
        <v>0</v>
      </c>
      <c r="K301" s="2558">
        <f t="shared" si="33"/>
        <v>500000</v>
      </c>
      <c r="L301" s="2017"/>
    </row>
    <row r="302" spans="1:16" ht="30" customHeight="1" x14ac:dyDescent="0.2">
      <c r="A302" s="2014">
        <v>210</v>
      </c>
      <c r="B302" s="2017" t="s">
        <v>73</v>
      </c>
      <c r="C302" s="2002"/>
      <c r="D302" s="1992">
        <v>50000000</v>
      </c>
      <c r="E302" s="2013">
        <v>7.0000000000000007E-2</v>
      </c>
      <c r="F302" s="1992">
        <f t="shared" si="29"/>
        <v>3500000.0000000005</v>
      </c>
      <c r="G302" s="482">
        <v>3500000</v>
      </c>
      <c r="H302" s="2558" t="s">
        <v>4105</v>
      </c>
      <c r="I302" s="24" t="s">
        <v>4123</v>
      </c>
      <c r="J302" s="2558">
        <f t="shared" si="32"/>
        <v>3500000</v>
      </c>
      <c r="K302" s="2558">
        <f t="shared" si="33"/>
        <v>0</v>
      </c>
      <c r="L302" s="2017"/>
    </row>
    <row r="303" spans="1:16" ht="30" customHeight="1" x14ac:dyDescent="0.2">
      <c r="A303" s="2014">
        <v>211</v>
      </c>
      <c r="B303" s="2017" t="s">
        <v>74</v>
      </c>
      <c r="C303" s="2002" t="s">
        <v>1350</v>
      </c>
      <c r="D303" s="1992">
        <v>100000000</v>
      </c>
      <c r="E303" s="2013">
        <v>0.05</v>
      </c>
      <c r="F303" s="1992">
        <f t="shared" si="29"/>
        <v>5000000</v>
      </c>
      <c r="G303" s="482">
        <v>5000000</v>
      </c>
      <c r="H303" s="2558" t="s">
        <v>4133</v>
      </c>
      <c r="I303" s="24" t="s">
        <v>4141</v>
      </c>
      <c r="J303" s="2558">
        <f t="shared" si="32"/>
        <v>5000000</v>
      </c>
      <c r="K303" s="2558">
        <f t="shared" si="33"/>
        <v>0</v>
      </c>
      <c r="L303" s="2017"/>
    </row>
    <row r="304" spans="1:16" ht="30" customHeight="1" x14ac:dyDescent="0.2">
      <c r="A304" s="2014">
        <v>212</v>
      </c>
      <c r="B304" s="2017" t="s">
        <v>75</v>
      </c>
      <c r="C304" s="2002" t="s">
        <v>916</v>
      </c>
      <c r="D304" s="1992">
        <v>30000000</v>
      </c>
      <c r="E304" s="2013">
        <v>0.05</v>
      </c>
      <c r="F304" s="1992">
        <f t="shared" si="29"/>
        <v>1500000</v>
      </c>
      <c r="G304" s="2757"/>
      <c r="H304" s="2758"/>
      <c r="I304" s="2758"/>
      <c r="J304" s="2759"/>
      <c r="K304" s="2558"/>
      <c r="L304" s="2017"/>
    </row>
    <row r="305" spans="1:12" ht="30" customHeight="1" x14ac:dyDescent="0.2">
      <c r="A305" s="2014">
        <v>213</v>
      </c>
      <c r="B305" s="2017" t="s">
        <v>76</v>
      </c>
      <c r="C305" s="2002" t="s">
        <v>916</v>
      </c>
      <c r="D305" s="1992">
        <v>15000000</v>
      </c>
      <c r="E305" s="2013">
        <v>4.7E-2</v>
      </c>
      <c r="F305" s="1992">
        <v>700000</v>
      </c>
      <c r="G305" s="482">
        <v>700000</v>
      </c>
      <c r="H305" s="2558" t="s">
        <v>2141</v>
      </c>
      <c r="I305" s="24" t="s">
        <v>3542</v>
      </c>
      <c r="J305" s="2558">
        <f t="shared" si="32"/>
        <v>700000</v>
      </c>
      <c r="K305" s="2558">
        <f t="shared" si="33"/>
        <v>0</v>
      </c>
      <c r="L305" s="2017"/>
    </row>
    <row r="306" spans="1:12" ht="30" customHeight="1" x14ac:dyDescent="0.2">
      <c r="A306" s="2014">
        <v>214</v>
      </c>
      <c r="B306" s="2017" t="s">
        <v>966</v>
      </c>
      <c r="C306" s="2002"/>
      <c r="D306" s="1992">
        <v>200000000</v>
      </c>
      <c r="E306" s="2013">
        <v>5.5E-2</v>
      </c>
      <c r="F306" s="1992">
        <f t="shared" si="29"/>
        <v>11000000</v>
      </c>
      <c r="G306" s="482">
        <v>11000000</v>
      </c>
      <c r="H306" s="2558" t="s">
        <v>4059</v>
      </c>
      <c r="I306" s="24" t="s">
        <v>4114</v>
      </c>
      <c r="J306" s="2558">
        <f t="shared" si="32"/>
        <v>11000000</v>
      </c>
      <c r="K306" s="2558">
        <f t="shared" si="33"/>
        <v>0</v>
      </c>
      <c r="L306" s="2017"/>
    </row>
    <row r="307" spans="1:12" ht="30" customHeight="1" x14ac:dyDescent="0.2">
      <c r="A307" s="2014">
        <v>216</v>
      </c>
      <c r="B307" s="2017" t="s">
        <v>78</v>
      </c>
      <c r="C307" s="2002" t="s">
        <v>916</v>
      </c>
      <c r="D307" s="1992">
        <v>250000000</v>
      </c>
      <c r="E307" s="2013">
        <v>0.05</v>
      </c>
      <c r="F307" s="1992">
        <f t="shared" si="29"/>
        <v>12500000</v>
      </c>
      <c r="G307" s="482">
        <v>12500000</v>
      </c>
      <c r="H307" s="2558" t="s">
        <v>4062</v>
      </c>
      <c r="I307" s="21" t="s">
        <v>3537</v>
      </c>
      <c r="J307" s="2558">
        <f t="shared" si="32"/>
        <v>12500000</v>
      </c>
      <c r="K307" s="2558">
        <f t="shared" si="33"/>
        <v>0</v>
      </c>
      <c r="L307" s="2017"/>
    </row>
    <row r="308" spans="1:12" ht="30" customHeight="1" x14ac:dyDescent="0.2">
      <c r="A308" s="1982">
        <v>217</v>
      </c>
      <c r="B308" s="2017" t="s">
        <v>80</v>
      </c>
      <c r="C308" s="2016"/>
      <c r="D308" s="2009">
        <v>160000000</v>
      </c>
      <c r="E308" s="2013">
        <v>0.05</v>
      </c>
      <c r="F308" s="2009">
        <f t="shared" si="29"/>
        <v>8000000</v>
      </c>
      <c r="G308" s="561"/>
      <c r="H308" s="2552"/>
      <c r="I308" s="2602"/>
      <c r="J308" s="2552">
        <f t="shared" si="32"/>
        <v>0</v>
      </c>
      <c r="K308" s="2552">
        <f t="shared" si="33"/>
        <v>8000000</v>
      </c>
      <c r="L308" s="1993"/>
    </row>
    <row r="309" spans="1:12" ht="30" customHeight="1" x14ac:dyDescent="0.2">
      <c r="A309" s="3450">
        <v>218</v>
      </c>
      <c r="B309" s="3457" t="s">
        <v>81</v>
      </c>
      <c r="C309" s="3570"/>
      <c r="D309" s="3442">
        <v>45000000</v>
      </c>
      <c r="E309" s="3444">
        <v>0.04</v>
      </c>
      <c r="F309" s="3442">
        <f t="shared" si="29"/>
        <v>1800000</v>
      </c>
      <c r="G309" s="482"/>
      <c r="H309" s="2558"/>
      <c r="I309" s="70" t="s">
        <v>1794</v>
      </c>
      <c r="J309" s="2558">
        <f t="shared" si="32"/>
        <v>0</v>
      </c>
      <c r="K309" s="2558">
        <f t="shared" si="33"/>
        <v>1800000</v>
      </c>
      <c r="L309" s="2017"/>
    </row>
    <row r="310" spans="1:12" ht="30" customHeight="1" x14ac:dyDescent="0.2">
      <c r="A310" s="3451"/>
      <c r="B310" s="3458"/>
      <c r="C310" s="3571"/>
      <c r="D310" s="3443"/>
      <c r="E310" s="3445"/>
      <c r="F310" s="3443"/>
      <c r="G310" s="482"/>
      <c r="H310" s="2558"/>
      <c r="I310" s="70" t="s">
        <v>3699</v>
      </c>
      <c r="J310" s="2558">
        <f t="shared" si="32"/>
        <v>0</v>
      </c>
      <c r="K310" s="2558"/>
      <c r="L310" s="168" t="s">
        <v>3700</v>
      </c>
    </row>
    <row r="311" spans="1:12" ht="30" customHeight="1" x14ac:dyDescent="0.2">
      <c r="A311" s="2014">
        <v>219</v>
      </c>
      <c r="B311" s="2017" t="s">
        <v>1903</v>
      </c>
      <c r="C311" s="2002"/>
      <c r="D311" s="1997"/>
      <c r="E311" s="44"/>
      <c r="F311" s="1997">
        <f t="shared" si="29"/>
        <v>0</v>
      </c>
      <c r="G311" s="482"/>
      <c r="H311" s="2558"/>
      <c r="I311" s="24"/>
      <c r="J311" s="2558"/>
      <c r="K311" s="2562">
        <f t="shared" si="33"/>
        <v>0</v>
      </c>
      <c r="L311" s="2017"/>
    </row>
    <row r="312" spans="1:12" ht="30" customHeight="1" x14ac:dyDescent="0.2">
      <c r="A312" s="2014">
        <v>220</v>
      </c>
      <c r="B312" s="2018" t="s">
        <v>83</v>
      </c>
      <c r="C312" s="385"/>
      <c r="D312" s="1990">
        <v>203000000</v>
      </c>
      <c r="E312" s="1988">
        <v>0.05</v>
      </c>
      <c r="F312" s="1990">
        <f t="shared" si="29"/>
        <v>10150000</v>
      </c>
      <c r="G312" s="482">
        <v>10150000</v>
      </c>
      <c r="H312" s="2558" t="s">
        <v>1964</v>
      </c>
      <c r="I312" s="24" t="s">
        <v>3545</v>
      </c>
      <c r="J312" s="2557">
        <f>G312</f>
        <v>10150000</v>
      </c>
      <c r="K312" s="2557">
        <f t="shared" si="33"/>
        <v>0</v>
      </c>
      <c r="L312" s="2017"/>
    </row>
    <row r="313" spans="1:12" ht="30" customHeight="1" x14ac:dyDescent="0.2">
      <c r="A313" s="2014">
        <v>221</v>
      </c>
      <c r="B313" s="2018" t="s">
        <v>332</v>
      </c>
      <c r="C313" s="2124" t="s">
        <v>1746</v>
      </c>
      <c r="D313" s="1990">
        <v>275000000</v>
      </c>
      <c r="E313" s="1988">
        <v>4.2000000000000003E-2</v>
      </c>
      <c r="F313" s="1990">
        <f>D313*E313</f>
        <v>11550000</v>
      </c>
      <c r="G313" s="483">
        <v>11550000</v>
      </c>
      <c r="H313" s="2560" t="s">
        <v>4133</v>
      </c>
      <c r="I313" s="427" t="s">
        <v>1748</v>
      </c>
      <c r="J313" s="2557">
        <f>G313</f>
        <v>11550000</v>
      </c>
      <c r="K313" s="2557">
        <f t="shared" si="33"/>
        <v>0</v>
      </c>
      <c r="L313" s="2005"/>
    </row>
    <row r="314" spans="1:12" ht="30" customHeight="1" x14ac:dyDescent="0.2">
      <c r="A314" s="3693">
        <v>222</v>
      </c>
      <c r="B314" s="3457" t="s">
        <v>1931</v>
      </c>
      <c r="C314" s="3570" t="s">
        <v>1342</v>
      </c>
      <c r="D314" s="3442">
        <v>700000000</v>
      </c>
      <c r="E314" s="3444">
        <v>0.06</v>
      </c>
      <c r="F314" s="3442">
        <f>D314*E314</f>
        <v>42000000</v>
      </c>
      <c r="G314" s="2780">
        <v>42000000</v>
      </c>
      <c r="H314" s="2557" t="s">
        <v>4184</v>
      </c>
      <c r="I314" s="2564" t="s">
        <v>3862</v>
      </c>
      <c r="J314" s="2557">
        <f>G314</f>
        <v>42000000</v>
      </c>
      <c r="K314" s="2557">
        <f>F314-J314</f>
        <v>0</v>
      </c>
      <c r="L314" s="2203"/>
    </row>
    <row r="315" spans="1:12" ht="30" customHeight="1" x14ac:dyDescent="0.2">
      <c r="A315" s="3693"/>
      <c r="B315" s="3459"/>
      <c r="C315" s="3576"/>
      <c r="D315" s="3461"/>
      <c r="E315" s="3474"/>
      <c r="F315" s="3461"/>
      <c r="G315" s="2737"/>
      <c r="H315" s="2560"/>
      <c r="I315" s="2581"/>
      <c r="J315" s="2560"/>
      <c r="K315" s="2560"/>
      <c r="L315" s="2204" t="s">
        <v>3831</v>
      </c>
    </row>
    <row r="316" spans="1:12" ht="30" customHeight="1" x14ac:dyDescent="0.2">
      <c r="A316" s="3693"/>
      <c r="B316" s="3458"/>
      <c r="C316" s="3571"/>
      <c r="D316" s="3443"/>
      <c r="E316" s="3445"/>
      <c r="F316" s="3443"/>
      <c r="G316" s="2734"/>
      <c r="H316" s="2558"/>
      <c r="I316" s="2565"/>
      <c r="J316" s="2558"/>
      <c r="K316" s="2558"/>
      <c r="L316" s="2021"/>
    </row>
    <row r="317" spans="1:12" ht="30" customHeight="1" x14ac:dyDescent="0.2">
      <c r="A317" s="1984">
        <v>223</v>
      </c>
      <c r="B317" s="1987" t="s">
        <v>85</v>
      </c>
      <c r="C317" s="2002" t="s">
        <v>1746</v>
      </c>
      <c r="D317" s="1992">
        <v>100000000</v>
      </c>
      <c r="E317" s="1989">
        <v>0.05</v>
      </c>
      <c r="F317" s="1992">
        <f t="shared" si="29"/>
        <v>5000000</v>
      </c>
      <c r="G317" s="482">
        <v>5000000</v>
      </c>
      <c r="H317" s="2558" t="s">
        <v>4133</v>
      </c>
      <c r="I317" s="24" t="s">
        <v>3627</v>
      </c>
      <c r="J317" s="2558">
        <f t="shared" ref="J317:J323" si="34">G317</f>
        <v>5000000</v>
      </c>
      <c r="K317" s="2558">
        <f t="shared" ref="K317:K323" si="35">F317-J317</f>
        <v>0</v>
      </c>
      <c r="L317" s="2017"/>
    </row>
    <row r="318" spans="1:12" ht="30" customHeight="1" x14ac:dyDescent="0.2">
      <c r="A318" s="3450">
        <v>224</v>
      </c>
      <c r="B318" s="3457" t="s">
        <v>2757</v>
      </c>
      <c r="C318" s="3570"/>
      <c r="D318" s="3442">
        <v>10000000</v>
      </c>
      <c r="E318" s="3444">
        <v>0.05</v>
      </c>
      <c r="F318" s="3442">
        <f t="shared" si="29"/>
        <v>500000</v>
      </c>
      <c r="G318" s="482">
        <v>500000</v>
      </c>
      <c r="H318" s="2558" t="s">
        <v>4068</v>
      </c>
      <c r="I318" s="24" t="s">
        <v>4073</v>
      </c>
      <c r="J318" s="2558">
        <f t="shared" si="34"/>
        <v>500000</v>
      </c>
      <c r="K318" s="2558">
        <f t="shared" si="35"/>
        <v>0</v>
      </c>
      <c r="L318" s="2017"/>
    </row>
    <row r="319" spans="1:12" ht="30" customHeight="1" x14ac:dyDescent="0.2">
      <c r="A319" s="3451"/>
      <c r="B319" s="3458"/>
      <c r="C319" s="3571"/>
      <c r="D319" s="3443"/>
      <c r="E319" s="3445"/>
      <c r="F319" s="3443"/>
      <c r="G319" s="482">
        <v>1000000</v>
      </c>
      <c r="H319" s="2562" t="s">
        <v>4184</v>
      </c>
      <c r="I319" s="61" t="s">
        <v>4073</v>
      </c>
      <c r="J319" s="2562">
        <f t="shared" si="34"/>
        <v>1000000</v>
      </c>
      <c r="K319" s="2562"/>
      <c r="L319" s="2195"/>
    </row>
    <row r="320" spans="1:12" ht="30" customHeight="1" x14ac:dyDescent="0.2">
      <c r="A320" s="1984">
        <v>226</v>
      </c>
      <c r="B320" s="2019" t="s">
        <v>88</v>
      </c>
      <c r="C320" s="2002" t="s">
        <v>916</v>
      </c>
      <c r="D320" s="2009">
        <v>410000000</v>
      </c>
      <c r="E320" s="2013">
        <v>0.06</v>
      </c>
      <c r="F320" s="2009">
        <f>D320*E320</f>
        <v>24600000</v>
      </c>
      <c r="G320" s="561">
        <v>24600000</v>
      </c>
      <c r="H320" s="2552" t="s">
        <v>1964</v>
      </c>
      <c r="I320" s="2552" t="s">
        <v>2521</v>
      </c>
      <c r="J320" s="2552">
        <f t="shared" si="34"/>
        <v>24600000</v>
      </c>
      <c r="K320" s="2558">
        <f t="shared" si="35"/>
        <v>0</v>
      </c>
      <c r="L320" s="1994"/>
    </row>
    <row r="321" spans="1:12" ht="30" customHeight="1" x14ac:dyDescent="0.2">
      <c r="A321" s="2014">
        <v>227</v>
      </c>
      <c r="B321" s="2017" t="s">
        <v>89</v>
      </c>
      <c r="C321" s="2002" t="s">
        <v>916</v>
      </c>
      <c r="D321" s="1992">
        <v>20000000</v>
      </c>
      <c r="E321" s="2013">
        <v>0.05</v>
      </c>
      <c r="F321" s="1992">
        <f>D321*E321</f>
        <v>1000000</v>
      </c>
      <c r="G321" s="482">
        <v>1000000</v>
      </c>
      <c r="H321" s="2558" t="s">
        <v>4105</v>
      </c>
      <c r="I321" s="21" t="s">
        <v>369</v>
      </c>
      <c r="J321" s="2558">
        <f t="shared" si="34"/>
        <v>1000000</v>
      </c>
      <c r="K321" s="2558">
        <f t="shared" si="35"/>
        <v>0</v>
      </c>
      <c r="L321" s="2017"/>
    </row>
    <row r="322" spans="1:12" ht="30" customHeight="1" x14ac:dyDescent="0.2">
      <c r="A322" s="2014">
        <v>228</v>
      </c>
      <c r="B322" s="2017" t="s">
        <v>90</v>
      </c>
      <c r="C322" s="2002" t="s">
        <v>1219</v>
      </c>
      <c r="D322" s="1992">
        <v>10000000</v>
      </c>
      <c r="E322" s="2013">
        <v>0.04</v>
      </c>
      <c r="F322" s="1992">
        <f t="shared" si="29"/>
        <v>400000</v>
      </c>
      <c r="G322" s="482">
        <v>400000</v>
      </c>
      <c r="H322" s="2558" t="s">
        <v>4184</v>
      </c>
      <c r="I322" s="30" t="s">
        <v>426</v>
      </c>
      <c r="J322" s="2558">
        <f t="shared" si="34"/>
        <v>400000</v>
      </c>
      <c r="K322" s="2558">
        <f t="shared" si="35"/>
        <v>0</v>
      </c>
      <c r="L322" s="2017"/>
    </row>
    <row r="323" spans="1:12" ht="30" customHeight="1" x14ac:dyDescent="0.2">
      <c r="A323" s="2261">
        <v>229</v>
      </c>
      <c r="B323" s="2262" t="s">
        <v>91</v>
      </c>
      <c r="C323" s="2002" t="s">
        <v>916</v>
      </c>
      <c r="D323" s="1992">
        <v>52000000</v>
      </c>
      <c r="E323" s="2013">
        <v>0.05</v>
      </c>
      <c r="F323" s="1992">
        <f t="shared" si="29"/>
        <v>2600000</v>
      </c>
      <c r="G323" s="482">
        <v>2600000</v>
      </c>
      <c r="H323" s="2558" t="s">
        <v>4062</v>
      </c>
      <c r="I323" s="24" t="s">
        <v>4109</v>
      </c>
      <c r="J323" s="2558">
        <f t="shared" si="34"/>
        <v>2600000</v>
      </c>
      <c r="K323" s="2558">
        <f t="shared" si="35"/>
        <v>0</v>
      </c>
      <c r="L323" s="2017"/>
    </row>
    <row r="324" spans="1:12" ht="30" customHeight="1" x14ac:dyDescent="0.2">
      <c r="A324" s="3450"/>
      <c r="B324" s="3457" t="s">
        <v>92</v>
      </c>
      <c r="C324" s="3570" t="s">
        <v>1817</v>
      </c>
      <c r="D324" s="2009">
        <v>20000000</v>
      </c>
      <c r="E324" s="2013">
        <v>0.05</v>
      </c>
      <c r="F324" s="2009">
        <f t="shared" si="29"/>
        <v>1000000</v>
      </c>
      <c r="G324" s="561">
        <v>750000</v>
      </c>
      <c r="H324" s="2552" t="s">
        <v>4133</v>
      </c>
      <c r="I324" s="2552" t="s">
        <v>459</v>
      </c>
      <c r="J324" s="2552">
        <f>G324</f>
        <v>750000</v>
      </c>
      <c r="K324" s="2557">
        <v>0</v>
      </c>
      <c r="L324" s="1715" t="s">
        <v>3624</v>
      </c>
    </row>
    <row r="325" spans="1:12" ht="30" customHeight="1" x14ac:dyDescent="0.2">
      <c r="A325" s="3456"/>
      <c r="B325" s="3459"/>
      <c r="C325" s="3576"/>
      <c r="D325" s="2009">
        <v>5000000</v>
      </c>
      <c r="E325" s="2013">
        <v>0.05</v>
      </c>
      <c r="F325" s="2009">
        <f t="shared" si="29"/>
        <v>250000</v>
      </c>
      <c r="G325" s="2780">
        <v>1538000</v>
      </c>
      <c r="H325" s="2557" t="s">
        <v>4133</v>
      </c>
      <c r="I325" s="2557" t="s">
        <v>459</v>
      </c>
      <c r="J325" s="2557">
        <f>G325</f>
        <v>1538000</v>
      </c>
      <c r="K325" s="2560"/>
      <c r="L325" s="1389" t="s">
        <v>4146</v>
      </c>
    </row>
    <row r="326" spans="1:12" ht="30" customHeight="1" x14ac:dyDescent="0.2">
      <c r="A326" s="3456"/>
      <c r="B326" s="3459"/>
      <c r="C326" s="3576"/>
      <c r="D326" s="2160">
        <v>5000000</v>
      </c>
      <c r="E326" s="2171">
        <v>0.05</v>
      </c>
      <c r="F326" s="2151">
        <f t="shared" si="29"/>
        <v>250000</v>
      </c>
      <c r="G326" s="2737"/>
      <c r="H326" s="2560"/>
      <c r="I326" s="2560"/>
      <c r="J326" s="2560"/>
      <c r="K326" s="2560"/>
      <c r="L326" s="1389" t="s">
        <v>4145</v>
      </c>
    </row>
    <row r="327" spans="1:12" ht="30" customHeight="1" x14ac:dyDescent="0.2">
      <c r="A327" s="3451"/>
      <c r="B327" s="3458"/>
      <c r="C327" s="3571"/>
      <c r="D327" s="2160">
        <v>5000000</v>
      </c>
      <c r="E327" s="2171">
        <v>0.05</v>
      </c>
      <c r="F327" s="2151">
        <f t="shared" si="29"/>
        <v>250000</v>
      </c>
      <c r="G327" s="2734"/>
      <c r="H327" s="2558"/>
      <c r="I327" s="2558"/>
      <c r="J327" s="2558"/>
      <c r="K327" s="2558"/>
      <c r="L327" s="1389" t="s">
        <v>4147</v>
      </c>
    </row>
    <row r="328" spans="1:12" ht="30" customHeight="1" x14ac:dyDescent="0.2">
      <c r="A328" s="3450">
        <v>231</v>
      </c>
      <c r="B328" s="3457" t="s">
        <v>93</v>
      </c>
      <c r="C328" s="3570" t="s">
        <v>1110</v>
      </c>
      <c r="D328" s="1992">
        <v>30000000</v>
      </c>
      <c r="E328" s="1989">
        <v>4.4999999999999998E-2</v>
      </c>
      <c r="F328" s="1992">
        <f t="shared" si="29"/>
        <v>1350000</v>
      </c>
      <c r="G328" s="482">
        <v>1350000</v>
      </c>
      <c r="H328" s="2558" t="s">
        <v>2141</v>
      </c>
      <c r="I328" s="2615" t="s">
        <v>303</v>
      </c>
      <c r="J328" s="2558">
        <f t="shared" ref="J328:J345" si="36">G328</f>
        <v>1350000</v>
      </c>
      <c r="K328" s="2558">
        <f t="shared" ref="K328:K344" si="37">F328-J328</f>
        <v>0</v>
      </c>
      <c r="L328" s="2017"/>
    </row>
    <row r="329" spans="1:12" ht="30" customHeight="1" x14ac:dyDescent="0.2">
      <c r="A329" s="3451"/>
      <c r="B329" s="3458"/>
      <c r="C329" s="3571"/>
      <c r="D329" s="948">
        <v>20000000</v>
      </c>
      <c r="E329" s="2306">
        <v>4.4999999999999998E-2</v>
      </c>
      <c r="F329" s="2309">
        <f t="shared" si="29"/>
        <v>900000</v>
      </c>
      <c r="G329" s="482"/>
      <c r="H329" s="2558"/>
      <c r="I329" s="57"/>
      <c r="J329" s="2558"/>
      <c r="K329" s="2558"/>
      <c r="L329" s="2333" t="s">
        <v>4360</v>
      </c>
    </row>
    <row r="330" spans="1:12" ht="30" customHeight="1" x14ac:dyDescent="0.2">
      <c r="A330" s="2014">
        <v>232</v>
      </c>
      <c r="B330" s="2017" t="s">
        <v>1695</v>
      </c>
      <c r="C330" s="2002" t="s">
        <v>1215</v>
      </c>
      <c r="D330" s="1992">
        <v>55000000</v>
      </c>
      <c r="E330" s="2013">
        <v>0.04</v>
      </c>
      <c r="F330" s="1992">
        <f t="shared" si="29"/>
        <v>2200000</v>
      </c>
      <c r="G330" s="482">
        <v>2200000</v>
      </c>
      <c r="H330" s="2558" t="s">
        <v>4062</v>
      </c>
      <c r="I330" s="24" t="s">
        <v>1697</v>
      </c>
      <c r="J330" s="2558">
        <f t="shared" si="36"/>
        <v>2200000</v>
      </c>
      <c r="K330" s="2558">
        <f t="shared" si="37"/>
        <v>0</v>
      </c>
      <c r="L330" s="2017"/>
    </row>
    <row r="331" spans="1:12" ht="30" customHeight="1" x14ac:dyDescent="0.2">
      <c r="A331" s="2014">
        <v>233</v>
      </c>
      <c r="B331" s="2017" t="s">
        <v>280</v>
      </c>
      <c r="C331" s="2002" t="s">
        <v>380</v>
      </c>
      <c r="D331" s="1992">
        <v>50000000</v>
      </c>
      <c r="E331" s="2013">
        <v>0.05</v>
      </c>
      <c r="F331" s="1992">
        <f t="shared" si="29"/>
        <v>2500000</v>
      </c>
      <c r="G331" s="482"/>
      <c r="H331" s="2558"/>
      <c r="I331" s="24" t="s">
        <v>278</v>
      </c>
      <c r="J331" s="2558">
        <f t="shared" si="36"/>
        <v>0</v>
      </c>
      <c r="K331" s="2558">
        <f t="shared" si="37"/>
        <v>2500000</v>
      </c>
      <c r="L331" s="168" t="s">
        <v>279</v>
      </c>
    </row>
    <row r="332" spans="1:12" ht="30" customHeight="1" x14ac:dyDescent="0.2">
      <c r="A332" s="2014">
        <v>234</v>
      </c>
      <c r="B332" s="2018" t="s">
        <v>95</v>
      </c>
      <c r="C332" s="2136" t="s">
        <v>1348</v>
      </c>
      <c r="D332" s="2129">
        <v>400000000</v>
      </c>
      <c r="E332" s="2135">
        <f>F332/D332</f>
        <v>5.2499999999999998E-2</v>
      </c>
      <c r="F332" s="2009">
        <v>21000000</v>
      </c>
      <c r="G332" s="561">
        <v>21000000</v>
      </c>
      <c r="H332" s="2552" t="s">
        <v>4105</v>
      </c>
      <c r="I332" s="2593" t="s">
        <v>518</v>
      </c>
      <c r="J332" s="2552">
        <f t="shared" si="36"/>
        <v>21000000</v>
      </c>
      <c r="K332" s="2558">
        <f t="shared" si="37"/>
        <v>0</v>
      </c>
      <c r="L332" s="2020"/>
    </row>
    <row r="333" spans="1:12" ht="30" customHeight="1" x14ac:dyDescent="0.2">
      <c r="A333" s="3450">
        <v>235</v>
      </c>
      <c r="B333" s="3457" t="s">
        <v>96</v>
      </c>
      <c r="C333" s="3686" t="s">
        <v>1215</v>
      </c>
      <c r="D333" s="3442">
        <v>60000000</v>
      </c>
      <c r="E333" s="3444">
        <v>0.05</v>
      </c>
      <c r="F333" s="3442">
        <f t="shared" si="29"/>
        <v>3000000</v>
      </c>
      <c r="G333" s="2728">
        <v>3000000</v>
      </c>
      <c r="H333" s="2552" t="s">
        <v>4105</v>
      </c>
      <c r="I333" s="2568" t="s">
        <v>1977</v>
      </c>
      <c r="J333" s="2557">
        <f t="shared" si="36"/>
        <v>3000000</v>
      </c>
      <c r="K333" s="2557">
        <f t="shared" si="37"/>
        <v>0</v>
      </c>
      <c r="L333" s="683" t="s">
        <v>3710</v>
      </c>
    </row>
    <row r="334" spans="1:12" ht="30" customHeight="1" x14ac:dyDescent="0.2">
      <c r="A334" s="3456"/>
      <c r="B334" s="3458"/>
      <c r="C334" s="3686"/>
      <c r="D334" s="3443"/>
      <c r="E334" s="3445"/>
      <c r="F334" s="3443"/>
      <c r="G334" s="2728"/>
      <c r="H334" s="2552"/>
      <c r="I334" s="2569"/>
      <c r="J334" s="2558"/>
      <c r="K334" s="2558"/>
      <c r="L334" s="2074" t="s">
        <v>3519</v>
      </c>
    </row>
    <row r="335" spans="1:12" ht="30" customHeight="1" x14ac:dyDescent="0.2">
      <c r="A335" s="2014">
        <v>236</v>
      </c>
      <c r="B335" s="2017" t="s">
        <v>97</v>
      </c>
      <c r="C335" s="2002"/>
      <c r="D335" s="1992">
        <v>20000000</v>
      </c>
      <c r="E335" s="2013">
        <v>0.05</v>
      </c>
      <c r="F335" s="1992">
        <f>D335*E335</f>
        <v>1000000</v>
      </c>
      <c r="G335" s="482">
        <v>1000000</v>
      </c>
      <c r="H335" s="2558" t="s">
        <v>4216</v>
      </c>
      <c r="I335" s="2575" t="s">
        <v>340</v>
      </c>
      <c r="J335" s="2558">
        <f t="shared" si="36"/>
        <v>1000000</v>
      </c>
      <c r="K335" s="2558">
        <f t="shared" si="37"/>
        <v>0</v>
      </c>
      <c r="L335" s="168" t="s">
        <v>2819</v>
      </c>
    </row>
    <row r="336" spans="1:12" ht="30" customHeight="1" x14ac:dyDescent="0.2">
      <c r="A336" s="3450">
        <v>237</v>
      </c>
      <c r="B336" s="3457" t="s">
        <v>98</v>
      </c>
      <c r="C336" s="3570" t="s">
        <v>1817</v>
      </c>
      <c r="D336" s="1992">
        <v>62500000</v>
      </c>
      <c r="E336" s="2013">
        <v>4.8000000000000001E-2</v>
      </c>
      <c r="F336" s="1992">
        <f t="shared" si="29"/>
        <v>3000000</v>
      </c>
      <c r="G336" s="482">
        <v>3000000</v>
      </c>
      <c r="H336" s="2558" t="s">
        <v>4105</v>
      </c>
      <c r="I336" s="24" t="s">
        <v>3609</v>
      </c>
      <c r="J336" s="2558">
        <f t="shared" si="36"/>
        <v>3000000</v>
      </c>
      <c r="K336" s="2558">
        <f t="shared" si="37"/>
        <v>0</v>
      </c>
      <c r="L336" s="2170"/>
    </row>
    <row r="337" spans="1:14" ht="30" customHeight="1" x14ac:dyDescent="0.2">
      <c r="A337" s="3456"/>
      <c r="B337" s="3459"/>
      <c r="C337" s="3576"/>
      <c r="D337" s="2160">
        <v>5000000</v>
      </c>
      <c r="E337" s="2171">
        <v>0.05</v>
      </c>
      <c r="F337" s="2160">
        <f>D337*E337</f>
        <v>250000</v>
      </c>
      <c r="G337" s="1452"/>
      <c r="H337" s="1716"/>
      <c r="I337" s="1716"/>
      <c r="J337" s="1658"/>
      <c r="K337" s="2558"/>
      <c r="L337" s="2170" t="s">
        <v>4149</v>
      </c>
    </row>
    <row r="338" spans="1:14" ht="30" customHeight="1" x14ac:dyDescent="0.2">
      <c r="A338" s="3451"/>
      <c r="B338" s="3458"/>
      <c r="C338" s="3571"/>
      <c r="D338" s="2160">
        <v>10500000</v>
      </c>
      <c r="E338" s="2171">
        <v>0.05</v>
      </c>
      <c r="F338" s="2160">
        <f>D338*E338</f>
        <v>525000</v>
      </c>
      <c r="G338" s="1452"/>
      <c r="H338" s="1716"/>
      <c r="I338" s="1716"/>
      <c r="J338" s="1658"/>
      <c r="K338" s="2558"/>
      <c r="L338" s="2163" t="s">
        <v>4151</v>
      </c>
    </row>
    <row r="339" spans="1:14" ht="30" customHeight="1" x14ac:dyDescent="0.2">
      <c r="A339" s="3450"/>
      <c r="B339" s="2155" t="s">
        <v>98</v>
      </c>
      <c r="C339" s="3570" t="s">
        <v>1817</v>
      </c>
      <c r="D339" s="2160">
        <v>55000000</v>
      </c>
      <c r="E339" s="2171">
        <v>0.05</v>
      </c>
      <c r="F339" s="2160">
        <f>D339*E339</f>
        <v>2750000</v>
      </c>
      <c r="G339" s="2730"/>
      <c r="H339" s="2611"/>
      <c r="I339" s="2611"/>
      <c r="J339" s="2611"/>
      <c r="K339" s="2558"/>
      <c r="L339" s="2162" t="s">
        <v>4020</v>
      </c>
    </row>
    <row r="340" spans="1:14" ht="30" customHeight="1" x14ac:dyDescent="0.2">
      <c r="A340" s="3451"/>
      <c r="B340" s="2155" t="s">
        <v>2137</v>
      </c>
      <c r="C340" s="3571"/>
      <c r="D340" s="2160">
        <v>50000000</v>
      </c>
      <c r="E340" s="2171">
        <v>0.05</v>
      </c>
      <c r="F340" s="2160">
        <f>D340*E340</f>
        <v>2500000</v>
      </c>
      <c r="G340" s="2730"/>
      <c r="H340" s="2611"/>
      <c r="I340" s="2611"/>
      <c r="J340" s="2611"/>
      <c r="K340" s="2558"/>
      <c r="L340" s="2162" t="s">
        <v>4020</v>
      </c>
    </row>
    <row r="341" spans="1:14" ht="30" customHeight="1" x14ac:dyDescent="0.2">
      <c r="A341" s="2153"/>
      <c r="B341" s="2155" t="s">
        <v>4148</v>
      </c>
      <c r="C341" s="2167" t="s">
        <v>265</v>
      </c>
      <c r="D341" s="2160">
        <v>10000000</v>
      </c>
      <c r="E341" s="2171">
        <v>0.05</v>
      </c>
      <c r="F341" s="2160">
        <f>D341*E341</f>
        <v>500000</v>
      </c>
      <c r="G341" s="1452"/>
      <c r="H341" s="1716"/>
      <c r="I341" s="1716"/>
      <c r="J341" s="1658"/>
      <c r="K341" s="2558"/>
      <c r="L341" s="2162" t="s">
        <v>4150</v>
      </c>
    </row>
    <row r="342" spans="1:14" ht="30" customHeight="1" x14ac:dyDescent="0.2">
      <c r="A342" s="2014">
        <v>238</v>
      </c>
      <c r="B342" s="2017" t="s">
        <v>99</v>
      </c>
      <c r="C342" s="2002" t="s">
        <v>1219</v>
      </c>
      <c r="D342" s="1992">
        <v>100000000</v>
      </c>
      <c r="E342" s="2013">
        <v>0.05</v>
      </c>
      <c r="F342" s="1992">
        <f t="shared" si="29"/>
        <v>5000000</v>
      </c>
      <c r="G342" s="482">
        <v>5000000</v>
      </c>
      <c r="H342" s="2558" t="s">
        <v>4105</v>
      </c>
      <c r="I342" s="21" t="s">
        <v>3628</v>
      </c>
      <c r="J342" s="2558">
        <f t="shared" si="36"/>
        <v>5000000</v>
      </c>
      <c r="K342" s="2558">
        <f t="shared" si="37"/>
        <v>0</v>
      </c>
      <c r="L342" s="2017"/>
    </row>
    <row r="343" spans="1:14" ht="30" customHeight="1" x14ac:dyDescent="0.2">
      <c r="A343" s="2014">
        <v>239</v>
      </c>
      <c r="B343" s="2017" t="s">
        <v>100</v>
      </c>
      <c r="C343" s="2002" t="s">
        <v>380</v>
      </c>
      <c r="D343" s="1992">
        <v>50000000</v>
      </c>
      <c r="E343" s="2013">
        <v>0.05</v>
      </c>
      <c r="F343" s="1992">
        <f t="shared" si="29"/>
        <v>2500000</v>
      </c>
      <c r="G343" s="482">
        <v>2500000</v>
      </c>
      <c r="H343" s="2558" t="s">
        <v>4184</v>
      </c>
      <c r="I343" s="24" t="s">
        <v>1996</v>
      </c>
      <c r="J343" s="2558">
        <f t="shared" si="36"/>
        <v>2500000</v>
      </c>
      <c r="K343" s="2558">
        <f t="shared" si="37"/>
        <v>0</v>
      </c>
      <c r="L343" s="2017"/>
    </row>
    <row r="344" spans="1:14" ht="30" customHeight="1" x14ac:dyDescent="0.2">
      <c r="A344" s="1982">
        <v>240</v>
      </c>
      <c r="B344" s="2018" t="s">
        <v>2404</v>
      </c>
      <c r="C344" s="385" t="s">
        <v>1019</v>
      </c>
      <c r="D344" s="1990">
        <v>100000000</v>
      </c>
      <c r="E344" s="1988">
        <v>0.04</v>
      </c>
      <c r="F344" s="1990">
        <f t="shared" si="29"/>
        <v>4000000</v>
      </c>
      <c r="G344" s="482">
        <v>4000000</v>
      </c>
      <c r="H344" s="2558" t="s">
        <v>4276</v>
      </c>
      <c r="I344" s="24" t="s">
        <v>3914</v>
      </c>
      <c r="J344" s="2558">
        <f t="shared" si="36"/>
        <v>4000000</v>
      </c>
      <c r="K344" s="2558">
        <f t="shared" si="37"/>
        <v>0</v>
      </c>
      <c r="L344" s="2039"/>
    </row>
    <row r="345" spans="1:14" ht="30" customHeight="1" x14ac:dyDescent="0.2">
      <c r="A345" s="3693">
        <v>241</v>
      </c>
      <c r="B345" s="3687" t="s">
        <v>573</v>
      </c>
      <c r="C345" s="3686" t="s">
        <v>1909</v>
      </c>
      <c r="D345" s="2009">
        <v>20000000</v>
      </c>
      <c r="E345" s="2013">
        <v>7.0000000000000007E-2</v>
      </c>
      <c r="F345" s="2009">
        <f>D345*E345</f>
        <v>1400000.0000000002</v>
      </c>
      <c r="G345" s="2780"/>
      <c r="H345" s="2557"/>
      <c r="I345" s="2574" t="s">
        <v>571</v>
      </c>
      <c r="J345" s="2557">
        <f t="shared" si="36"/>
        <v>0</v>
      </c>
      <c r="K345" s="2557">
        <f>(F345+F346)-J345</f>
        <v>2300000</v>
      </c>
      <c r="L345" s="3653"/>
    </row>
    <row r="346" spans="1:14" ht="30" customHeight="1" x14ac:dyDescent="0.2">
      <c r="A346" s="3693"/>
      <c r="B346" s="3687"/>
      <c r="C346" s="3686"/>
      <c r="D346" s="2009">
        <v>10000000</v>
      </c>
      <c r="E346" s="2013">
        <v>0.09</v>
      </c>
      <c r="F346" s="2009">
        <f>D346*E346</f>
        <v>900000</v>
      </c>
      <c r="G346" s="2734"/>
      <c r="H346" s="2558"/>
      <c r="I346" s="2575"/>
      <c r="J346" s="2558"/>
      <c r="K346" s="2558"/>
      <c r="L346" s="3453"/>
    </row>
    <row r="347" spans="1:14" ht="30" customHeight="1" x14ac:dyDescent="0.2">
      <c r="A347" s="2014">
        <v>242</v>
      </c>
      <c r="B347" s="2017" t="s">
        <v>102</v>
      </c>
      <c r="C347" s="2002" t="s">
        <v>1746</v>
      </c>
      <c r="D347" s="1992">
        <v>140000000</v>
      </c>
      <c r="E347" s="1989">
        <v>4.4999999999999998E-2</v>
      </c>
      <c r="F347" s="1992">
        <f t="shared" si="29"/>
        <v>6300000</v>
      </c>
      <c r="G347" s="482">
        <v>6300000</v>
      </c>
      <c r="H347" s="2558" t="s">
        <v>4105</v>
      </c>
      <c r="I347" s="24" t="s">
        <v>3629</v>
      </c>
      <c r="J347" s="2558">
        <f>G347</f>
        <v>6300000</v>
      </c>
      <c r="K347" s="2558">
        <f t="shared" ref="K347:K356" si="38">F347-J347</f>
        <v>0</v>
      </c>
      <c r="L347" s="2178"/>
    </row>
    <row r="348" spans="1:14" ht="30" customHeight="1" x14ac:dyDescent="0.2">
      <c r="A348" s="2014">
        <v>243</v>
      </c>
      <c r="B348" s="22" t="s">
        <v>519</v>
      </c>
      <c r="C348" s="2016" t="s">
        <v>265</v>
      </c>
      <c r="D348" s="2009">
        <v>20000000</v>
      </c>
      <c r="E348" s="2013">
        <v>0.04</v>
      </c>
      <c r="F348" s="2009">
        <f>D348*E348</f>
        <v>800000</v>
      </c>
      <c r="G348" s="561">
        <v>800000</v>
      </c>
      <c r="H348" s="2552" t="s">
        <v>4133</v>
      </c>
      <c r="I348" s="2552" t="s">
        <v>3702</v>
      </c>
      <c r="J348" s="2552">
        <f>G348</f>
        <v>800000</v>
      </c>
      <c r="K348" s="2552">
        <f t="shared" si="38"/>
        <v>0</v>
      </c>
      <c r="L348" s="2039"/>
      <c r="M348" s="264"/>
      <c r="N348" s="264"/>
    </row>
    <row r="349" spans="1:14" ht="30" customHeight="1" x14ac:dyDescent="0.2">
      <c r="A349" s="2014">
        <v>244</v>
      </c>
      <c r="B349" s="1987" t="s">
        <v>103</v>
      </c>
      <c r="C349" s="2002" t="s">
        <v>380</v>
      </c>
      <c r="D349" s="1992">
        <v>50000000</v>
      </c>
      <c r="E349" s="2013">
        <v>0.05</v>
      </c>
      <c r="F349" s="1992">
        <f t="shared" si="29"/>
        <v>2500000</v>
      </c>
      <c r="G349" s="482">
        <v>2500000</v>
      </c>
      <c r="H349" s="2558" t="s">
        <v>4133</v>
      </c>
      <c r="I349" s="24" t="s">
        <v>3666</v>
      </c>
      <c r="J349" s="2558">
        <f>G349</f>
        <v>2500000</v>
      </c>
      <c r="K349" s="2558">
        <f t="shared" si="38"/>
        <v>0</v>
      </c>
      <c r="L349" s="2017"/>
    </row>
    <row r="350" spans="1:14" ht="30" customHeight="1" x14ac:dyDescent="0.2">
      <c r="A350" s="2014">
        <v>245</v>
      </c>
      <c r="B350" s="2225" t="s">
        <v>4199</v>
      </c>
      <c r="C350" s="2002" t="s">
        <v>265</v>
      </c>
      <c r="D350" s="1992">
        <v>70000000</v>
      </c>
      <c r="E350" s="2013">
        <v>0.05</v>
      </c>
      <c r="F350" s="1992">
        <f t="shared" si="29"/>
        <v>3500000</v>
      </c>
      <c r="G350" s="482">
        <v>3500000</v>
      </c>
      <c r="H350" s="2558" t="s">
        <v>4201</v>
      </c>
      <c r="I350" s="2580" t="s">
        <v>4205</v>
      </c>
      <c r="J350" s="2558">
        <f>G350</f>
        <v>3500000</v>
      </c>
      <c r="K350" s="2558">
        <f t="shared" si="38"/>
        <v>0</v>
      </c>
      <c r="L350" s="2226" t="s">
        <v>4197</v>
      </c>
    </row>
    <row r="351" spans="1:14" ht="30" customHeight="1" x14ac:dyDescent="0.2">
      <c r="A351" s="2014">
        <v>246</v>
      </c>
      <c r="B351" s="2017" t="s">
        <v>105</v>
      </c>
      <c r="C351" s="2002" t="s">
        <v>265</v>
      </c>
      <c r="D351" s="1992">
        <v>85000000</v>
      </c>
      <c r="E351" s="2013">
        <v>5.0999999999999997E-2</v>
      </c>
      <c r="F351" s="1992">
        <v>4300000</v>
      </c>
      <c r="G351" s="482">
        <v>4300000</v>
      </c>
      <c r="H351" s="2558" t="s">
        <v>4184</v>
      </c>
      <c r="I351" s="31" t="s">
        <v>2998</v>
      </c>
      <c r="J351" s="2558">
        <f t="shared" ref="J351:J357" si="39">G351</f>
        <v>4300000</v>
      </c>
      <c r="K351" s="2558">
        <f t="shared" si="38"/>
        <v>0</v>
      </c>
      <c r="L351" s="2017"/>
    </row>
    <row r="352" spans="1:14" ht="30" customHeight="1" x14ac:dyDescent="0.2">
      <c r="A352" s="2014">
        <v>247</v>
      </c>
      <c r="B352" s="2017" t="s">
        <v>106</v>
      </c>
      <c r="C352" s="2002" t="s">
        <v>265</v>
      </c>
      <c r="D352" s="1992">
        <v>220000000</v>
      </c>
      <c r="E352" s="2013">
        <v>7.0000000000000007E-2</v>
      </c>
      <c r="F352" s="1992">
        <f t="shared" si="29"/>
        <v>15400000.000000002</v>
      </c>
      <c r="G352" s="482">
        <v>15400000</v>
      </c>
      <c r="H352" s="2558" t="s">
        <v>4184</v>
      </c>
      <c r="I352" s="24" t="s">
        <v>4232</v>
      </c>
      <c r="J352" s="2558">
        <f t="shared" si="39"/>
        <v>15400000</v>
      </c>
      <c r="K352" s="2558">
        <f t="shared" si="38"/>
        <v>0</v>
      </c>
      <c r="L352" s="2039" t="s">
        <v>347</v>
      </c>
      <c r="M352" s="911"/>
      <c r="N352" s="912"/>
    </row>
    <row r="353" spans="1:15" ht="30" customHeight="1" x14ac:dyDescent="0.2">
      <c r="A353" s="3450">
        <v>250</v>
      </c>
      <c r="B353" s="3457" t="s">
        <v>109</v>
      </c>
      <c r="C353" s="3570"/>
      <c r="D353" s="1992">
        <v>200000000</v>
      </c>
      <c r="E353" s="2013">
        <v>0.04</v>
      </c>
      <c r="F353" s="1992">
        <f t="shared" si="29"/>
        <v>8000000</v>
      </c>
      <c r="G353" s="482"/>
      <c r="H353" s="2558"/>
      <c r="I353" s="2594" t="s">
        <v>2838</v>
      </c>
      <c r="J353" s="2558">
        <f t="shared" si="39"/>
        <v>0</v>
      </c>
      <c r="K353" s="2558">
        <f t="shared" si="38"/>
        <v>8000000</v>
      </c>
      <c r="L353" s="2017"/>
    </row>
    <row r="354" spans="1:15" ht="30" customHeight="1" x14ac:dyDescent="0.2">
      <c r="A354" s="3451"/>
      <c r="B354" s="3458"/>
      <c r="C354" s="3571"/>
      <c r="D354" s="1992">
        <v>110000000</v>
      </c>
      <c r="E354" s="2013"/>
      <c r="F354" s="1992"/>
      <c r="G354" s="1452"/>
      <c r="H354" s="1716"/>
      <c r="I354" s="1716"/>
      <c r="J354" s="1658"/>
      <c r="K354" s="2558"/>
      <c r="L354" s="2036"/>
    </row>
    <row r="355" spans="1:15" ht="30" customHeight="1" x14ac:dyDescent="0.2">
      <c r="A355" s="2042">
        <v>251</v>
      </c>
      <c r="B355" s="22" t="s">
        <v>1944</v>
      </c>
      <c r="C355" s="421"/>
      <c r="D355" s="2008"/>
      <c r="E355" s="44"/>
      <c r="F355" s="2008">
        <f t="shared" si="29"/>
        <v>0</v>
      </c>
      <c r="G355" s="561">
        <v>5400000</v>
      </c>
      <c r="H355" s="2552" t="s">
        <v>4177</v>
      </c>
      <c r="I355" s="24" t="s">
        <v>2972</v>
      </c>
      <c r="J355" s="2558">
        <f t="shared" si="39"/>
        <v>5400000</v>
      </c>
      <c r="K355" s="2562">
        <f t="shared" si="38"/>
        <v>-5400000</v>
      </c>
      <c r="L355" s="2036" t="s">
        <v>3471</v>
      </c>
    </row>
    <row r="356" spans="1:15" ht="30" customHeight="1" x14ac:dyDescent="0.2">
      <c r="A356" s="2014">
        <v>252</v>
      </c>
      <c r="B356" s="1987" t="s">
        <v>111</v>
      </c>
      <c r="C356" s="2002" t="s">
        <v>265</v>
      </c>
      <c r="D356" s="1992">
        <v>270000000</v>
      </c>
      <c r="E356" s="1989">
        <v>0.05</v>
      </c>
      <c r="F356" s="1992">
        <f>D356*E356</f>
        <v>13500000</v>
      </c>
      <c r="G356" s="482">
        <v>13500000</v>
      </c>
      <c r="H356" s="2558" t="s">
        <v>4156</v>
      </c>
      <c r="I356" s="24" t="s">
        <v>1923</v>
      </c>
      <c r="J356" s="2558">
        <f t="shared" si="39"/>
        <v>13500000</v>
      </c>
      <c r="K356" s="2558">
        <f t="shared" si="38"/>
        <v>0</v>
      </c>
      <c r="L356" s="1985"/>
    </row>
    <row r="357" spans="1:15" ht="30" customHeight="1" x14ac:dyDescent="0.2">
      <c r="A357" s="3450">
        <v>253</v>
      </c>
      <c r="B357" s="3457" t="s">
        <v>112</v>
      </c>
      <c r="C357" s="3570" t="s">
        <v>265</v>
      </c>
      <c r="D357" s="1992">
        <v>20000000</v>
      </c>
      <c r="E357" s="2013">
        <v>0.05</v>
      </c>
      <c r="F357" s="1992">
        <f t="shared" si="29"/>
        <v>1000000</v>
      </c>
      <c r="G357" s="2780">
        <v>2000000</v>
      </c>
      <c r="H357" s="2557" t="s">
        <v>4156</v>
      </c>
      <c r="I357" s="2577" t="s">
        <v>3675</v>
      </c>
      <c r="J357" s="2557">
        <f t="shared" si="39"/>
        <v>2000000</v>
      </c>
      <c r="K357" s="2557">
        <f>(F357+F358)-J357</f>
        <v>0</v>
      </c>
      <c r="L357" s="2036" t="s">
        <v>1975</v>
      </c>
      <c r="M357" s="1228"/>
      <c r="N357" s="1228"/>
      <c r="O357" s="1228"/>
    </row>
    <row r="358" spans="1:15" ht="30" customHeight="1" x14ac:dyDescent="0.2">
      <c r="A358" s="3451"/>
      <c r="B358" s="3458"/>
      <c r="C358" s="3571"/>
      <c r="D358" s="1992">
        <v>20000000</v>
      </c>
      <c r="E358" s="2013">
        <v>0.05</v>
      </c>
      <c r="F358" s="1992">
        <f t="shared" si="29"/>
        <v>1000000</v>
      </c>
      <c r="G358" s="2734"/>
      <c r="H358" s="2558"/>
      <c r="I358" s="2578"/>
      <c r="J358" s="2558"/>
      <c r="K358" s="2558"/>
      <c r="L358" s="2036" t="s">
        <v>1989</v>
      </c>
      <c r="M358" s="264"/>
      <c r="N358" s="264"/>
      <c r="O358" s="264"/>
    </row>
    <row r="359" spans="1:15" ht="30" customHeight="1" x14ac:dyDescent="0.2">
      <c r="A359" s="2047">
        <v>254</v>
      </c>
      <c r="B359" s="2076" t="s">
        <v>2013</v>
      </c>
      <c r="C359" s="2149" t="s">
        <v>379</v>
      </c>
      <c r="D359" s="1992">
        <v>175000000</v>
      </c>
      <c r="E359" s="2013">
        <v>0.05</v>
      </c>
      <c r="F359" s="1992">
        <f t="shared" si="29"/>
        <v>8750000</v>
      </c>
      <c r="G359" s="561">
        <v>8960000</v>
      </c>
      <c r="H359" s="2552" t="s">
        <v>4216</v>
      </c>
      <c r="I359" s="2552" t="s">
        <v>3081</v>
      </c>
      <c r="J359" s="2558">
        <f>G359</f>
        <v>8960000</v>
      </c>
      <c r="K359" s="2558">
        <f>F359-J359</f>
        <v>-210000</v>
      </c>
      <c r="L359" s="2036" t="s">
        <v>4092</v>
      </c>
      <c r="M359" s="1716"/>
      <c r="N359" s="1716"/>
      <c r="O359" s="1716"/>
    </row>
    <row r="360" spans="1:15" ht="30" customHeight="1" x14ac:dyDescent="0.2">
      <c r="A360" s="2014">
        <v>255</v>
      </c>
      <c r="B360" s="2017" t="s">
        <v>115</v>
      </c>
      <c r="C360" s="2002" t="s">
        <v>265</v>
      </c>
      <c r="D360" s="1992">
        <v>40000000</v>
      </c>
      <c r="E360" s="2013">
        <v>0.05</v>
      </c>
      <c r="F360" s="1992">
        <f t="shared" si="29"/>
        <v>2000000</v>
      </c>
      <c r="G360" s="482">
        <v>2000000</v>
      </c>
      <c r="H360" s="2558" t="s">
        <v>4216</v>
      </c>
      <c r="I360" s="21" t="s">
        <v>3676</v>
      </c>
      <c r="J360" s="2558">
        <f>G360</f>
        <v>2000000</v>
      </c>
      <c r="K360" s="2558">
        <f>F360-J360</f>
        <v>0</v>
      </c>
      <c r="L360" s="2017"/>
    </row>
    <row r="361" spans="1:15" ht="30" customHeight="1" x14ac:dyDescent="0.2">
      <c r="A361" s="2014">
        <v>256</v>
      </c>
      <c r="B361" s="2017" t="s">
        <v>116</v>
      </c>
      <c r="C361" s="2002" t="s">
        <v>379</v>
      </c>
      <c r="D361" s="1992">
        <v>100000000</v>
      </c>
      <c r="E361" s="2013">
        <v>0.05</v>
      </c>
      <c r="F361" s="1992">
        <f t="shared" si="29"/>
        <v>5000000</v>
      </c>
      <c r="G361" s="482">
        <v>5000000</v>
      </c>
      <c r="H361" s="2558" t="s">
        <v>4156</v>
      </c>
      <c r="I361" s="21" t="s">
        <v>337</v>
      </c>
      <c r="J361" s="2558">
        <f>G361</f>
        <v>5000000</v>
      </c>
      <c r="K361" s="2558">
        <f>F361-J361</f>
        <v>0</v>
      </c>
      <c r="L361" s="2017"/>
    </row>
    <row r="362" spans="1:15" ht="30" customHeight="1" x14ac:dyDescent="0.2">
      <c r="A362" s="2014">
        <v>257</v>
      </c>
      <c r="B362" s="2017" t="s">
        <v>117</v>
      </c>
      <c r="C362" s="2002" t="s">
        <v>1347</v>
      </c>
      <c r="D362" s="1992">
        <v>30000000</v>
      </c>
      <c r="E362" s="2013">
        <v>0.05</v>
      </c>
      <c r="F362" s="1992">
        <f t="shared" si="29"/>
        <v>1500000</v>
      </c>
      <c r="G362" s="482">
        <v>1500000</v>
      </c>
      <c r="H362" s="2558" t="s">
        <v>4201</v>
      </c>
      <c r="I362" s="24" t="s">
        <v>492</v>
      </c>
      <c r="J362" s="2558">
        <f>G362</f>
        <v>1500000</v>
      </c>
      <c r="K362" s="2558">
        <f>F362-J362</f>
        <v>0</v>
      </c>
      <c r="L362" s="2017"/>
    </row>
    <row r="363" spans="1:15" ht="30" customHeight="1" x14ac:dyDescent="0.2">
      <c r="A363" s="2014">
        <v>258</v>
      </c>
      <c r="B363" s="2017" t="s">
        <v>876</v>
      </c>
      <c r="C363" s="2002" t="s">
        <v>265</v>
      </c>
      <c r="D363" s="1992">
        <v>12000000</v>
      </c>
      <c r="E363" s="2013">
        <v>0.05</v>
      </c>
      <c r="F363" s="1992">
        <f t="shared" si="29"/>
        <v>600000</v>
      </c>
      <c r="G363" s="2780">
        <v>1600000</v>
      </c>
      <c r="H363" s="2557" t="s">
        <v>4216</v>
      </c>
      <c r="I363" s="2574" t="s">
        <v>485</v>
      </c>
      <c r="J363" s="2557">
        <f>G363</f>
        <v>1600000</v>
      </c>
      <c r="K363" s="2557">
        <f>(F363+F364)-J363</f>
        <v>0</v>
      </c>
      <c r="L363" s="3525"/>
    </row>
    <row r="364" spans="1:15" ht="30" customHeight="1" x14ac:dyDescent="0.2">
      <c r="A364" s="2014">
        <v>259</v>
      </c>
      <c r="B364" s="2017" t="s">
        <v>159</v>
      </c>
      <c r="C364" s="2002" t="s">
        <v>265</v>
      </c>
      <c r="D364" s="1992">
        <v>20000000</v>
      </c>
      <c r="E364" s="2013">
        <v>0.05</v>
      </c>
      <c r="F364" s="1992">
        <f>D364*E364</f>
        <v>1000000</v>
      </c>
      <c r="G364" s="2734"/>
      <c r="H364" s="2558"/>
      <c r="I364" s="2575"/>
      <c r="J364" s="2558"/>
      <c r="K364" s="2558"/>
      <c r="L364" s="3526"/>
    </row>
    <row r="365" spans="1:15" ht="30" customHeight="1" x14ac:dyDescent="0.2">
      <c r="A365" s="3450">
        <v>261</v>
      </c>
      <c r="B365" s="3457" t="s">
        <v>120</v>
      </c>
      <c r="C365" s="2002" t="s">
        <v>1355</v>
      </c>
      <c r="D365" s="1992">
        <v>10500000</v>
      </c>
      <c r="E365" s="2013">
        <v>0.05</v>
      </c>
      <c r="F365" s="1992">
        <f t="shared" si="29"/>
        <v>525000</v>
      </c>
      <c r="G365" s="561"/>
      <c r="H365" s="2552"/>
      <c r="I365" s="21" t="s">
        <v>3809</v>
      </c>
      <c r="J365" s="2552">
        <f t="shared" ref="J365:J370" si="40">G365</f>
        <v>0</v>
      </c>
      <c r="K365" s="2558">
        <f>F365-J365</f>
        <v>525000</v>
      </c>
      <c r="L365" s="2036"/>
    </row>
    <row r="366" spans="1:15" ht="30" customHeight="1" x14ac:dyDescent="0.2">
      <c r="A366" s="3456"/>
      <c r="B366" s="3459"/>
      <c r="C366" s="2002" t="s">
        <v>3458</v>
      </c>
      <c r="D366" s="1992">
        <v>10000000</v>
      </c>
      <c r="E366" s="2013">
        <v>7.0000000000000007E-2</v>
      </c>
      <c r="F366" s="1992">
        <f>D366*E366</f>
        <v>700000.00000000012</v>
      </c>
      <c r="G366" s="561"/>
      <c r="H366" s="2552"/>
      <c r="I366" s="21" t="s">
        <v>423</v>
      </c>
      <c r="J366" s="2552">
        <f t="shared" si="40"/>
        <v>0</v>
      </c>
      <c r="K366" s="2558"/>
      <c r="L366" s="2027"/>
    </row>
    <row r="367" spans="1:15" ht="30" customHeight="1" x14ac:dyDescent="0.2">
      <c r="A367" s="3456"/>
      <c r="B367" s="3459"/>
      <c r="C367" s="2002" t="s">
        <v>265</v>
      </c>
      <c r="D367" s="1992">
        <v>5000000</v>
      </c>
      <c r="E367" s="2013">
        <v>7.0000000000000007E-2</v>
      </c>
      <c r="F367" s="1992">
        <f>D367*E367</f>
        <v>350000.00000000006</v>
      </c>
      <c r="G367" s="561"/>
      <c r="H367" s="2552"/>
      <c r="I367" s="21" t="s">
        <v>423</v>
      </c>
      <c r="J367" s="2552">
        <f t="shared" si="40"/>
        <v>0</v>
      </c>
      <c r="K367" s="2558">
        <f>F367-J367</f>
        <v>350000.00000000006</v>
      </c>
      <c r="L367" s="2027"/>
    </row>
    <row r="368" spans="1:15" ht="30" customHeight="1" x14ac:dyDescent="0.2">
      <c r="A368" s="3451"/>
      <c r="B368" s="3458"/>
      <c r="C368" s="2002"/>
      <c r="D368" s="1992"/>
      <c r="E368" s="2013"/>
      <c r="F368" s="1992"/>
      <c r="G368" s="561"/>
      <c r="H368" s="2552"/>
      <c r="I368" s="21" t="s">
        <v>3809</v>
      </c>
      <c r="J368" s="2552">
        <f t="shared" si="40"/>
        <v>0</v>
      </c>
      <c r="K368" s="2558"/>
      <c r="L368" s="2027"/>
    </row>
    <row r="369" spans="1:15" ht="30" customHeight="1" x14ac:dyDescent="0.2">
      <c r="A369" s="2014">
        <v>263</v>
      </c>
      <c r="B369" s="22" t="s">
        <v>586</v>
      </c>
      <c r="C369" s="2016"/>
      <c r="D369" s="2009">
        <v>105000000</v>
      </c>
      <c r="E369" s="2013">
        <v>5.8000000000000003E-2</v>
      </c>
      <c r="F369" s="2009">
        <v>6000000</v>
      </c>
      <c r="G369" s="561">
        <v>6000000</v>
      </c>
      <c r="H369" s="2552" t="s">
        <v>4184</v>
      </c>
      <c r="I369" s="2552" t="s">
        <v>461</v>
      </c>
      <c r="J369" s="2552">
        <f t="shared" si="40"/>
        <v>6000000</v>
      </c>
      <c r="K369" s="2552">
        <f>F369-J369</f>
        <v>0</v>
      </c>
      <c r="L369" s="2022" t="s">
        <v>3614</v>
      </c>
    </row>
    <row r="370" spans="1:15" ht="30" customHeight="1" x14ac:dyDescent="0.2">
      <c r="A370" s="1984">
        <v>264</v>
      </c>
      <c r="B370" s="1987" t="s">
        <v>122</v>
      </c>
      <c r="C370" s="2002" t="s">
        <v>265</v>
      </c>
      <c r="D370" s="1992">
        <v>50000000</v>
      </c>
      <c r="E370" s="1989">
        <f>F370/D370</f>
        <v>0.06</v>
      </c>
      <c r="F370" s="1992">
        <v>3000000</v>
      </c>
      <c r="G370" s="482">
        <v>3000000</v>
      </c>
      <c r="H370" s="2570" t="s">
        <v>4156</v>
      </c>
      <c r="I370" s="28" t="s">
        <v>3701</v>
      </c>
      <c r="J370" s="2558">
        <f t="shared" si="40"/>
        <v>3000000</v>
      </c>
      <c r="K370" s="2558">
        <f>F370-J370</f>
        <v>0</v>
      </c>
      <c r="L370" s="2036" t="s">
        <v>3998</v>
      </c>
    </row>
    <row r="371" spans="1:15" ht="30" customHeight="1" x14ac:dyDescent="0.2">
      <c r="A371" s="3450">
        <v>265</v>
      </c>
      <c r="B371" s="3687" t="s">
        <v>124</v>
      </c>
      <c r="C371" s="3686" t="s">
        <v>265</v>
      </c>
      <c r="D371" s="3442">
        <v>1000000000</v>
      </c>
      <c r="E371" s="3444">
        <v>7.0000000000000007E-2</v>
      </c>
      <c r="F371" s="3442">
        <f>D371*E371</f>
        <v>70000000</v>
      </c>
      <c r="G371" s="561">
        <v>30000000</v>
      </c>
      <c r="H371" s="2552" t="s">
        <v>4105</v>
      </c>
      <c r="I371" s="2552" t="s">
        <v>3425</v>
      </c>
      <c r="J371" s="2557">
        <f>G371+G372</f>
        <v>70000000</v>
      </c>
      <c r="K371" s="2557">
        <f>F371-J371</f>
        <v>0</v>
      </c>
      <c r="L371" s="2022" t="s">
        <v>3418</v>
      </c>
    </row>
    <row r="372" spans="1:15" ht="30" customHeight="1" x14ac:dyDescent="0.2">
      <c r="A372" s="3456"/>
      <c r="B372" s="3687"/>
      <c r="C372" s="3686"/>
      <c r="D372" s="3443"/>
      <c r="E372" s="3445"/>
      <c r="F372" s="3443"/>
      <c r="G372" s="561">
        <v>40000000</v>
      </c>
      <c r="H372" s="2552" t="s">
        <v>4156</v>
      </c>
      <c r="I372" s="2552" t="s">
        <v>3425</v>
      </c>
      <c r="J372" s="2558"/>
      <c r="K372" s="2558"/>
      <c r="L372" s="1594"/>
    </row>
    <row r="373" spans="1:15" ht="30" customHeight="1" x14ac:dyDescent="0.2">
      <c r="A373" s="2014">
        <v>266</v>
      </c>
      <c r="B373" s="1987" t="s">
        <v>2038</v>
      </c>
      <c r="C373" s="2002"/>
      <c r="D373" s="1992">
        <v>80000000</v>
      </c>
      <c r="E373" s="1989">
        <v>4.4999999999999998E-2</v>
      </c>
      <c r="F373" s="1992">
        <f t="shared" ref="F373:F434" si="41">D373*E373</f>
        <v>3600000</v>
      </c>
      <c r="G373" s="482">
        <v>3600000</v>
      </c>
      <c r="H373" s="2558" t="s">
        <v>4201</v>
      </c>
      <c r="I373" s="21" t="s">
        <v>4206</v>
      </c>
      <c r="J373" s="2558">
        <f>G373</f>
        <v>3600000</v>
      </c>
      <c r="K373" s="2558">
        <f>F373-J373</f>
        <v>0</v>
      </c>
      <c r="L373" s="2017"/>
    </row>
    <row r="374" spans="1:15" ht="30" customHeight="1" x14ac:dyDescent="0.2">
      <c r="A374" s="3450">
        <v>267</v>
      </c>
      <c r="B374" s="3457" t="s">
        <v>508</v>
      </c>
      <c r="C374" s="3570" t="s">
        <v>379</v>
      </c>
      <c r="D374" s="3442">
        <v>300000000</v>
      </c>
      <c r="E374" s="3444">
        <v>0.04</v>
      </c>
      <c r="F374" s="3442">
        <f>D374*E374</f>
        <v>12000000</v>
      </c>
      <c r="G374" s="2780">
        <v>12000000</v>
      </c>
      <c r="H374" s="2557" t="s">
        <v>4184</v>
      </c>
      <c r="I374" s="2557" t="s">
        <v>3717</v>
      </c>
      <c r="J374" s="2557">
        <f>G374</f>
        <v>12000000</v>
      </c>
      <c r="K374" s="2557">
        <f>F374-J374</f>
        <v>0</v>
      </c>
      <c r="L374" s="2022" t="s">
        <v>3026</v>
      </c>
    </row>
    <row r="375" spans="1:15" ht="30" customHeight="1" x14ac:dyDescent="0.2">
      <c r="A375" s="3451"/>
      <c r="B375" s="3458"/>
      <c r="C375" s="3571"/>
      <c r="D375" s="3443"/>
      <c r="E375" s="3445"/>
      <c r="F375" s="3443"/>
      <c r="G375" s="2734"/>
      <c r="H375" s="2558"/>
      <c r="I375" s="2558"/>
      <c r="J375" s="2558"/>
      <c r="K375" s="2558"/>
      <c r="L375" s="2022" t="s">
        <v>3516</v>
      </c>
    </row>
    <row r="376" spans="1:15" ht="30" customHeight="1" x14ac:dyDescent="0.2">
      <c r="A376" s="2014">
        <v>268</v>
      </c>
      <c r="B376" s="2017" t="s">
        <v>400</v>
      </c>
      <c r="C376" s="2002" t="s">
        <v>401</v>
      </c>
      <c r="D376" s="1992">
        <v>130000000</v>
      </c>
      <c r="E376" s="2013">
        <v>4.4999999999999998E-2</v>
      </c>
      <c r="F376" s="1992">
        <f t="shared" si="41"/>
        <v>5850000</v>
      </c>
      <c r="G376" s="482">
        <v>5850000</v>
      </c>
      <c r="H376" s="2558" t="s">
        <v>4184</v>
      </c>
      <c r="I376" s="21" t="s">
        <v>3654</v>
      </c>
      <c r="J376" s="2558">
        <f>G376</f>
        <v>5850000</v>
      </c>
      <c r="K376" s="2558">
        <f>F376-J376</f>
        <v>0</v>
      </c>
      <c r="L376" s="2017"/>
    </row>
    <row r="377" spans="1:15" ht="30" customHeight="1" x14ac:dyDescent="0.2">
      <c r="A377" s="2014">
        <v>269</v>
      </c>
      <c r="B377" s="2017" t="s">
        <v>126</v>
      </c>
      <c r="C377" s="2002" t="s">
        <v>265</v>
      </c>
      <c r="D377" s="1992">
        <v>300000000</v>
      </c>
      <c r="E377" s="2013">
        <v>0.05</v>
      </c>
      <c r="F377" s="1992">
        <f t="shared" si="41"/>
        <v>15000000</v>
      </c>
      <c r="G377" s="482">
        <v>15000000</v>
      </c>
      <c r="H377" s="2558" t="s">
        <v>4156</v>
      </c>
      <c r="I377" s="24" t="s">
        <v>3683</v>
      </c>
      <c r="J377" s="2558">
        <f>G377</f>
        <v>15000000</v>
      </c>
      <c r="K377" s="2558">
        <f>F377-J377</f>
        <v>0</v>
      </c>
      <c r="L377" s="2017"/>
    </row>
    <row r="378" spans="1:15" ht="30" customHeight="1" x14ac:dyDescent="0.2">
      <c r="A378" s="2014">
        <v>270</v>
      </c>
      <c r="B378" s="2017" t="s">
        <v>127</v>
      </c>
      <c r="C378" s="2002"/>
      <c r="D378" s="1992">
        <v>20000000</v>
      </c>
      <c r="E378" s="2013">
        <v>5.5E-2</v>
      </c>
      <c r="F378" s="1992">
        <f t="shared" si="41"/>
        <v>1100000</v>
      </c>
      <c r="G378" s="482">
        <v>1000000</v>
      </c>
      <c r="H378" s="2558" t="s">
        <v>4216</v>
      </c>
      <c r="I378" s="24" t="s">
        <v>503</v>
      </c>
      <c r="J378" s="2558">
        <f>G378</f>
        <v>1000000</v>
      </c>
      <c r="K378" s="2558">
        <f>F378-J378</f>
        <v>100000</v>
      </c>
      <c r="L378" s="2229" t="s">
        <v>4223</v>
      </c>
    </row>
    <row r="379" spans="1:15" ht="30" customHeight="1" x14ac:dyDescent="0.2">
      <c r="A379" s="3450">
        <v>271</v>
      </c>
      <c r="B379" s="3457" t="s">
        <v>128</v>
      </c>
      <c r="C379" s="2016" t="s">
        <v>367</v>
      </c>
      <c r="D379" s="2009">
        <v>40000000</v>
      </c>
      <c r="E379" s="2013">
        <v>5.5E-2</v>
      </c>
      <c r="F379" s="2009">
        <f t="shared" si="41"/>
        <v>2200000</v>
      </c>
      <c r="G379" s="561">
        <v>2200000</v>
      </c>
      <c r="H379" s="2552" t="s">
        <v>4201</v>
      </c>
      <c r="I379" s="21" t="s">
        <v>3711</v>
      </c>
      <c r="J379" s="2552">
        <f>G379</f>
        <v>2200000</v>
      </c>
      <c r="K379" s="2552">
        <f>F379-J379</f>
        <v>0</v>
      </c>
      <c r="L379" s="2017"/>
    </row>
    <row r="380" spans="1:15" ht="30" customHeight="1" x14ac:dyDescent="0.2">
      <c r="A380" s="3456"/>
      <c r="B380" s="3459"/>
      <c r="C380" s="3570" t="s">
        <v>1909</v>
      </c>
      <c r="D380" s="2188">
        <v>10000000</v>
      </c>
      <c r="E380" s="2187">
        <v>0.04</v>
      </c>
      <c r="F380" s="2188">
        <f t="shared" si="41"/>
        <v>400000</v>
      </c>
      <c r="G380" s="2780">
        <v>900000</v>
      </c>
      <c r="H380" s="2557" t="s">
        <v>4330</v>
      </c>
      <c r="I380" s="2557" t="s">
        <v>514</v>
      </c>
      <c r="J380" s="2557">
        <f>G380</f>
        <v>900000</v>
      </c>
      <c r="K380" s="2557">
        <f>(F380+F381)-J380</f>
        <v>0</v>
      </c>
      <c r="L380" s="3815" t="s">
        <v>4406</v>
      </c>
      <c r="M380" s="2412"/>
      <c r="N380" s="2412"/>
      <c r="O380" s="2412"/>
    </row>
    <row r="381" spans="1:15" ht="30" customHeight="1" x14ac:dyDescent="0.2">
      <c r="A381" s="3451"/>
      <c r="B381" s="3458"/>
      <c r="C381" s="3571"/>
      <c r="D381" s="2393">
        <v>10000000</v>
      </c>
      <c r="E381" s="2394">
        <v>0.05</v>
      </c>
      <c r="F381" s="2393">
        <f t="shared" si="41"/>
        <v>500000</v>
      </c>
      <c r="G381" s="2734"/>
      <c r="H381" s="2558"/>
      <c r="I381" s="2558"/>
      <c r="J381" s="2558"/>
      <c r="K381" s="2558"/>
      <c r="L381" s="3815"/>
      <c r="M381" s="264"/>
      <c r="N381" s="264"/>
      <c r="O381" s="264"/>
    </row>
    <row r="382" spans="1:15" ht="30" customHeight="1" x14ac:dyDescent="0.2">
      <c r="A382" s="3450"/>
      <c r="B382" s="3687" t="s">
        <v>2658</v>
      </c>
      <c r="C382" s="3570" t="s">
        <v>1342</v>
      </c>
      <c r="D382" s="2038">
        <v>495000000</v>
      </c>
      <c r="E382" s="2035">
        <v>5.5E-2</v>
      </c>
      <c r="F382" s="2038">
        <f>D382*E382</f>
        <v>27225000</v>
      </c>
      <c r="G382" s="2760"/>
      <c r="H382" s="2760"/>
      <c r="I382" s="2760"/>
      <c r="J382" s="2760"/>
      <c r="K382" s="2557">
        <f>F386-J386</f>
        <v>-15000</v>
      </c>
      <c r="L382" s="3627" t="s">
        <v>4092</v>
      </c>
    </row>
    <row r="383" spans="1:15" ht="30" customHeight="1" x14ac:dyDescent="0.2">
      <c r="A383" s="3456"/>
      <c r="B383" s="3687"/>
      <c r="C383" s="3576"/>
      <c r="D383" s="2038">
        <v>65000000</v>
      </c>
      <c r="E383" s="2035">
        <v>0.06</v>
      </c>
      <c r="F383" s="2038">
        <f>D383*E383</f>
        <v>3900000</v>
      </c>
      <c r="G383" s="2760"/>
      <c r="H383" s="2760"/>
      <c r="I383" s="2760"/>
      <c r="J383" s="2760"/>
      <c r="K383" s="2560"/>
      <c r="L383" s="3668"/>
    </row>
    <row r="384" spans="1:15" ht="30" customHeight="1" x14ac:dyDescent="0.2">
      <c r="A384" s="3456"/>
      <c r="B384" s="3687"/>
      <c r="C384" s="3576"/>
      <c r="D384" s="2038">
        <v>246000000</v>
      </c>
      <c r="E384" s="2035">
        <v>0.06</v>
      </c>
      <c r="F384" s="2038">
        <f>D384*E384</f>
        <v>14760000</v>
      </c>
      <c r="G384" s="2760"/>
      <c r="H384" s="2760"/>
      <c r="I384" s="2760"/>
      <c r="J384" s="2760"/>
      <c r="K384" s="2560"/>
      <c r="L384" s="3668"/>
    </row>
    <row r="385" spans="1:12" ht="30" customHeight="1" x14ac:dyDescent="0.2">
      <c r="A385" s="3456"/>
      <c r="B385" s="3687"/>
      <c r="C385" s="3576"/>
      <c r="D385" s="3819" t="s">
        <v>1899</v>
      </c>
      <c r="E385" s="3820"/>
      <c r="F385" s="2038">
        <v>1300000</v>
      </c>
      <c r="G385" s="2760"/>
      <c r="H385" s="2760"/>
      <c r="I385" s="2760"/>
      <c r="J385" s="2760"/>
      <c r="K385" s="2560"/>
      <c r="L385" s="3668"/>
    </row>
    <row r="386" spans="1:12" ht="30" customHeight="1" x14ac:dyDescent="0.2">
      <c r="A386" s="3456"/>
      <c r="B386" s="3687"/>
      <c r="C386" s="3576"/>
      <c r="D386" s="3881">
        <f>D382+D383+D384</f>
        <v>806000000</v>
      </c>
      <c r="E386" s="3883"/>
      <c r="F386" s="3454">
        <f>F382+F383+F384+F385</f>
        <v>47185000</v>
      </c>
      <c r="G386" s="2731">
        <v>20000000</v>
      </c>
      <c r="H386" s="21" t="s">
        <v>4184</v>
      </c>
      <c r="I386" s="21" t="s">
        <v>4190</v>
      </c>
      <c r="J386" s="2574">
        <f>G386+G387</f>
        <v>47200000</v>
      </c>
      <c r="K386" s="2560"/>
      <c r="L386" s="3668"/>
    </row>
    <row r="387" spans="1:12" ht="30" customHeight="1" x14ac:dyDescent="0.2">
      <c r="A387" s="3456"/>
      <c r="B387" s="3687"/>
      <c r="C387" s="3576"/>
      <c r="D387" s="3884"/>
      <c r="E387" s="3886"/>
      <c r="F387" s="3455"/>
      <c r="G387" s="2731">
        <v>27200000</v>
      </c>
      <c r="H387" s="21" t="s">
        <v>4216</v>
      </c>
      <c r="I387" s="21" t="s">
        <v>841</v>
      </c>
      <c r="J387" s="2575"/>
      <c r="K387" s="2558"/>
      <c r="L387" s="3628"/>
    </row>
    <row r="388" spans="1:12" ht="30" customHeight="1" x14ac:dyDescent="0.2">
      <c r="A388" s="2014">
        <v>273</v>
      </c>
      <c r="B388" s="2017" t="s">
        <v>130</v>
      </c>
      <c r="C388" s="2016" t="s">
        <v>1346</v>
      </c>
      <c r="D388" s="1992">
        <v>20000000</v>
      </c>
      <c r="E388" s="2013">
        <v>0.05</v>
      </c>
      <c r="F388" s="1992">
        <f t="shared" si="41"/>
        <v>1000000</v>
      </c>
      <c r="G388" s="482">
        <v>1000000</v>
      </c>
      <c r="H388" s="2558" t="s">
        <v>4201</v>
      </c>
      <c r="I388" s="24" t="s">
        <v>3801</v>
      </c>
      <c r="J388" s="2558">
        <f>G388</f>
        <v>1000000</v>
      </c>
      <c r="K388" s="2558">
        <f>F388-J388</f>
        <v>0</v>
      </c>
      <c r="L388" s="2017"/>
    </row>
    <row r="389" spans="1:12" ht="30" customHeight="1" x14ac:dyDescent="0.2">
      <c r="A389" s="3450">
        <v>274</v>
      </c>
      <c r="B389" s="2018" t="s">
        <v>131</v>
      </c>
      <c r="C389" s="385"/>
      <c r="D389" s="1992">
        <v>50000000</v>
      </c>
      <c r="E389" s="2013">
        <v>0.05</v>
      </c>
      <c r="F389" s="1992">
        <f>D389*E389</f>
        <v>2500000</v>
      </c>
      <c r="G389" s="482"/>
      <c r="H389" s="2558"/>
      <c r="I389" s="24" t="s">
        <v>397</v>
      </c>
      <c r="J389" s="2558">
        <f>G389</f>
        <v>0</v>
      </c>
      <c r="K389" s="2558">
        <f>F389-J389</f>
        <v>2500000</v>
      </c>
      <c r="L389" s="171"/>
    </row>
    <row r="390" spans="1:12" ht="30" customHeight="1" x14ac:dyDescent="0.2">
      <c r="A390" s="3451"/>
      <c r="B390" s="2019"/>
      <c r="C390" s="756"/>
      <c r="D390" s="1992">
        <v>50000000</v>
      </c>
      <c r="E390" s="2013">
        <v>0.05</v>
      </c>
      <c r="F390" s="1992">
        <f>D390*E390</f>
        <v>2500000</v>
      </c>
      <c r="G390" s="2728"/>
      <c r="H390" s="247"/>
      <c r="I390" s="247"/>
      <c r="J390" s="247"/>
      <c r="K390" s="2558"/>
      <c r="L390" s="2039" t="s">
        <v>3521</v>
      </c>
    </row>
    <row r="391" spans="1:12" ht="30" customHeight="1" x14ac:dyDescent="0.2">
      <c r="A391" s="2014">
        <v>275</v>
      </c>
      <c r="B391" s="2017" t="s">
        <v>132</v>
      </c>
      <c r="C391" s="2002" t="s">
        <v>1346</v>
      </c>
      <c r="D391" s="1992">
        <v>130000000</v>
      </c>
      <c r="E391" s="2013">
        <v>0.05</v>
      </c>
      <c r="F391" s="1992">
        <f t="shared" si="41"/>
        <v>6500000</v>
      </c>
      <c r="G391" s="482">
        <v>6500000</v>
      </c>
      <c r="H391" s="2558" t="s">
        <v>4216</v>
      </c>
      <c r="I391" s="24" t="s">
        <v>2310</v>
      </c>
      <c r="J391" s="2558">
        <f>G391</f>
        <v>6500000</v>
      </c>
      <c r="K391" s="2558">
        <f>F391-J391</f>
        <v>0</v>
      </c>
      <c r="L391" s="2017"/>
    </row>
    <row r="392" spans="1:12" ht="30" customHeight="1" x14ac:dyDescent="0.2">
      <c r="A392" s="3450">
        <v>276</v>
      </c>
      <c r="B392" s="3457" t="s">
        <v>133</v>
      </c>
      <c r="C392" s="3570"/>
      <c r="D392" s="3442">
        <v>95000000</v>
      </c>
      <c r="E392" s="3444">
        <v>5.2999999999999999E-2</v>
      </c>
      <c r="F392" s="3442">
        <v>5000000</v>
      </c>
      <c r="G392" s="482">
        <v>500000</v>
      </c>
      <c r="H392" s="2558" t="s">
        <v>4286</v>
      </c>
      <c r="I392" s="24" t="s">
        <v>3639</v>
      </c>
      <c r="J392" s="2557">
        <f>G392+G393</f>
        <v>5000000</v>
      </c>
      <c r="K392" s="2557">
        <f>F392-J392</f>
        <v>0</v>
      </c>
      <c r="L392" s="3525"/>
    </row>
    <row r="393" spans="1:12" ht="30" customHeight="1" x14ac:dyDescent="0.2">
      <c r="A393" s="3451"/>
      <c r="B393" s="3458"/>
      <c r="C393" s="3571"/>
      <c r="D393" s="3443"/>
      <c r="E393" s="3445"/>
      <c r="F393" s="3443"/>
      <c r="G393" s="482">
        <v>4500000</v>
      </c>
      <c r="H393" s="2558" t="s">
        <v>4301</v>
      </c>
      <c r="I393" s="24" t="s">
        <v>3639</v>
      </c>
      <c r="J393" s="2558"/>
      <c r="K393" s="2558"/>
      <c r="L393" s="3526"/>
    </row>
    <row r="394" spans="1:12" ht="30" customHeight="1" x14ac:dyDescent="0.2">
      <c r="A394" s="2014">
        <v>277</v>
      </c>
      <c r="B394" s="2017" t="s">
        <v>134</v>
      </c>
      <c r="C394" s="2002" t="s">
        <v>2983</v>
      </c>
      <c r="D394" s="1992">
        <v>200000000</v>
      </c>
      <c r="E394" s="2013">
        <v>0.05</v>
      </c>
      <c r="F394" s="1992">
        <f t="shared" si="41"/>
        <v>10000000</v>
      </c>
      <c r="G394" s="482">
        <v>10000000</v>
      </c>
      <c r="H394" s="2558" t="s">
        <v>4201</v>
      </c>
      <c r="I394" s="24" t="s">
        <v>4212</v>
      </c>
      <c r="J394" s="2558">
        <f>G394</f>
        <v>10000000</v>
      </c>
      <c r="K394" s="2558">
        <f>F394-J394</f>
        <v>0</v>
      </c>
      <c r="L394" s="2017"/>
    </row>
    <row r="395" spans="1:12" ht="30" customHeight="1" x14ac:dyDescent="0.2">
      <c r="A395" s="3450">
        <v>278</v>
      </c>
      <c r="B395" s="3457" t="s">
        <v>634</v>
      </c>
      <c r="C395" s="3570" t="s">
        <v>3142</v>
      </c>
      <c r="D395" s="3442">
        <v>10000000</v>
      </c>
      <c r="E395" s="3444">
        <v>0.04</v>
      </c>
      <c r="F395" s="3442">
        <f>D395*E395</f>
        <v>400000</v>
      </c>
      <c r="G395" s="561">
        <v>5000000</v>
      </c>
      <c r="H395" s="2552" t="s">
        <v>4059</v>
      </c>
      <c r="I395" s="2593" t="s">
        <v>2192</v>
      </c>
      <c r="J395" s="2557">
        <f>G395+G396</f>
        <v>10000000</v>
      </c>
      <c r="K395" s="2557">
        <f>D396-J395</f>
        <v>-10000000</v>
      </c>
      <c r="L395" s="3627" t="s">
        <v>4172</v>
      </c>
    </row>
    <row r="396" spans="1:12" ht="30" customHeight="1" x14ac:dyDescent="0.2">
      <c r="A396" s="3456"/>
      <c r="B396" s="3459"/>
      <c r="C396" s="3576"/>
      <c r="D396" s="3443"/>
      <c r="E396" s="3445"/>
      <c r="F396" s="3443"/>
      <c r="G396" s="561">
        <v>5000000</v>
      </c>
      <c r="H396" s="2552" t="s">
        <v>4133</v>
      </c>
      <c r="I396" s="2593" t="s">
        <v>2192</v>
      </c>
      <c r="J396" s="2558"/>
      <c r="K396" s="2558"/>
      <c r="L396" s="3628"/>
    </row>
    <row r="397" spans="1:12" ht="30" customHeight="1" x14ac:dyDescent="0.2">
      <c r="A397" s="3456"/>
      <c r="B397" s="3459"/>
      <c r="C397" s="3576"/>
      <c r="D397" s="2212">
        <v>10000000</v>
      </c>
      <c r="E397" s="2776"/>
      <c r="F397" s="2777"/>
      <c r="G397" s="2780">
        <v>1585000</v>
      </c>
      <c r="H397" s="2557" t="s">
        <v>4216</v>
      </c>
      <c r="I397" s="2564" t="s">
        <v>2192</v>
      </c>
      <c r="J397" s="2557">
        <f>G397</f>
        <v>1585000</v>
      </c>
      <c r="K397" s="2557">
        <v>0</v>
      </c>
      <c r="L397" s="3627" t="s">
        <v>4219</v>
      </c>
    </row>
    <row r="398" spans="1:12" ht="30" customHeight="1" x14ac:dyDescent="0.2">
      <c r="A398" s="3451"/>
      <c r="B398" s="3458"/>
      <c r="C398" s="3571"/>
      <c r="D398" s="2212">
        <v>30000000</v>
      </c>
      <c r="E398" s="2224">
        <v>4.4999999999999998E-2</v>
      </c>
      <c r="F398" s="2212">
        <f>D398*E398</f>
        <v>1350000</v>
      </c>
      <c r="G398" s="2734"/>
      <c r="H398" s="2558"/>
      <c r="I398" s="2565"/>
      <c r="J398" s="2558"/>
      <c r="K398" s="2558"/>
      <c r="L398" s="3628"/>
    </row>
    <row r="399" spans="1:12" ht="30" customHeight="1" x14ac:dyDescent="0.2">
      <c r="A399" s="2014">
        <v>279</v>
      </c>
      <c r="B399" s="2017" t="s">
        <v>135</v>
      </c>
      <c r="C399" s="2002" t="s">
        <v>411</v>
      </c>
      <c r="D399" s="1992">
        <v>11000000</v>
      </c>
      <c r="E399" s="2013">
        <v>4.4999999999999998E-2</v>
      </c>
      <c r="F399" s="1992">
        <v>500000</v>
      </c>
      <c r="G399" s="482">
        <v>500000</v>
      </c>
      <c r="H399" s="2558" t="s">
        <v>4156</v>
      </c>
      <c r="I399" s="24" t="s">
        <v>3808</v>
      </c>
      <c r="J399" s="2558">
        <f>G399</f>
        <v>500000</v>
      </c>
      <c r="K399" s="2558">
        <f>F399-J399</f>
        <v>0</v>
      </c>
      <c r="L399" s="2017"/>
    </row>
    <row r="400" spans="1:12" ht="30" customHeight="1" x14ac:dyDescent="0.2">
      <c r="A400" s="2014">
        <v>280</v>
      </c>
      <c r="B400" s="2116" t="s">
        <v>468</v>
      </c>
      <c r="C400" s="421"/>
      <c r="D400" s="2009">
        <v>20000000</v>
      </c>
      <c r="E400" s="2013">
        <v>0.05</v>
      </c>
      <c r="F400" s="2009">
        <f t="shared" si="41"/>
        <v>1000000</v>
      </c>
      <c r="G400" s="561">
        <v>1000000</v>
      </c>
      <c r="H400" s="2552" t="s">
        <v>4249</v>
      </c>
      <c r="I400" s="2552" t="s">
        <v>3894</v>
      </c>
      <c r="J400" s="2552">
        <f>G400</f>
        <v>1000000</v>
      </c>
      <c r="K400" s="2552">
        <f>F400-J400</f>
        <v>0</v>
      </c>
      <c r="L400" s="1077" t="s">
        <v>3232</v>
      </c>
    </row>
    <row r="401" spans="1:12" ht="30" customHeight="1" x14ac:dyDescent="0.2">
      <c r="A401" s="1984">
        <v>281</v>
      </c>
      <c r="B401" s="2018" t="s">
        <v>136</v>
      </c>
      <c r="C401" s="2002" t="s">
        <v>1345</v>
      </c>
      <c r="D401" s="1992">
        <v>40000000</v>
      </c>
      <c r="E401" s="1989">
        <v>0.05</v>
      </c>
      <c r="F401" s="1992">
        <f t="shared" si="41"/>
        <v>2000000</v>
      </c>
      <c r="G401" s="482">
        <v>2000000</v>
      </c>
      <c r="H401" s="2558" t="s">
        <v>4201</v>
      </c>
      <c r="I401" s="2558" t="s">
        <v>3817</v>
      </c>
      <c r="J401" s="2558">
        <f>G401</f>
        <v>2000000</v>
      </c>
      <c r="K401" s="2558">
        <f>F401-J401</f>
        <v>0</v>
      </c>
      <c r="L401" s="2017"/>
    </row>
    <row r="402" spans="1:12" ht="30" customHeight="1" x14ac:dyDescent="0.2">
      <c r="A402" s="2014">
        <v>282</v>
      </c>
      <c r="B402" s="2017" t="s">
        <v>1054</v>
      </c>
      <c r="C402" s="2002"/>
      <c r="D402" s="1992">
        <v>20000000</v>
      </c>
      <c r="E402" s="2013">
        <v>0.04</v>
      </c>
      <c r="F402" s="1992">
        <f t="shared" si="41"/>
        <v>800000</v>
      </c>
      <c r="G402" s="482">
        <v>800000</v>
      </c>
      <c r="H402" s="2558" t="s">
        <v>4184</v>
      </c>
      <c r="I402" s="2594" t="s">
        <v>2584</v>
      </c>
      <c r="J402" s="2558">
        <f>G402</f>
        <v>800000</v>
      </c>
      <c r="K402" s="2558">
        <f>F402-J402</f>
        <v>0</v>
      </c>
      <c r="L402" s="2017"/>
    </row>
    <row r="403" spans="1:12" ht="30" customHeight="1" x14ac:dyDescent="0.2">
      <c r="A403" s="3450"/>
      <c r="B403" s="3457" t="s">
        <v>137</v>
      </c>
      <c r="C403" s="2079" t="s">
        <v>1349</v>
      </c>
      <c r="D403" s="2056">
        <f>40823000+3800000</f>
        <v>44623000</v>
      </c>
      <c r="E403" s="2053">
        <v>0.05</v>
      </c>
      <c r="F403" s="2056">
        <f>D403*E403</f>
        <v>2231150</v>
      </c>
      <c r="G403" s="561">
        <v>2231150</v>
      </c>
      <c r="H403" s="2552" t="s">
        <v>4216</v>
      </c>
      <c r="I403" s="2552" t="s">
        <v>646</v>
      </c>
      <c r="J403" s="2557">
        <f>G403</f>
        <v>2231150</v>
      </c>
      <c r="K403" s="2557">
        <f>F403-J403</f>
        <v>0</v>
      </c>
      <c r="L403" s="813" t="s">
        <v>3805</v>
      </c>
    </row>
    <row r="404" spans="1:12" ht="30" customHeight="1" x14ac:dyDescent="0.2">
      <c r="A404" s="3451"/>
      <c r="B404" s="3458"/>
      <c r="C404" s="2374"/>
      <c r="D404" s="2369">
        <f>D403+5488000</f>
        <v>50111000</v>
      </c>
      <c r="E404" s="2367">
        <v>0.05</v>
      </c>
      <c r="F404" s="2369">
        <f>D404*E404</f>
        <v>2505550</v>
      </c>
      <c r="G404" s="2732"/>
      <c r="H404" s="2582"/>
      <c r="I404" s="2582"/>
      <c r="J404" s="2571"/>
      <c r="K404" s="2557"/>
      <c r="L404" s="813" t="s">
        <v>4388</v>
      </c>
    </row>
    <row r="405" spans="1:12" ht="30" customHeight="1" x14ac:dyDescent="0.2">
      <c r="A405" s="2363"/>
      <c r="B405" s="2365" t="s">
        <v>4389</v>
      </c>
      <c r="C405" s="2374"/>
      <c r="D405" s="2369">
        <v>67000000</v>
      </c>
      <c r="E405" s="2367">
        <v>0.05</v>
      </c>
      <c r="F405" s="2369">
        <f>D405*E405</f>
        <v>3350000</v>
      </c>
      <c r="G405" s="2732"/>
      <c r="H405" s="2582"/>
      <c r="I405" s="2582"/>
      <c r="J405" s="2571"/>
      <c r="K405" s="2557"/>
      <c r="L405" s="813" t="s">
        <v>4390</v>
      </c>
    </row>
    <row r="406" spans="1:12" ht="30" customHeight="1" x14ac:dyDescent="0.2">
      <c r="A406" s="3450"/>
      <c r="B406" s="3525" t="s">
        <v>1197</v>
      </c>
      <c r="C406" s="3570"/>
      <c r="D406" s="2084">
        <v>100000000</v>
      </c>
      <c r="E406" s="2091">
        <v>4.4999999999999998E-2</v>
      </c>
      <c r="F406" s="1596">
        <f t="shared" si="41"/>
        <v>4500000</v>
      </c>
      <c r="G406" s="2724"/>
      <c r="H406" s="2412"/>
      <c r="I406" s="2412"/>
      <c r="J406" s="2088"/>
      <c r="K406" s="2557"/>
      <c r="L406" s="813" t="s">
        <v>3920</v>
      </c>
    </row>
    <row r="407" spans="1:12" ht="30" customHeight="1" x14ac:dyDescent="0.2">
      <c r="A407" s="3456"/>
      <c r="B407" s="3643"/>
      <c r="C407" s="3576"/>
      <c r="D407" s="2084">
        <v>60000000</v>
      </c>
      <c r="E407" s="2091">
        <v>0.05</v>
      </c>
      <c r="F407" s="1596">
        <f t="shared" si="41"/>
        <v>3000000</v>
      </c>
      <c r="G407" s="2725"/>
      <c r="H407" s="264"/>
      <c r="I407" s="264"/>
      <c r="J407" s="2089"/>
      <c r="K407" s="2560"/>
      <c r="L407" s="1389"/>
    </row>
    <row r="408" spans="1:12" ht="30" customHeight="1" x14ac:dyDescent="0.2">
      <c r="A408" s="3456"/>
      <c r="B408" s="3643"/>
      <c r="C408" s="3576"/>
      <c r="D408" s="2084">
        <v>30000000</v>
      </c>
      <c r="E408" s="2091">
        <v>0.05</v>
      </c>
      <c r="F408" s="1596">
        <f t="shared" si="41"/>
        <v>1500000</v>
      </c>
      <c r="G408" s="2725"/>
      <c r="H408" s="264"/>
      <c r="I408" s="264"/>
      <c r="J408" s="2089"/>
      <c r="K408" s="2560"/>
      <c r="L408" s="813" t="s">
        <v>3918</v>
      </c>
    </row>
    <row r="409" spans="1:12" ht="30" customHeight="1" x14ac:dyDescent="0.2">
      <c r="A409" s="3456"/>
      <c r="B409" s="3643"/>
      <c r="C409" s="3576"/>
      <c r="D409" s="2084">
        <v>40000000</v>
      </c>
      <c r="E409" s="2091">
        <v>0.05</v>
      </c>
      <c r="F409" s="1596">
        <f t="shared" si="41"/>
        <v>2000000</v>
      </c>
      <c r="G409" s="2150"/>
      <c r="H409" s="2726"/>
      <c r="I409" s="2726"/>
      <c r="J409" s="2090"/>
      <c r="K409" s="2558"/>
      <c r="L409" s="567" t="s">
        <v>3917</v>
      </c>
    </row>
    <row r="410" spans="1:12" ht="30" customHeight="1" x14ac:dyDescent="0.2">
      <c r="A410" s="3451"/>
      <c r="B410" s="3526"/>
      <c r="C410" s="3571"/>
      <c r="D410" s="2227"/>
      <c r="E410" s="2091"/>
      <c r="F410" s="1596">
        <f>SUM(F406:F409)</f>
        <v>11000000</v>
      </c>
      <c r="G410" s="482">
        <v>11000000</v>
      </c>
      <c r="H410" s="2552" t="s">
        <v>4201</v>
      </c>
      <c r="I410" s="2552" t="s">
        <v>2345</v>
      </c>
      <c r="J410" s="2552">
        <f>G410</f>
        <v>11000000</v>
      </c>
      <c r="K410" s="2558">
        <f>F410-J410</f>
        <v>0</v>
      </c>
      <c r="L410" s="567"/>
    </row>
    <row r="411" spans="1:12" ht="30" customHeight="1" x14ac:dyDescent="0.2">
      <c r="A411" s="2014">
        <v>285</v>
      </c>
      <c r="B411" s="2017" t="s">
        <v>138</v>
      </c>
      <c r="C411" s="2002" t="s">
        <v>2408</v>
      </c>
      <c r="D411" s="1992">
        <v>100000000</v>
      </c>
      <c r="E411" s="2013">
        <v>7.0000000000000007E-2</v>
      </c>
      <c r="F411" s="1992">
        <f t="shared" si="41"/>
        <v>7000000.0000000009</v>
      </c>
      <c r="G411" s="482">
        <v>7000000</v>
      </c>
      <c r="H411" s="2558" t="s">
        <v>4216</v>
      </c>
      <c r="I411" s="24" t="s">
        <v>3158</v>
      </c>
      <c r="J411" s="2558">
        <f>G411</f>
        <v>7000000</v>
      </c>
      <c r="K411" s="2558">
        <f>F411-J411</f>
        <v>0</v>
      </c>
      <c r="L411" s="2017"/>
    </row>
    <row r="412" spans="1:12" ht="30" customHeight="1" x14ac:dyDescent="0.2">
      <c r="A412" s="1982">
        <v>286</v>
      </c>
      <c r="B412" s="2018" t="s">
        <v>1715</v>
      </c>
      <c r="C412" s="2016"/>
      <c r="D412" s="2009">
        <v>35000000</v>
      </c>
      <c r="E412" s="1080">
        <v>0.05</v>
      </c>
      <c r="F412" s="2009">
        <v>1700000</v>
      </c>
      <c r="G412" s="561">
        <v>1700000</v>
      </c>
      <c r="H412" s="2552" t="s">
        <v>4105</v>
      </c>
      <c r="I412" s="21" t="s">
        <v>312</v>
      </c>
      <c r="J412" s="2552">
        <f>G412</f>
        <v>1700000</v>
      </c>
      <c r="K412" s="2552">
        <f>F412-J412</f>
        <v>0</v>
      </c>
      <c r="L412" s="2189"/>
    </row>
    <row r="413" spans="1:12" ht="30" customHeight="1" x14ac:dyDescent="0.2">
      <c r="A413" s="3450">
        <v>287</v>
      </c>
      <c r="B413" s="3457" t="s">
        <v>140</v>
      </c>
      <c r="C413" s="3570"/>
      <c r="D413" s="1992">
        <v>15000000</v>
      </c>
      <c r="E413" s="1989">
        <v>0.05</v>
      </c>
      <c r="F413" s="1992">
        <f t="shared" si="41"/>
        <v>750000</v>
      </c>
      <c r="G413" s="2780">
        <v>3000000</v>
      </c>
      <c r="H413" s="2557" t="s">
        <v>4216</v>
      </c>
      <c r="I413" s="2564" t="s">
        <v>3114</v>
      </c>
      <c r="J413" s="2557">
        <f>G413+G414</f>
        <v>3000000</v>
      </c>
      <c r="K413" s="2557">
        <f>(F413+F414)-J413</f>
        <v>0</v>
      </c>
      <c r="L413" s="3446"/>
    </row>
    <row r="414" spans="1:12" ht="30" customHeight="1" x14ac:dyDescent="0.2">
      <c r="A414" s="3451"/>
      <c r="B414" s="3458"/>
      <c r="C414" s="3571"/>
      <c r="D414" s="1992">
        <v>45000000</v>
      </c>
      <c r="E414" s="1989">
        <v>0.05</v>
      </c>
      <c r="F414" s="1992">
        <f t="shared" si="41"/>
        <v>2250000</v>
      </c>
      <c r="G414" s="2734"/>
      <c r="H414" s="2558"/>
      <c r="I414" s="2565"/>
      <c r="J414" s="2558"/>
      <c r="K414" s="2558"/>
      <c r="L414" s="3447"/>
    </row>
    <row r="415" spans="1:12" ht="30" customHeight="1" x14ac:dyDescent="0.2">
      <c r="A415" s="2014">
        <v>288</v>
      </c>
      <c r="B415" s="2017" t="s">
        <v>141</v>
      </c>
      <c r="C415" s="2002" t="s">
        <v>1344</v>
      </c>
      <c r="D415" s="1992">
        <v>50000000</v>
      </c>
      <c r="E415" s="2013">
        <v>4.4999999999999998E-2</v>
      </c>
      <c r="F415" s="1992">
        <f t="shared" si="41"/>
        <v>2250000</v>
      </c>
      <c r="G415" s="482">
        <v>2250000</v>
      </c>
      <c r="H415" s="2558" t="s">
        <v>4216</v>
      </c>
      <c r="I415" s="24" t="s">
        <v>2209</v>
      </c>
      <c r="J415" s="2558">
        <f t="shared" ref="J415:J420" si="42">G415</f>
        <v>2250000</v>
      </c>
      <c r="K415" s="2558">
        <f>F415-J415</f>
        <v>0</v>
      </c>
      <c r="L415" s="2017"/>
    </row>
    <row r="416" spans="1:12" ht="30" customHeight="1" x14ac:dyDescent="0.2">
      <c r="A416" s="2014">
        <v>289</v>
      </c>
      <c r="B416" s="2017" t="s">
        <v>653</v>
      </c>
      <c r="C416" s="2002" t="s">
        <v>1354</v>
      </c>
      <c r="D416" s="1992">
        <v>25000000</v>
      </c>
      <c r="E416" s="2013">
        <v>5.3999999999999999E-2</v>
      </c>
      <c r="F416" s="1992">
        <f t="shared" si="41"/>
        <v>1350000</v>
      </c>
      <c r="G416" s="482">
        <v>1350000</v>
      </c>
      <c r="H416" s="2558" t="s">
        <v>4249</v>
      </c>
      <c r="I416" s="21" t="s">
        <v>654</v>
      </c>
      <c r="J416" s="2558">
        <f t="shared" si="42"/>
        <v>1350000</v>
      </c>
      <c r="K416" s="2558">
        <f>F416-J416</f>
        <v>0</v>
      </c>
      <c r="L416" s="2017"/>
    </row>
    <row r="417" spans="1:12" ht="30" customHeight="1" x14ac:dyDescent="0.2">
      <c r="A417" s="2047">
        <v>290</v>
      </c>
      <c r="B417" s="2076" t="s">
        <v>3986</v>
      </c>
      <c r="C417" s="2002" t="s">
        <v>1343</v>
      </c>
      <c r="D417" s="2056">
        <v>1150000000</v>
      </c>
      <c r="E417" s="2078">
        <v>7.0000000000000007E-2</v>
      </c>
      <c r="F417" s="2056">
        <f>D417*E417</f>
        <v>80500000.000000015</v>
      </c>
      <c r="G417" s="561">
        <v>80500000</v>
      </c>
      <c r="H417" s="2552" t="s">
        <v>3160</v>
      </c>
      <c r="I417" s="2552" t="s">
        <v>4237</v>
      </c>
      <c r="J417" s="2552">
        <f>G417</f>
        <v>80500000</v>
      </c>
      <c r="K417" s="2558">
        <f>F417-J417</f>
        <v>0</v>
      </c>
      <c r="L417" s="2073" t="s">
        <v>3997</v>
      </c>
    </row>
    <row r="418" spans="1:12" ht="30" customHeight="1" x14ac:dyDescent="0.2">
      <c r="A418" s="2014">
        <v>292</v>
      </c>
      <c r="B418" s="2017" t="s">
        <v>143</v>
      </c>
      <c r="C418" s="2016" t="s">
        <v>1354</v>
      </c>
      <c r="D418" s="1992">
        <v>100000000</v>
      </c>
      <c r="E418" s="2013">
        <v>0.05</v>
      </c>
      <c r="F418" s="1992">
        <f t="shared" si="41"/>
        <v>5000000</v>
      </c>
      <c r="G418" s="482"/>
      <c r="H418" s="2558"/>
      <c r="I418" s="70" t="s">
        <v>2701</v>
      </c>
      <c r="J418" s="2558">
        <f t="shared" si="42"/>
        <v>0</v>
      </c>
      <c r="K418" s="2558">
        <f>F418-J418</f>
        <v>5000000</v>
      </c>
      <c r="L418" s="2017"/>
    </row>
    <row r="419" spans="1:12" ht="30" customHeight="1" x14ac:dyDescent="0.2">
      <c r="A419" s="2014">
        <v>293</v>
      </c>
      <c r="B419" s="2017" t="s">
        <v>144</v>
      </c>
      <c r="C419" s="2002" t="s">
        <v>1354</v>
      </c>
      <c r="D419" s="1992">
        <v>75000000</v>
      </c>
      <c r="E419" s="2013">
        <v>0.04</v>
      </c>
      <c r="F419" s="1992">
        <f>D419*E419</f>
        <v>3000000</v>
      </c>
      <c r="G419" s="482">
        <v>3000000</v>
      </c>
      <c r="H419" s="2558" t="s">
        <v>4249</v>
      </c>
      <c r="I419" s="21" t="s">
        <v>746</v>
      </c>
      <c r="J419" s="2558">
        <f t="shared" si="42"/>
        <v>3000000</v>
      </c>
      <c r="K419" s="2558">
        <f>F419-J419</f>
        <v>0</v>
      </c>
      <c r="L419" s="2017"/>
    </row>
    <row r="420" spans="1:12" ht="30" customHeight="1" x14ac:dyDescent="0.2">
      <c r="A420" s="3450">
        <v>295</v>
      </c>
      <c r="B420" s="2018" t="s">
        <v>145</v>
      </c>
      <c r="C420" s="3570" t="s">
        <v>1354</v>
      </c>
      <c r="D420" s="1992">
        <v>100000000</v>
      </c>
      <c r="E420" s="2013">
        <v>0.05</v>
      </c>
      <c r="F420" s="1992">
        <f t="shared" si="41"/>
        <v>5000000</v>
      </c>
      <c r="G420" s="2780">
        <v>5000000</v>
      </c>
      <c r="H420" s="2557" t="s">
        <v>3160</v>
      </c>
      <c r="I420" s="2557" t="s">
        <v>4226</v>
      </c>
      <c r="J420" s="2557">
        <f t="shared" si="42"/>
        <v>5000000</v>
      </c>
      <c r="K420" s="2557">
        <f>(F420+F421)-G420</f>
        <v>500000</v>
      </c>
      <c r="L420" s="3495"/>
    </row>
    <row r="421" spans="1:12" ht="30" customHeight="1" x14ac:dyDescent="0.2">
      <c r="A421" s="3451"/>
      <c r="B421" s="2017" t="s">
        <v>727</v>
      </c>
      <c r="C421" s="3571"/>
      <c r="D421" s="1992">
        <v>10000000</v>
      </c>
      <c r="E421" s="2013">
        <v>0.05</v>
      </c>
      <c r="F421" s="1992">
        <f>D421*E421</f>
        <v>500000</v>
      </c>
      <c r="G421" s="2734"/>
      <c r="H421" s="2558"/>
      <c r="I421" s="2558"/>
      <c r="J421" s="2558"/>
      <c r="K421" s="2558"/>
      <c r="L421" s="3496"/>
    </row>
    <row r="422" spans="1:12" ht="30" customHeight="1" x14ac:dyDescent="0.2">
      <c r="A422" s="2014">
        <v>296</v>
      </c>
      <c r="B422" s="2017" t="s">
        <v>146</v>
      </c>
      <c r="C422" s="2002" t="s">
        <v>1378</v>
      </c>
      <c r="D422" s="1992">
        <v>35000000</v>
      </c>
      <c r="E422" s="2013">
        <v>0.04</v>
      </c>
      <c r="F422" s="1992">
        <f t="shared" si="41"/>
        <v>1400000</v>
      </c>
      <c r="G422" s="482">
        <v>1400000</v>
      </c>
      <c r="H422" s="2558" t="s">
        <v>4249</v>
      </c>
      <c r="I422" s="24" t="s">
        <v>1140</v>
      </c>
      <c r="J422" s="2558">
        <f>G422</f>
        <v>1400000</v>
      </c>
      <c r="K422" s="2558">
        <f>F422-J422</f>
        <v>0</v>
      </c>
      <c r="L422" s="2017"/>
    </row>
    <row r="423" spans="1:12" ht="30" customHeight="1" x14ac:dyDescent="0.2">
      <c r="A423" s="2014">
        <v>298</v>
      </c>
      <c r="B423" s="2017" t="s">
        <v>148</v>
      </c>
      <c r="C423" s="2002" t="s">
        <v>1165</v>
      </c>
      <c r="D423" s="1992">
        <v>40000000</v>
      </c>
      <c r="E423" s="2013">
        <v>5.1999999999999998E-2</v>
      </c>
      <c r="F423" s="1992">
        <v>2000000</v>
      </c>
      <c r="G423" s="482">
        <v>2000000</v>
      </c>
      <c r="H423" s="2558" t="s">
        <v>4286</v>
      </c>
      <c r="I423" s="24" t="s">
        <v>4292</v>
      </c>
      <c r="J423" s="2558">
        <f>G423</f>
        <v>2000000</v>
      </c>
      <c r="K423" s="2558">
        <f>F423-J423</f>
        <v>0</v>
      </c>
      <c r="L423" s="2017"/>
    </row>
    <row r="424" spans="1:12" ht="30" customHeight="1" x14ac:dyDescent="0.2">
      <c r="A424" s="2014">
        <v>300</v>
      </c>
      <c r="B424" s="2018" t="s">
        <v>150</v>
      </c>
      <c r="C424" s="2016" t="s">
        <v>917</v>
      </c>
      <c r="D424" s="2009">
        <v>178000000</v>
      </c>
      <c r="E424" s="2013">
        <v>5.8999999999999997E-2</v>
      </c>
      <c r="F424" s="2009">
        <v>10500000</v>
      </c>
      <c r="G424" s="482"/>
      <c r="H424" s="2558"/>
      <c r="I424" s="24" t="s">
        <v>3605</v>
      </c>
      <c r="J424" s="2558">
        <f>G424</f>
        <v>0</v>
      </c>
      <c r="K424" s="2552">
        <f>F424-J424</f>
        <v>10500000</v>
      </c>
      <c r="L424" s="2017"/>
    </row>
    <row r="425" spans="1:12" ht="30" customHeight="1" x14ac:dyDescent="0.2">
      <c r="A425" s="2014">
        <v>301</v>
      </c>
      <c r="B425" s="2017" t="s">
        <v>2477</v>
      </c>
      <c r="C425" s="2002"/>
      <c r="D425" s="1992">
        <v>10000000</v>
      </c>
      <c r="E425" s="1989">
        <v>0.04</v>
      </c>
      <c r="F425" s="1992">
        <f>D425*E425</f>
        <v>400000</v>
      </c>
      <c r="G425" s="482"/>
      <c r="H425" s="2558"/>
      <c r="I425" s="2576" t="s">
        <v>744</v>
      </c>
      <c r="J425" s="2558">
        <f>G425</f>
        <v>0</v>
      </c>
      <c r="K425" s="2558">
        <f>F425-J425</f>
        <v>400000</v>
      </c>
      <c r="L425" s="2039"/>
    </row>
    <row r="426" spans="1:12" ht="30" customHeight="1" x14ac:dyDescent="0.2">
      <c r="A426" s="2014">
        <v>302</v>
      </c>
      <c r="B426" s="2017" t="s">
        <v>152</v>
      </c>
      <c r="C426" s="2002" t="s">
        <v>1351</v>
      </c>
      <c r="D426" s="1992">
        <v>60000000</v>
      </c>
      <c r="E426" s="2013">
        <v>4.4999999999999998E-2</v>
      </c>
      <c r="F426" s="1992">
        <f t="shared" si="41"/>
        <v>2700000</v>
      </c>
      <c r="G426" s="482"/>
      <c r="H426" s="2558"/>
      <c r="I426" s="24" t="s">
        <v>1162</v>
      </c>
      <c r="J426" s="2558">
        <f>G426</f>
        <v>0</v>
      </c>
      <c r="K426" s="2558">
        <f>F426-J426</f>
        <v>2700000</v>
      </c>
      <c r="L426" s="2017"/>
    </row>
    <row r="427" spans="1:12" ht="30" customHeight="1" x14ac:dyDescent="0.2">
      <c r="A427" s="3821"/>
      <c r="B427" s="3687" t="s">
        <v>153</v>
      </c>
      <c r="C427" s="3686" t="s">
        <v>1909</v>
      </c>
      <c r="D427" s="3575">
        <v>1916000000</v>
      </c>
      <c r="E427" s="3683"/>
      <c r="F427" s="3575"/>
      <c r="G427" s="2724"/>
      <c r="H427" s="2412"/>
      <c r="I427" s="2412"/>
      <c r="J427" s="2088"/>
      <c r="K427" s="2552"/>
      <c r="L427" s="2073" t="s">
        <v>3590</v>
      </c>
    </row>
    <row r="428" spans="1:12" ht="30" customHeight="1" x14ac:dyDescent="0.2">
      <c r="A428" s="3822"/>
      <c r="B428" s="3687"/>
      <c r="C428" s="3686"/>
      <c r="D428" s="3575"/>
      <c r="E428" s="3683"/>
      <c r="F428" s="3575"/>
      <c r="G428" s="2150"/>
      <c r="H428" s="2726"/>
      <c r="I428" s="2726"/>
      <c r="J428" s="2090"/>
      <c r="K428" s="2552"/>
      <c r="L428" s="2073" t="s">
        <v>3589</v>
      </c>
    </row>
    <row r="429" spans="1:12" ht="30" customHeight="1" x14ac:dyDescent="0.2">
      <c r="A429" s="3450">
        <v>305</v>
      </c>
      <c r="B429" s="3457" t="s">
        <v>155</v>
      </c>
      <c r="C429" s="3570"/>
      <c r="D429" s="3442">
        <v>750000000</v>
      </c>
      <c r="E429" s="3444">
        <v>6.5000000000000002E-2</v>
      </c>
      <c r="F429" s="3442">
        <v>48000000</v>
      </c>
      <c r="G429" s="482">
        <v>10000000</v>
      </c>
      <c r="H429" s="2558" t="s">
        <v>4156</v>
      </c>
      <c r="I429" s="24" t="s">
        <v>2524</v>
      </c>
      <c r="J429" s="2557">
        <f>G429+G430</f>
        <v>38000000</v>
      </c>
      <c r="K429" s="2557">
        <f>38000000-J429</f>
        <v>0</v>
      </c>
      <c r="L429" s="385"/>
    </row>
    <row r="430" spans="1:12" ht="30" customHeight="1" x14ac:dyDescent="0.2">
      <c r="A430" s="3456"/>
      <c r="B430" s="3459"/>
      <c r="C430" s="3576"/>
      <c r="D430" s="3461"/>
      <c r="E430" s="3474"/>
      <c r="F430" s="3461"/>
      <c r="G430" s="482">
        <v>28000000</v>
      </c>
      <c r="H430" s="2558" t="s">
        <v>4286</v>
      </c>
      <c r="I430" s="24" t="s">
        <v>2524</v>
      </c>
      <c r="J430" s="2560"/>
      <c r="K430" s="2560"/>
      <c r="L430" s="385" t="s">
        <v>3486</v>
      </c>
    </row>
    <row r="431" spans="1:12" ht="30" customHeight="1" x14ac:dyDescent="0.2">
      <c r="A431" s="3456"/>
      <c r="B431" s="3459"/>
      <c r="C431" s="3576"/>
      <c r="D431" s="3461"/>
      <c r="E431" s="3474"/>
      <c r="F431" s="3461"/>
      <c r="G431" s="482"/>
      <c r="H431" s="2558"/>
      <c r="I431" s="24" t="s">
        <v>2524</v>
      </c>
      <c r="J431" s="2560"/>
      <c r="K431" s="2560"/>
      <c r="L431" s="385"/>
    </row>
    <row r="432" spans="1:12" ht="30" customHeight="1" x14ac:dyDescent="0.2">
      <c r="A432" s="3451"/>
      <c r="B432" s="3458"/>
      <c r="C432" s="3571"/>
      <c r="D432" s="3443"/>
      <c r="E432" s="3445"/>
      <c r="F432" s="3443"/>
      <c r="G432" s="482"/>
      <c r="H432" s="2558"/>
      <c r="I432" s="24" t="s">
        <v>2524</v>
      </c>
      <c r="J432" s="2558"/>
      <c r="K432" s="2558"/>
      <c r="L432" s="385"/>
    </row>
    <row r="433" spans="1:12" ht="30" customHeight="1" x14ac:dyDescent="0.2">
      <c r="A433" s="2014">
        <v>307</v>
      </c>
      <c r="B433" s="2017" t="s">
        <v>157</v>
      </c>
      <c r="C433" s="2002" t="s">
        <v>1378</v>
      </c>
      <c r="D433" s="1992">
        <v>260000000</v>
      </c>
      <c r="E433" s="2013">
        <v>0.05</v>
      </c>
      <c r="F433" s="1992">
        <f t="shared" si="41"/>
        <v>13000000</v>
      </c>
      <c r="G433" s="482">
        <v>13000000</v>
      </c>
      <c r="H433" s="2558" t="s">
        <v>4276</v>
      </c>
      <c r="I433" s="24" t="s">
        <v>2539</v>
      </c>
      <c r="J433" s="2558">
        <f>G433</f>
        <v>13000000</v>
      </c>
      <c r="K433" s="2558">
        <f>F433-J433</f>
        <v>0</v>
      </c>
      <c r="L433" s="2017"/>
    </row>
    <row r="434" spans="1:12" ht="30" customHeight="1" x14ac:dyDescent="0.2">
      <c r="A434" s="1982">
        <v>308</v>
      </c>
      <c r="B434" s="2018" t="s">
        <v>158</v>
      </c>
      <c r="C434" s="2016" t="s">
        <v>1349</v>
      </c>
      <c r="D434" s="2009">
        <v>300000000</v>
      </c>
      <c r="E434" s="2013">
        <v>0.05</v>
      </c>
      <c r="F434" s="2009">
        <f t="shared" si="41"/>
        <v>15000000</v>
      </c>
      <c r="G434" s="2780">
        <v>18000000</v>
      </c>
      <c r="H434" s="2557" t="s">
        <v>4216</v>
      </c>
      <c r="I434" s="2574" t="s">
        <v>1993</v>
      </c>
      <c r="J434" s="2557">
        <f>G434</f>
        <v>18000000</v>
      </c>
      <c r="K434" s="2557">
        <f>(F434+F435)-J434</f>
        <v>6000000</v>
      </c>
      <c r="L434" s="3627" t="s">
        <v>4224</v>
      </c>
    </row>
    <row r="435" spans="1:12" ht="30" customHeight="1" x14ac:dyDescent="0.2">
      <c r="A435" s="2014">
        <v>309</v>
      </c>
      <c r="B435" s="2018" t="s">
        <v>1994</v>
      </c>
      <c r="C435" s="2016" t="s">
        <v>380</v>
      </c>
      <c r="D435" s="1992">
        <v>180000000</v>
      </c>
      <c r="E435" s="1989">
        <v>0.05</v>
      </c>
      <c r="F435" s="1992">
        <f>D435*E435</f>
        <v>9000000</v>
      </c>
      <c r="G435" s="2734"/>
      <c r="H435" s="2558"/>
      <c r="I435" s="2575"/>
      <c r="J435" s="2558"/>
      <c r="K435" s="2558"/>
      <c r="L435" s="3628"/>
    </row>
    <row r="436" spans="1:12" ht="30" customHeight="1" x14ac:dyDescent="0.2">
      <c r="A436" s="1982">
        <v>310</v>
      </c>
      <c r="B436" s="2017" t="s">
        <v>160</v>
      </c>
      <c r="C436" s="2002" t="s">
        <v>401</v>
      </c>
      <c r="D436" s="1992">
        <v>100000000</v>
      </c>
      <c r="E436" s="1989">
        <v>0.05</v>
      </c>
      <c r="F436" s="1992">
        <f t="shared" ref="F436:F452" si="43">D436*E436</f>
        <v>5000000</v>
      </c>
      <c r="G436" s="482"/>
      <c r="H436" s="2558"/>
      <c r="I436" s="24" t="s">
        <v>3655</v>
      </c>
      <c r="J436" s="2558">
        <f>G436</f>
        <v>0</v>
      </c>
      <c r="K436" s="2558">
        <f t="shared" ref="K436:K443" si="44">F436-J436</f>
        <v>5000000</v>
      </c>
      <c r="L436" s="2017"/>
    </row>
    <row r="437" spans="1:12" ht="30" customHeight="1" x14ac:dyDescent="0.2">
      <c r="A437" s="3450">
        <v>311</v>
      </c>
      <c r="B437" s="3457" t="s">
        <v>161</v>
      </c>
      <c r="C437" s="3570" t="s">
        <v>916</v>
      </c>
      <c r="D437" s="2056">
        <v>85000000</v>
      </c>
      <c r="E437" s="2013">
        <v>0.05</v>
      </c>
      <c r="F437" s="1992">
        <f t="shared" si="43"/>
        <v>4250000</v>
      </c>
      <c r="G437" s="482">
        <v>4250000</v>
      </c>
      <c r="H437" s="2558" t="s">
        <v>4062</v>
      </c>
      <c r="I437" s="2580" t="s">
        <v>4110</v>
      </c>
      <c r="J437" s="2558">
        <f>G437</f>
        <v>4250000</v>
      </c>
      <c r="K437" s="2558">
        <f t="shared" si="44"/>
        <v>0</v>
      </c>
      <c r="L437" s="2086" t="s">
        <v>3588</v>
      </c>
    </row>
    <row r="438" spans="1:12" ht="30" customHeight="1" x14ac:dyDescent="0.2">
      <c r="A438" s="3451"/>
      <c r="B438" s="3458"/>
      <c r="C438" s="3571"/>
      <c r="D438" s="2264">
        <v>100000000</v>
      </c>
      <c r="E438" s="2268">
        <v>0.05</v>
      </c>
      <c r="F438" s="2264">
        <f t="shared" si="43"/>
        <v>5000000</v>
      </c>
      <c r="G438" s="482"/>
      <c r="H438" s="2558"/>
      <c r="I438" s="69"/>
      <c r="J438" s="2558"/>
      <c r="K438" s="2558"/>
      <c r="L438" s="2272" t="s">
        <v>4269</v>
      </c>
    </row>
    <row r="439" spans="1:12" ht="30" customHeight="1" x14ac:dyDescent="0.2">
      <c r="A439" s="1982">
        <v>312</v>
      </c>
      <c r="B439" s="2017" t="s">
        <v>162</v>
      </c>
      <c r="C439" s="2002"/>
      <c r="D439" s="1997"/>
      <c r="E439" s="44"/>
      <c r="F439" s="1997">
        <f t="shared" si="43"/>
        <v>0</v>
      </c>
      <c r="G439" s="482"/>
      <c r="H439" s="2558"/>
      <c r="I439" s="24"/>
      <c r="J439" s="2558">
        <f>G439</f>
        <v>0</v>
      </c>
      <c r="K439" s="2562">
        <f t="shared" si="44"/>
        <v>0</v>
      </c>
      <c r="L439" s="2017"/>
    </row>
    <row r="440" spans="1:12" ht="30" customHeight="1" x14ac:dyDescent="0.2">
      <c r="A440" s="2177">
        <v>313</v>
      </c>
      <c r="B440" s="2173" t="s">
        <v>164</v>
      </c>
      <c r="C440" s="2172" t="s">
        <v>1746</v>
      </c>
      <c r="D440" s="2151">
        <v>152000000</v>
      </c>
      <c r="E440" s="2171">
        <v>0.05</v>
      </c>
      <c r="F440" s="2151">
        <f>D440*E440</f>
        <v>7600000</v>
      </c>
      <c r="G440" s="561">
        <v>7600000</v>
      </c>
      <c r="H440" s="2552" t="s">
        <v>4156</v>
      </c>
      <c r="I440" s="2593" t="s">
        <v>328</v>
      </c>
      <c r="J440" s="2552">
        <f>G440</f>
        <v>7600000</v>
      </c>
      <c r="K440" s="2552">
        <f t="shared" si="44"/>
        <v>0</v>
      </c>
      <c r="L440" s="2176"/>
    </row>
    <row r="441" spans="1:12" ht="30" customHeight="1" x14ac:dyDescent="0.2">
      <c r="A441" s="1982">
        <v>315</v>
      </c>
      <c r="B441" s="22" t="s">
        <v>166</v>
      </c>
      <c r="C441" s="2016" t="s">
        <v>1219</v>
      </c>
      <c r="D441" s="2009">
        <v>400000000</v>
      </c>
      <c r="E441" s="2013">
        <v>6.3E-2</v>
      </c>
      <c r="F441" s="2009">
        <v>25000000</v>
      </c>
      <c r="G441" s="561">
        <v>25000000</v>
      </c>
      <c r="H441" s="2552" t="s">
        <v>4156</v>
      </c>
      <c r="I441" s="2593" t="s">
        <v>1919</v>
      </c>
      <c r="J441" s="2552">
        <f t="shared" ref="J441:J451" si="45">G441</f>
        <v>25000000</v>
      </c>
      <c r="K441" s="2552">
        <f t="shared" si="44"/>
        <v>0</v>
      </c>
      <c r="L441" s="2005"/>
    </row>
    <row r="442" spans="1:12" ht="30" customHeight="1" x14ac:dyDescent="0.2">
      <c r="A442" s="2014">
        <v>316</v>
      </c>
      <c r="B442" s="1987" t="s">
        <v>167</v>
      </c>
      <c r="C442" s="2002"/>
      <c r="D442" s="1992">
        <v>35000000</v>
      </c>
      <c r="E442" s="1989">
        <v>0.04</v>
      </c>
      <c r="F442" s="1992">
        <f>D442*E442</f>
        <v>1400000</v>
      </c>
      <c r="G442" s="482">
        <v>1400000</v>
      </c>
      <c r="H442" s="2558" t="s">
        <v>4133</v>
      </c>
      <c r="I442" s="2575" t="s">
        <v>293</v>
      </c>
      <c r="J442" s="2558">
        <f t="shared" si="45"/>
        <v>1400000</v>
      </c>
      <c r="K442" s="2558">
        <f t="shared" si="44"/>
        <v>0</v>
      </c>
      <c r="L442" s="2017"/>
    </row>
    <row r="443" spans="1:12" ht="30" customHeight="1" x14ac:dyDescent="0.2">
      <c r="A443" s="3450">
        <v>317</v>
      </c>
      <c r="B443" s="3457" t="s">
        <v>168</v>
      </c>
      <c r="C443" s="2064" t="s">
        <v>367</v>
      </c>
      <c r="D443" s="2056">
        <v>100000000</v>
      </c>
      <c r="E443" s="2078">
        <v>0.05</v>
      </c>
      <c r="F443" s="2056">
        <f>D443*E443</f>
        <v>5000000</v>
      </c>
      <c r="G443" s="482">
        <v>5000000</v>
      </c>
      <c r="H443" s="2558" t="s">
        <v>1045</v>
      </c>
      <c r="I443" s="24" t="s">
        <v>3722</v>
      </c>
      <c r="J443" s="2558">
        <f t="shared" si="45"/>
        <v>5000000</v>
      </c>
      <c r="K443" s="2558">
        <f t="shared" si="44"/>
        <v>0</v>
      </c>
      <c r="L443" s="2039" t="s">
        <v>2842</v>
      </c>
    </row>
    <row r="444" spans="1:12" ht="30" customHeight="1" x14ac:dyDescent="0.2">
      <c r="A444" s="3456"/>
      <c r="B444" s="3459"/>
      <c r="C444" s="2064" t="s">
        <v>1342</v>
      </c>
      <c r="D444" s="2056">
        <v>210000000</v>
      </c>
      <c r="E444" s="2078">
        <v>0.05</v>
      </c>
      <c r="F444" s="2056">
        <f>D444*E444</f>
        <v>10500000</v>
      </c>
      <c r="G444" s="482">
        <v>17000000</v>
      </c>
      <c r="H444" s="2558" t="s">
        <v>4201</v>
      </c>
      <c r="I444" s="24" t="s">
        <v>3722</v>
      </c>
      <c r="J444" s="2552">
        <f>G444</f>
        <v>17000000</v>
      </c>
      <c r="K444" s="2552">
        <f>17000000-J444</f>
        <v>0</v>
      </c>
      <c r="L444" s="2039" t="s">
        <v>2843</v>
      </c>
    </row>
    <row r="445" spans="1:12" ht="30" customHeight="1" x14ac:dyDescent="0.2">
      <c r="A445" s="2014">
        <v>318</v>
      </c>
      <c r="B445" s="2017" t="s">
        <v>170</v>
      </c>
      <c r="C445" s="2002"/>
      <c r="D445" s="1992">
        <v>80000000</v>
      </c>
      <c r="E445" s="2013">
        <v>0.05</v>
      </c>
      <c r="F445" s="1992">
        <f t="shared" si="43"/>
        <v>4000000</v>
      </c>
      <c r="G445" s="482">
        <v>4000000</v>
      </c>
      <c r="H445" s="2558" t="s">
        <v>4184</v>
      </c>
      <c r="I445" s="21" t="s">
        <v>1927</v>
      </c>
      <c r="J445" s="2558">
        <f t="shared" si="45"/>
        <v>4000000</v>
      </c>
      <c r="K445" s="2558">
        <f>F445-J445</f>
        <v>0</v>
      </c>
      <c r="L445" s="2017"/>
    </row>
    <row r="446" spans="1:12" ht="30" customHeight="1" x14ac:dyDescent="0.2">
      <c r="A446" s="2014">
        <v>319</v>
      </c>
      <c r="B446" s="2017" t="s">
        <v>171</v>
      </c>
      <c r="C446" s="2002" t="s">
        <v>1342</v>
      </c>
      <c r="D446" s="1992">
        <v>200000000</v>
      </c>
      <c r="E446" s="2013">
        <v>5.5E-2</v>
      </c>
      <c r="F446" s="1992">
        <f t="shared" si="43"/>
        <v>11000000</v>
      </c>
      <c r="G446" s="482"/>
      <c r="H446" s="2558"/>
      <c r="I446" s="24" t="s">
        <v>3861</v>
      </c>
      <c r="J446" s="2558">
        <f t="shared" si="45"/>
        <v>0</v>
      </c>
      <c r="K446" s="2558">
        <f>F446-J446</f>
        <v>11000000</v>
      </c>
      <c r="L446" s="2039"/>
    </row>
    <row r="447" spans="1:12" ht="30" customHeight="1" x14ac:dyDescent="0.2">
      <c r="A447" s="3450">
        <v>320</v>
      </c>
      <c r="B447" s="3457" t="s">
        <v>172</v>
      </c>
      <c r="C447" s="3570" t="s">
        <v>2408</v>
      </c>
      <c r="D447" s="1992">
        <v>135000000</v>
      </c>
      <c r="E447" s="2013">
        <v>0.06</v>
      </c>
      <c r="F447" s="1992">
        <v>8000000</v>
      </c>
      <c r="G447" s="2780">
        <v>9750000</v>
      </c>
      <c r="H447" s="2557" t="s">
        <v>4184</v>
      </c>
      <c r="I447" s="2564" t="s">
        <v>3816</v>
      </c>
      <c r="J447" s="2557">
        <f t="shared" si="45"/>
        <v>9750000</v>
      </c>
      <c r="K447" s="2557">
        <f>(F447+F448)-J447</f>
        <v>0</v>
      </c>
      <c r="L447" s="2039"/>
    </row>
    <row r="448" spans="1:12" ht="30" customHeight="1" x14ac:dyDescent="0.2">
      <c r="A448" s="3451"/>
      <c r="B448" s="3458"/>
      <c r="C448" s="3571"/>
      <c r="D448" s="1992">
        <v>35000000</v>
      </c>
      <c r="E448" s="2013">
        <v>0.05</v>
      </c>
      <c r="F448" s="1992">
        <f>D448*E448</f>
        <v>1750000</v>
      </c>
      <c r="G448" s="2734"/>
      <c r="H448" s="2558"/>
      <c r="I448" s="2565"/>
      <c r="J448" s="2558"/>
      <c r="K448" s="2558"/>
      <c r="L448" s="2039" t="s">
        <v>3594</v>
      </c>
    </row>
    <row r="449" spans="1:12" ht="30" customHeight="1" x14ac:dyDescent="0.2">
      <c r="A449" s="2014">
        <v>321</v>
      </c>
      <c r="B449" s="2017" t="s">
        <v>174</v>
      </c>
      <c r="C449" s="2002"/>
      <c r="D449" s="1992">
        <v>5000000</v>
      </c>
      <c r="E449" s="2013">
        <v>0.04</v>
      </c>
      <c r="F449" s="1992">
        <f t="shared" si="43"/>
        <v>200000</v>
      </c>
      <c r="G449" s="482"/>
      <c r="H449" s="2558"/>
      <c r="I449" s="24" t="s">
        <v>2460</v>
      </c>
      <c r="J449" s="2558">
        <f t="shared" si="45"/>
        <v>0</v>
      </c>
      <c r="K449" s="2558">
        <f>F449-J449</f>
        <v>200000</v>
      </c>
      <c r="L449" s="2017"/>
    </row>
    <row r="450" spans="1:12" ht="30" customHeight="1" x14ac:dyDescent="0.2">
      <c r="A450" s="3450">
        <v>322</v>
      </c>
      <c r="B450" s="3457" t="s">
        <v>1450</v>
      </c>
      <c r="C450" s="3570" t="s">
        <v>1112</v>
      </c>
      <c r="D450" s="1992">
        <v>10000000</v>
      </c>
      <c r="E450" s="2013">
        <v>0.05</v>
      </c>
      <c r="F450" s="1992">
        <f t="shared" si="43"/>
        <v>500000</v>
      </c>
      <c r="G450" s="482"/>
      <c r="H450" s="2558"/>
      <c r="I450" s="2594" t="s">
        <v>1448</v>
      </c>
      <c r="J450" s="2558">
        <f t="shared" si="45"/>
        <v>0</v>
      </c>
      <c r="K450" s="2558">
        <f>F450-J450</f>
        <v>500000</v>
      </c>
      <c r="L450" s="1077" t="s">
        <v>3575</v>
      </c>
    </row>
    <row r="451" spans="1:12" ht="30" customHeight="1" x14ac:dyDescent="0.2">
      <c r="A451" s="3451"/>
      <c r="B451" s="3458"/>
      <c r="C451" s="3571"/>
      <c r="D451" s="1992">
        <v>10000000</v>
      </c>
      <c r="E451" s="2013">
        <v>0.05</v>
      </c>
      <c r="F451" s="1992">
        <f t="shared" si="43"/>
        <v>500000</v>
      </c>
      <c r="G451" s="482"/>
      <c r="H451" s="2558"/>
      <c r="I451" s="2594" t="s">
        <v>4043</v>
      </c>
      <c r="J451" s="2558">
        <f t="shared" si="45"/>
        <v>0</v>
      </c>
      <c r="K451" s="2558">
        <f>F451-J451</f>
        <v>500000</v>
      </c>
      <c r="L451" s="2017"/>
    </row>
    <row r="452" spans="1:12" ht="30" customHeight="1" x14ac:dyDescent="0.2">
      <c r="A452" s="2014">
        <v>323</v>
      </c>
      <c r="B452" s="2017" t="s">
        <v>175</v>
      </c>
      <c r="C452" s="2002"/>
      <c r="D452" s="1992">
        <v>60000000</v>
      </c>
      <c r="E452" s="2013">
        <v>4.4999999999999998E-2</v>
      </c>
      <c r="F452" s="1992">
        <f t="shared" si="43"/>
        <v>2700000</v>
      </c>
      <c r="G452" s="482"/>
      <c r="H452" s="2558"/>
      <c r="I452" s="2576"/>
      <c r="J452" s="2558">
        <f>G452</f>
        <v>0</v>
      </c>
      <c r="K452" s="2558">
        <f>F452-J452</f>
        <v>2700000</v>
      </c>
      <c r="L452" s="2017"/>
    </row>
    <row r="453" spans="1:12" ht="30" customHeight="1" x14ac:dyDescent="0.2">
      <c r="A453" s="2014">
        <v>324</v>
      </c>
      <c r="B453" s="2017" t="s">
        <v>176</v>
      </c>
      <c r="C453" s="2002" t="s">
        <v>916</v>
      </c>
      <c r="D453" s="1992">
        <v>20000000</v>
      </c>
      <c r="E453" s="2013">
        <v>0.05</v>
      </c>
      <c r="F453" s="1992">
        <f>D453*E453</f>
        <v>1000000</v>
      </c>
      <c r="G453" s="482"/>
      <c r="H453" s="2558"/>
      <c r="I453" s="24" t="s">
        <v>1839</v>
      </c>
      <c r="J453" s="2558">
        <f>G453</f>
        <v>0</v>
      </c>
      <c r="K453" s="2558">
        <f>F453-J453</f>
        <v>1000000</v>
      </c>
      <c r="L453" s="2017"/>
    </row>
    <row r="454" spans="1:12" ht="30" customHeight="1" x14ac:dyDescent="0.2">
      <c r="A454" s="3450">
        <v>325</v>
      </c>
      <c r="B454" s="3457" t="s">
        <v>273</v>
      </c>
      <c r="C454" s="3570"/>
      <c r="D454" s="1992">
        <v>300000000</v>
      </c>
      <c r="E454" s="2013">
        <v>0.1</v>
      </c>
      <c r="F454" s="1992">
        <v>30750000</v>
      </c>
      <c r="G454" s="2780">
        <v>40550000</v>
      </c>
      <c r="H454" s="2557" t="s">
        <v>1045</v>
      </c>
      <c r="I454" s="2564" t="s">
        <v>3062</v>
      </c>
      <c r="J454" s="2557">
        <f>G454</f>
        <v>40550000</v>
      </c>
      <c r="K454" s="2557">
        <f>(F454+F455)-J454</f>
        <v>0</v>
      </c>
      <c r="L454" s="3570"/>
    </row>
    <row r="455" spans="1:12" ht="30" customHeight="1" x14ac:dyDescent="0.2">
      <c r="A455" s="3451"/>
      <c r="B455" s="3458"/>
      <c r="C455" s="3571"/>
      <c r="D455" s="1992">
        <v>140000000</v>
      </c>
      <c r="E455" s="2013">
        <v>7.0000000000000007E-2</v>
      </c>
      <c r="F455" s="1992">
        <v>9800000</v>
      </c>
      <c r="G455" s="2734"/>
      <c r="H455" s="2558"/>
      <c r="I455" s="2565"/>
      <c r="J455" s="2558"/>
      <c r="K455" s="2558"/>
      <c r="L455" s="3571"/>
    </row>
    <row r="456" spans="1:12" ht="30" customHeight="1" x14ac:dyDescent="0.2">
      <c r="A456" s="3450">
        <v>326</v>
      </c>
      <c r="B456" s="3687" t="s">
        <v>179</v>
      </c>
      <c r="C456" s="3686"/>
      <c r="D456" s="3575">
        <v>500000000</v>
      </c>
      <c r="E456" s="3683">
        <v>0.05</v>
      </c>
      <c r="F456" s="3575">
        <f>D456*E456</f>
        <v>25000000</v>
      </c>
      <c r="G456" s="2728"/>
      <c r="H456" s="247"/>
      <c r="I456" s="247"/>
      <c r="J456" s="247"/>
      <c r="K456" s="2552">
        <f>F456-J456</f>
        <v>25000000</v>
      </c>
      <c r="L456" s="3495" t="s">
        <v>3523</v>
      </c>
    </row>
    <row r="457" spans="1:12" ht="30" customHeight="1" x14ac:dyDescent="0.2">
      <c r="A457" s="3451"/>
      <c r="B457" s="3687"/>
      <c r="C457" s="3686"/>
      <c r="D457" s="3575"/>
      <c r="E457" s="3683"/>
      <c r="F457" s="3575"/>
      <c r="G457" s="2728"/>
      <c r="H457" s="247"/>
      <c r="I457" s="247"/>
      <c r="J457" s="247"/>
      <c r="K457" s="2558"/>
      <c r="L457" s="3496"/>
    </row>
    <row r="458" spans="1:12" ht="30" customHeight="1" x14ac:dyDescent="0.2">
      <c r="A458" s="2014">
        <v>327</v>
      </c>
      <c r="B458" s="2049" t="s">
        <v>1280</v>
      </c>
      <c r="C458" s="2064"/>
      <c r="D458" s="2056">
        <v>60000000</v>
      </c>
      <c r="E458" s="2053">
        <v>0.05</v>
      </c>
      <c r="F458" s="2056">
        <f t="shared" ref="F458:F461" si="46">D458*E458</f>
        <v>3000000</v>
      </c>
      <c r="G458" s="482"/>
      <c r="H458" s="2558"/>
      <c r="I458" s="24" t="s">
        <v>1279</v>
      </c>
      <c r="J458" s="2558">
        <f>G458</f>
        <v>0</v>
      </c>
      <c r="K458" s="2558">
        <f>F458-J458</f>
        <v>3000000</v>
      </c>
      <c r="L458" s="2039"/>
    </row>
    <row r="459" spans="1:12" ht="30" customHeight="1" x14ac:dyDescent="0.2">
      <c r="A459" s="2047">
        <v>328</v>
      </c>
      <c r="B459" s="22" t="s">
        <v>2809</v>
      </c>
      <c r="C459" s="421" t="s">
        <v>971</v>
      </c>
      <c r="D459" s="2009">
        <v>685000000</v>
      </c>
      <c r="E459" s="2013">
        <v>0.06</v>
      </c>
      <c r="F459" s="2009">
        <f>D459*E459</f>
        <v>41100000</v>
      </c>
      <c r="G459" s="482"/>
      <c r="H459" s="2558"/>
      <c r="I459" s="24" t="s">
        <v>1506</v>
      </c>
      <c r="J459" s="2558">
        <f>G459</f>
        <v>0</v>
      </c>
      <c r="K459" s="2558">
        <f>F459-J459</f>
        <v>41100000</v>
      </c>
      <c r="L459" s="2039"/>
    </row>
    <row r="460" spans="1:12" ht="30" customHeight="1" x14ac:dyDescent="0.2">
      <c r="A460" s="1983"/>
      <c r="B460" s="1986" t="s">
        <v>2809</v>
      </c>
      <c r="C460" s="2002" t="s">
        <v>971</v>
      </c>
      <c r="D460" s="2009"/>
      <c r="E460" s="2013"/>
      <c r="F460" s="2009"/>
      <c r="G460" s="2728"/>
      <c r="H460" s="247"/>
      <c r="I460" s="247"/>
      <c r="J460" s="247"/>
      <c r="K460" s="2558"/>
      <c r="L460" s="1995"/>
    </row>
    <row r="461" spans="1:12" ht="30" customHeight="1" x14ac:dyDescent="0.2">
      <c r="A461" s="1982">
        <v>329</v>
      </c>
      <c r="B461" s="2018" t="s">
        <v>184</v>
      </c>
      <c r="C461" s="421"/>
      <c r="D461" s="2008"/>
      <c r="E461" s="44"/>
      <c r="F461" s="2008">
        <f t="shared" si="46"/>
        <v>0</v>
      </c>
      <c r="G461" s="561"/>
      <c r="H461" s="2552"/>
      <c r="I461" s="2593"/>
      <c r="J461" s="2552"/>
      <c r="K461" s="2570">
        <f>F461-J461</f>
        <v>0</v>
      </c>
      <c r="L461" s="2005"/>
    </row>
    <row r="462" spans="1:12" ht="30" customHeight="1" x14ac:dyDescent="0.2">
      <c r="A462" s="2014">
        <v>330</v>
      </c>
      <c r="B462" s="2017" t="s">
        <v>1211</v>
      </c>
      <c r="C462" s="2002" t="s">
        <v>1175</v>
      </c>
      <c r="D462" s="1992">
        <v>30000000</v>
      </c>
      <c r="E462" s="1989">
        <f>F462/D462</f>
        <v>0.05</v>
      </c>
      <c r="F462" s="1992">
        <v>1500000</v>
      </c>
      <c r="G462" s="482">
        <v>1500000</v>
      </c>
      <c r="H462" s="2558" t="s">
        <v>4330</v>
      </c>
      <c r="I462" s="24" t="s">
        <v>4408</v>
      </c>
      <c r="J462" s="2558">
        <f>G462</f>
        <v>1500000</v>
      </c>
      <c r="K462" s="2558">
        <f>F462-J462</f>
        <v>0</v>
      </c>
      <c r="L462" s="2017"/>
    </row>
    <row r="463" spans="1:12" ht="30" customHeight="1" x14ac:dyDescent="0.2">
      <c r="A463" s="2042">
        <v>331</v>
      </c>
      <c r="B463" s="2017" t="s">
        <v>345</v>
      </c>
      <c r="C463" s="2016" t="s">
        <v>379</v>
      </c>
      <c r="D463" s="2009">
        <v>290000000</v>
      </c>
      <c r="E463" s="2013">
        <v>0.06</v>
      </c>
      <c r="F463" s="2009">
        <f t="shared" ref="F463:F467" si="47">D463*E463</f>
        <v>17400000</v>
      </c>
      <c r="G463" s="561">
        <v>17400000</v>
      </c>
      <c r="H463" s="2552" t="s">
        <v>4184</v>
      </c>
      <c r="I463" s="2552" t="s">
        <v>4095</v>
      </c>
      <c r="J463" s="2552">
        <f>G463</f>
        <v>17400000</v>
      </c>
      <c r="K463" s="2552">
        <f>F463-J463</f>
        <v>0</v>
      </c>
      <c r="L463" s="2039"/>
    </row>
    <row r="464" spans="1:12" ht="30" customHeight="1" x14ac:dyDescent="0.2">
      <c r="A464" s="2014">
        <v>332</v>
      </c>
      <c r="B464" s="1987" t="s">
        <v>378</v>
      </c>
      <c r="C464" s="2002" t="s">
        <v>379</v>
      </c>
      <c r="D464" s="1992">
        <v>30000000</v>
      </c>
      <c r="E464" s="1989">
        <v>0.05</v>
      </c>
      <c r="F464" s="1992">
        <f t="shared" si="47"/>
        <v>1500000</v>
      </c>
      <c r="G464" s="482">
        <v>1500000</v>
      </c>
      <c r="H464" s="2558" t="s">
        <v>4216</v>
      </c>
      <c r="I464" s="24" t="s">
        <v>3713</v>
      </c>
      <c r="J464" s="2560">
        <f>G464</f>
        <v>1500000</v>
      </c>
      <c r="K464" s="2560">
        <f>F464-J464</f>
        <v>0</v>
      </c>
      <c r="L464" s="2017"/>
    </row>
    <row r="465" spans="1:12" ht="30" customHeight="1" x14ac:dyDescent="0.2">
      <c r="A465" s="3450">
        <v>333</v>
      </c>
      <c r="B465" s="3457" t="s">
        <v>915</v>
      </c>
      <c r="C465" s="3570" t="s">
        <v>916</v>
      </c>
      <c r="D465" s="1992">
        <v>320000000</v>
      </c>
      <c r="E465" s="2013">
        <v>0.05</v>
      </c>
      <c r="F465" s="1992">
        <f t="shared" si="47"/>
        <v>16000000</v>
      </c>
      <c r="G465" s="2780">
        <v>21000000</v>
      </c>
      <c r="H465" s="2557" t="s">
        <v>1263</v>
      </c>
      <c r="I465" s="2564" t="s">
        <v>1395</v>
      </c>
      <c r="J465" s="2552">
        <f>G465</f>
        <v>21000000</v>
      </c>
      <c r="K465" s="2552">
        <f>(F465+F466)-J465</f>
        <v>0</v>
      </c>
      <c r="L465" s="3627"/>
    </row>
    <row r="466" spans="1:12" ht="30" customHeight="1" x14ac:dyDescent="0.2">
      <c r="A466" s="3451"/>
      <c r="B466" s="3458"/>
      <c r="C466" s="3571"/>
      <c r="D466" s="1992">
        <v>100000000</v>
      </c>
      <c r="E466" s="2013">
        <v>0.05</v>
      </c>
      <c r="F466" s="1992">
        <f t="shared" si="47"/>
        <v>5000000</v>
      </c>
      <c r="G466" s="2734"/>
      <c r="H466" s="2558"/>
      <c r="I466" s="2565"/>
      <c r="J466" s="2552"/>
      <c r="K466" s="2552"/>
      <c r="L466" s="3628"/>
    </row>
    <row r="467" spans="1:12" ht="30" customHeight="1" x14ac:dyDescent="0.2">
      <c r="A467" s="2014">
        <v>334</v>
      </c>
      <c r="B467" s="1987" t="s">
        <v>1312</v>
      </c>
      <c r="C467" s="2002" t="s">
        <v>916</v>
      </c>
      <c r="D467" s="1992">
        <v>100000000</v>
      </c>
      <c r="E467" s="2013">
        <v>0.05</v>
      </c>
      <c r="F467" s="1992">
        <f t="shared" si="47"/>
        <v>5000000</v>
      </c>
      <c r="G467" s="482"/>
      <c r="H467" s="2558"/>
      <c r="I467" s="24"/>
      <c r="J467" s="2558">
        <f>G467</f>
        <v>0</v>
      </c>
      <c r="K467" s="2558">
        <f>F467-J467</f>
        <v>5000000</v>
      </c>
      <c r="L467" s="2017"/>
    </row>
    <row r="468" spans="1:12" ht="30" customHeight="1" x14ac:dyDescent="0.2">
      <c r="A468" s="2047">
        <v>335</v>
      </c>
      <c r="B468" s="22" t="s">
        <v>1328</v>
      </c>
      <c r="C468" s="2079" t="s">
        <v>916</v>
      </c>
      <c r="D468" s="2056">
        <v>15000000</v>
      </c>
      <c r="E468" s="2078">
        <v>0.05</v>
      </c>
      <c r="F468" s="2056">
        <f t="shared" ref="F468" si="48">D468*E468</f>
        <v>750000</v>
      </c>
      <c r="G468" s="482">
        <v>750000</v>
      </c>
      <c r="H468" s="2558" t="s">
        <v>4059</v>
      </c>
      <c r="I468" s="24" t="s">
        <v>3546</v>
      </c>
      <c r="J468" s="2558">
        <f>G468</f>
        <v>750000</v>
      </c>
      <c r="K468" s="2558">
        <f>F468-J468</f>
        <v>0</v>
      </c>
      <c r="L468" s="2086" t="s">
        <v>3524</v>
      </c>
    </row>
    <row r="469" spans="1:12" ht="30" customHeight="1" x14ac:dyDescent="0.2">
      <c r="A469" s="2014">
        <v>336</v>
      </c>
      <c r="B469" s="1987" t="s">
        <v>2710</v>
      </c>
      <c r="C469" s="2002" t="s">
        <v>916</v>
      </c>
      <c r="D469" s="1992">
        <v>210000000</v>
      </c>
      <c r="E469" s="2013">
        <v>0.05</v>
      </c>
      <c r="F469" s="1992">
        <f>D469*E469</f>
        <v>10500000</v>
      </c>
      <c r="G469" s="482">
        <v>10500000</v>
      </c>
      <c r="H469" s="2558" t="s">
        <v>1263</v>
      </c>
      <c r="I469" s="24" t="s">
        <v>3544</v>
      </c>
      <c r="J469" s="2558">
        <f>G469</f>
        <v>10500000</v>
      </c>
      <c r="K469" s="2558">
        <f>F469-J469</f>
        <v>0</v>
      </c>
      <c r="L469" s="2017"/>
    </row>
    <row r="470" spans="1:12" ht="30" customHeight="1" x14ac:dyDescent="0.2">
      <c r="A470" s="2014">
        <v>337</v>
      </c>
      <c r="B470" s="1987" t="s">
        <v>1376</v>
      </c>
      <c r="C470" s="2002" t="s">
        <v>916</v>
      </c>
      <c r="D470" s="1992">
        <v>80000000</v>
      </c>
      <c r="E470" s="2013">
        <v>7.0000000000000007E-2</v>
      </c>
      <c r="F470" s="1992">
        <f t="shared" ref="F470:F487" si="49">D470*E470</f>
        <v>5600000.0000000009</v>
      </c>
      <c r="G470" s="482">
        <v>5600000</v>
      </c>
      <c r="H470" s="2558" t="s">
        <v>4105</v>
      </c>
      <c r="I470" s="24" t="s">
        <v>4131</v>
      </c>
      <c r="J470" s="2558">
        <f>G470</f>
        <v>5600000</v>
      </c>
      <c r="K470" s="2558">
        <f>G470-J470</f>
        <v>0</v>
      </c>
      <c r="L470" s="2017"/>
    </row>
    <row r="471" spans="1:12" ht="30" customHeight="1" x14ac:dyDescent="0.2">
      <c r="A471" s="3450"/>
      <c r="B471" s="3525" t="s">
        <v>1776</v>
      </c>
      <c r="C471" s="3570" t="s">
        <v>916</v>
      </c>
      <c r="D471" s="2038">
        <v>235500000</v>
      </c>
      <c r="E471" s="2013">
        <v>0.05</v>
      </c>
      <c r="F471" s="1992">
        <f t="shared" ref="F471:F473" si="50">D471*E471</f>
        <v>11775000</v>
      </c>
      <c r="G471" s="2763"/>
      <c r="H471" s="2764"/>
      <c r="I471" s="2764"/>
      <c r="J471" s="2764"/>
      <c r="K471" s="2765"/>
      <c r="L471" s="2022"/>
    </row>
    <row r="472" spans="1:12" ht="30" customHeight="1" x14ac:dyDescent="0.2">
      <c r="A472" s="3456"/>
      <c r="B472" s="3643"/>
      <c r="C472" s="3576"/>
      <c r="D472" s="1992">
        <v>300000000</v>
      </c>
      <c r="E472" s="2013">
        <v>7.0000000000000007E-2</v>
      </c>
      <c r="F472" s="1992">
        <f t="shared" si="50"/>
        <v>21000000.000000004</v>
      </c>
      <c r="G472" s="2766"/>
      <c r="H472" s="2767"/>
      <c r="I472" s="2767"/>
      <c r="J472" s="2767"/>
      <c r="K472" s="2768"/>
      <c r="L472" s="2022"/>
    </row>
    <row r="473" spans="1:12" ht="30" customHeight="1" x14ac:dyDescent="0.2">
      <c r="A473" s="3456"/>
      <c r="B473" s="3643"/>
      <c r="C473" s="3576"/>
      <c r="D473" s="1992">
        <v>30000000</v>
      </c>
      <c r="E473" s="2013">
        <v>7.0000000000000007E-2</v>
      </c>
      <c r="F473" s="1992">
        <f t="shared" si="50"/>
        <v>2100000</v>
      </c>
      <c r="G473" s="2766"/>
      <c r="H473" s="2767"/>
      <c r="I473" s="2767"/>
      <c r="J473" s="2767"/>
      <c r="K473" s="2768"/>
      <c r="L473" s="2022"/>
    </row>
    <row r="474" spans="1:12" ht="30" customHeight="1" x14ac:dyDescent="0.2">
      <c r="A474" s="3456"/>
      <c r="B474" s="3643"/>
      <c r="C474" s="3576"/>
      <c r="D474" s="2009">
        <v>20000000</v>
      </c>
      <c r="E474" s="1988">
        <v>7.0000000000000007E-2</v>
      </c>
      <c r="F474" s="2009">
        <f>D474*E474</f>
        <v>1400000.0000000002</v>
      </c>
      <c r="G474" s="2766"/>
      <c r="H474" s="2767"/>
      <c r="I474" s="2767"/>
      <c r="J474" s="2767"/>
      <c r="K474" s="2768"/>
      <c r="L474" s="2022"/>
    </row>
    <row r="475" spans="1:12" ht="30" customHeight="1" x14ac:dyDescent="0.2">
      <c r="A475" s="3456"/>
      <c r="B475" s="3643"/>
      <c r="C475" s="3576"/>
      <c r="D475" s="2009">
        <v>12000000</v>
      </c>
      <c r="E475" s="1988">
        <v>7.0000000000000007E-2</v>
      </c>
      <c r="F475" s="2009">
        <f>D475*E475</f>
        <v>840000.00000000012</v>
      </c>
      <c r="G475" s="2766"/>
      <c r="H475" s="2767"/>
      <c r="I475" s="2767"/>
      <c r="J475" s="2767"/>
      <c r="K475" s="2768"/>
      <c r="L475" s="2022"/>
    </row>
    <row r="476" spans="1:12" ht="30" customHeight="1" x14ac:dyDescent="0.2">
      <c r="A476" s="3456"/>
      <c r="B476" s="3643"/>
      <c r="C476" s="3576"/>
      <c r="D476" s="1914">
        <f>SUM(D472:D475)</f>
        <v>362000000</v>
      </c>
      <c r="E476" s="1988">
        <v>7.0000000000000007E-2</v>
      </c>
      <c r="F476" s="2009">
        <f>D476*E476</f>
        <v>25340000.000000004</v>
      </c>
      <c r="G476" s="2766"/>
      <c r="H476" s="2767"/>
      <c r="I476" s="2767"/>
      <c r="J476" s="2767"/>
      <c r="K476" s="2768"/>
      <c r="L476" s="2022"/>
    </row>
    <row r="477" spans="1:12" ht="30" customHeight="1" x14ac:dyDescent="0.2">
      <c r="A477" s="3456"/>
      <c r="B477" s="3643"/>
      <c r="C477" s="3576"/>
      <c r="D477" s="3819">
        <f>D471+D476</f>
        <v>597500000</v>
      </c>
      <c r="E477" s="3820"/>
      <c r="F477" s="1914">
        <f>F471+F476</f>
        <v>37115000</v>
      </c>
      <c r="G477" s="2766"/>
      <c r="H477" s="2767"/>
      <c r="I477" s="2767"/>
      <c r="J477" s="2767"/>
      <c r="K477" s="2768"/>
      <c r="L477" s="2022"/>
    </row>
    <row r="478" spans="1:12" ht="30" customHeight="1" x14ac:dyDescent="0.2">
      <c r="A478" s="3456"/>
      <c r="B478" s="3643"/>
      <c r="C478" s="3576"/>
      <c r="D478" s="1914">
        <v>45000000</v>
      </c>
      <c r="E478" s="2034">
        <v>7.0000000000000007E-2</v>
      </c>
      <c r="F478" s="1914">
        <f>D478*E478</f>
        <v>3150000.0000000005</v>
      </c>
      <c r="G478" s="2766"/>
      <c r="H478" s="2767"/>
      <c r="I478" s="2767"/>
      <c r="J478" s="2767"/>
      <c r="K478" s="2768"/>
      <c r="L478" s="2022"/>
    </row>
    <row r="479" spans="1:12" ht="30" customHeight="1" x14ac:dyDescent="0.2">
      <c r="A479" s="3456"/>
      <c r="B479" s="3643"/>
      <c r="C479" s="3576"/>
      <c r="D479" s="1914">
        <v>100000000</v>
      </c>
      <c r="E479" s="2034">
        <v>7.0000000000000007E-2</v>
      </c>
      <c r="F479" s="1914">
        <f>D479*E479</f>
        <v>7000000.0000000009</v>
      </c>
      <c r="G479" s="2766"/>
      <c r="H479" s="2767"/>
      <c r="I479" s="2767"/>
      <c r="J479" s="2767"/>
      <c r="K479" s="2768"/>
      <c r="L479" s="2022"/>
    </row>
    <row r="480" spans="1:12" ht="30" customHeight="1" x14ac:dyDescent="0.2">
      <c r="A480" s="3456"/>
      <c r="B480" s="3643"/>
      <c r="C480" s="3576"/>
      <c r="D480" s="1914">
        <v>80000000</v>
      </c>
      <c r="E480" s="2034">
        <v>7.0000000000000007E-2</v>
      </c>
      <c r="F480" s="1914">
        <f t="shared" ref="F480:F481" si="51">D480*E480</f>
        <v>5600000.0000000009</v>
      </c>
      <c r="G480" s="2766"/>
      <c r="H480" s="2767"/>
      <c r="I480" s="2767"/>
      <c r="J480" s="2767"/>
      <c r="K480" s="2768"/>
      <c r="L480" s="2022"/>
    </row>
    <row r="481" spans="1:17" ht="30" customHeight="1" x14ac:dyDescent="0.2">
      <c r="A481" s="3456"/>
      <c r="B481" s="3643"/>
      <c r="C481" s="3576"/>
      <c r="D481" s="1914">
        <v>55000000</v>
      </c>
      <c r="E481" s="2034">
        <v>7.0000000000000007E-2</v>
      </c>
      <c r="F481" s="1914">
        <f t="shared" si="51"/>
        <v>3850000.0000000005</v>
      </c>
      <c r="G481" s="2766"/>
      <c r="H481" s="2767"/>
      <c r="I481" s="2767"/>
      <c r="J481" s="2767"/>
      <c r="K481" s="2768"/>
      <c r="L481" s="2022"/>
    </row>
    <row r="482" spans="1:17" ht="30" customHeight="1" x14ac:dyDescent="0.2">
      <c r="A482" s="3456"/>
      <c r="B482" s="3643"/>
      <c r="C482" s="3576"/>
      <c r="D482" s="3819">
        <f>D477+D478+D479+D480+D481</f>
        <v>877500000</v>
      </c>
      <c r="E482" s="3820"/>
      <c r="F482" s="1914">
        <f>F477+F478+F479+F480+F481</f>
        <v>56715000</v>
      </c>
      <c r="G482" s="2766"/>
      <c r="H482" s="2767"/>
      <c r="I482" s="2767"/>
      <c r="J482" s="2767"/>
      <c r="K482" s="2768"/>
      <c r="L482" s="2022"/>
    </row>
    <row r="483" spans="1:17" ht="30" customHeight="1" x14ac:dyDescent="0.2">
      <c r="A483" s="3456"/>
      <c r="B483" s="3643"/>
      <c r="C483" s="3576"/>
      <c r="D483" s="1914">
        <v>150000000</v>
      </c>
      <c r="E483" s="2034">
        <v>7.0000000000000007E-2</v>
      </c>
      <c r="F483" s="1914">
        <f>D483*E483</f>
        <v>10500000.000000002</v>
      </c>
      <c r="G483" s="2766"/>
      <c r="H483" s="2767"/>
      <c r="I483" s="2767"/>
      <c r="J483" s="2767"/>
      <c r="K483" s="2768"/>
      <c r="L483" s="2022"/>
    </row>
    <row r="484" spans="1:17" ht="30" customHeight="1" x14ac:dyDescent="0.2">
      <c r="A484" s="3456"/>
      <c r="B484" s="3643"/>
      <c r="C484" s="3576"/>
      <c r="D484" s="1914">
        <v>100000000</v>
      </c>
      <c r="E484" s="2330">
        <v>7.0000000000000007E-2</v>
      </c>
      <c r="F484" s="1914">
        <f>D484*E484</f>
        <v>7000000.0000000009</v>
      </c>
      <c r="G484" s="2769"/>
      <c r="H484" s="2770"/>
      <c r="I484" s="2770"/>
      <c r="J484" s="2770"/>
      <c r="K484" s="2771"/>
      <c r="L484" s="2322"/>
    </row>
    <row r="485" spans="1:17" ht="30" customHeight="1" x14ac:dyDescent="0.2">
      <c r="A485" s="3456"/>
      <c r="B485" s="3643"/>
      <c r="C485" s="3576"/>
      <c r="D485" s="3819">
        <f>D482+D483+D484</f>
        <v>1127500000</v>
      </c>
      <c r="E485" s="3820"/>
      <c r="F485" s="1914">
        <f>F482+F483+F484</f>
        <v>74215000</v>
      </c>
      <c r="G485" s="2608">
        <v>74215000</v>
      </c>
      <c r="H485" s="2761"/>
      <c r="I485" s="2761"/>
      <c r="J485" s="2761"/>
      <c r="K485" s="2762"/>
      <c r="L485" s="2022"/>
    </row>
    <row r="486" spans="1:17" ht="30" customHeight="1" x14ac:dyDescent="0.2">
      <c r="A486" s="3451"/>
      <c r="B486" s="3526"/>
      <c r="C486" s="3571"/>
      <c r="D486" s="1914"/>
      <c r="E486" s="2034"/>
      <c r="F486" s="1914"/>
      <c r="G486" s="561">
        <v>56715000</v>
      </c>
      <c r="H486" s="2552" t="s">
        <v>2141</v>
      </c>
      <c r="I486" s="2552" t="s">
        <v>1819</v>
      </c>
      <c r="J486" s="2552">
        <f>G486</f>
        <v>56715000</v>
      </c>
      <c r="K486" s="2552">
        <f>F482-J486</f>
        <v>0</v>
      </c>
      <c r="L486" s="2022" t="s">
        <v>4092</v>
      </c>
    </row>
    <row r="487" spans="1:17" ht="30" customHeight="1" x14ac:dyDescent="0.2">
      <c r="A487" s="2043">
        <v>339</v>
      </c>
      <c r="B487" s="2019" t="s">
        <v>173</v>
      </c>
      <c r="C487" s="2002" t="s">
        <v>1378</v>
      </c>
      <c r="D487" s="2009">
        <v>200000000</v>
      </c>
      <c r="E487" s="2013">
        <v>7.0000000000000007E-2</v>
      </c>
      <c r="F487" s="2009">
        <f t="shared" si="49"/>
        <v>14000000.000000002</v>
      </c>
      <c r="G487" s="2728"/>
      <c r="H487" s="247"/>
      <c r="I487" s="1441"/>
      <c r="J487" s="247"/>
      <c r="K487" s="430"/>
      <c r="L487" s="2031"/>
      <c r="M487" s="429"/>
      <c r="N487" s="429"/>
      <c r="O487" s="429"/>
      <c r="P487" s="429"/>
      <c r="Q487" s="429"/>
    </row>
    <row r="488" spans="1:17" ht="30" customHeight="1" x14ac:dyDescent="0.2">
      <c r="A488" s="2043">
        <v>340</v>
      </c>
      <c r="B488" s="22" t="s">
        <v>68</v>
      </c>
      <c r="C488" s="421" t="s">
        <v>1175</v>
      </c>
      <c r="D488" s="1992">
        <v>85000000</v>
      </c>
      <c r="E488" s="2013">
        <v>0.05</v>
      </c>
      <c r="F488" s="1992">
        <f>D488*E488</f>
        <v>4250000</v>
      </c>
      <c r="G488" s="561"/>
      <c r="H488" s="2552"/>
      <c r="I488" s="2593"/>
      <c r="J488" s="2552">
        <f t="shared" ref="J488:J497" si="52">G488</f>
        <v>0</v>
      </c>
      <c r="K488" s="2549">
        <f>F488-J488</f>
        <v>4250000</v>
      </c>
      <c r="L488" s="2024"/>
      <c r="M488" s="429"/>
      <c r="N488" s="429"/>
      <c r="O488" s="429"/>
      <c r="P488" s="429"/>
      <c r="Q488" s="429"/>
    </row>
    <row r="489" spans="1:17" ht="30" customHeight="1" x14ac:dyDescent="0.2">
      <c r="A489" s="1984">
        <v>341</v>
      </c>
      <c r="B489" s="1987" t="s">
        <v>1429</v>
      </c>
      <c r="C489" s="2002"/>
      <c r="D489" s="1992">
        <v>75000000</v>
      </c>
      <c r="E489" s="2013">
        <v>4.4999999999999998E-2</v>
      </c>
      <c r="F489" s="1992">
        <v>3500000</v>
      </c>
      <c r="G489" s="482">
        <v>3500000</v>
      </c>
      <c r="H489" s="2558"/>
      <c r="I489" s="2572" t="s">
        <v>3543</v>
      </c>
      <c r="J489" s="2558">
        <f t="shared" si="52"/>
        <v>3500000</v>
      </c>
      <c r="K489" s="2584">
        <f>G489-J489</f>
        <v>0</v>
      </c>
      <c r="L489" s="2031" t="s">
        <v>4475</v>
      </c>
      <c r="M489" s="429"/>
      <c r="N489" s="429"/>
      <c r="O489" s="429"/>
      <c r="P489" s="429"/>
      <c r="Q489" s="429"/>
    </row>
    <row r="490" spans="1:17" ht="30" customHeight="1" x14ac:dyDescent="0.2">
      <c r="A490" s="3450">
        <v>342</v>
      </c>
      <c r="B490" s="3457" t="s">
        <v>72</v>
      </c>
      <c r="C490" s="3570" t="s">
        <v>2493</v>
      </c>
      <c r="D490" s="1992">
        <v>110000000</v>
      </c>
      <c r="E490" s="2013">
        <v>0.05</v>
      </c>
      <c r="F490" s="1992">
        <f>D490*E490</f>
        <v>5500000</v>
      </c>
      <c r="G490" s="482">
        <v>5500000</v>
      </c>
      <c r="H490" s="2558" t="s">
        <v>4068</v>
      </c>
      <c r="I490" s="2572" t="s">
        <v>3549</v>
      </c>
      <c r="J490" s="2558">
        <f t="shared" si="52"/>
        <v>5500000</v>
      </c>
      <c r="K490" s="2584">
        <f>F490-J490</f>
        <v>0</v>
      </c>
      <c r="L490" s="2031"/>
      <c r="M490" s="429"/>
      <c r="N490" s="429"/>
      <c r="O490" s="429"/>
      <c r="P490" s="429"/>
      <c r="Q490" s="429"/>
    </row>
    <row r="491" spans="1:17" ht="30" customHeight="1" x14ac:dyDescent="0.2">
      <c r="A491" s="3451"/>
      <c r="B491" s="3458"/>
      <c r="C491" s="3571"/>
      <c r="D491" s="2243">
        <v>70000000</v>
      </c>
      <c r="E491" s="2245">
        <v>0.05</v>
      </c>
      <c r="F491" s="2243">
        <f>D491*E491</f>
        <v>3500000</v>
      </c>
      <c r="G491" s="482">
        <v>40000000</v>
      </c>
      <c r="H491" s="2558" t="s">
        <v>4249</v>
      </c>
      <c r="I491" s="2572" t="s">
        <v>4250</v>
      </c>
      <c r="J491" s="2558">
        <f>G491</f>
        <v>40000000</v>
      </c>
      <c r="K491" s="2584"/>
      <c r="L491" s="2244" t="s">
        <v>1284</v>
      </c>
      <c r="M491" s="429"/>
      <c r="N491" s="429"/>
      <c r="O491" s="429"/>
      <c r="P491" s="429"/>
      <c r="Q491" s="429"/>
    </row>
    <row r="492" spans="1:17" ht="30" customHeight="1" x14ac:dyDescent="0.2">
      <c r="A492" s="1081">
        <v>343</v>
      </c>
      <c r="B492" s="22" t="s">
        <v>1437</v>
      </c>
      <c r="C492" s="2016" t="s">
        <v>1909</v>
      </c>
      <c r="D492" s="2009">
        <v>8000000</v>
      </c>
      <c r="E492" s="2013">
        <v>0.04</v>
      </c>
      <c r="F492" s="2009">
        <f>D492*E492</f>
        <v>320000</v>
      </c>
      <c r="G492" s="561">
        <v>320000</v>
      </c>
      <c r="H492" s="2552" t="s">
        <v>4286</v>
      </c>
      <c r="I492" s="2552" t="s">
        <v>1438</v>
      </c>
      <c r="J492" s="2552">
        <f t="shared" si="52"/>
        <v>320000</v>
      </c>
      <c r="K492" s="2549">
        <f>F492-J492</f>
        <v>0</v>
      </c>
      <c r="L492" s="2011"/>
      <c r="M492" s="429"/>
      <c r="N492" s="429"/>
      <c r="O492" s="429"/>
      <c r="P492" s="429"/>
      <c r="Q492" s="429"/>
    </row>
    <row r="493" spans="1:17" ht="30" customHeight="1" x14ac:dyDescent="0.2">
      <c r="A493" s="1984">
        <v>344</v>
      </c>
      <c r="B493" s="1987" t="s">
        <v>1445</v>
      </c>
      <c r="C493" s="2002"/>
      <c r="D493" s="1997"/>
      <c r="E493" s="2000"/>
      <c r="F493" s="1997"/>
      <c r="G493" s="482">
        <v>6500000</v>
      </c>
      <c r="H493" s="2558" t="s">
        <v>4062</v>
      </c>
      <c r="I493" s="2572" t="s">
        <v>3565</v>
      </c>
      <c r="J493" s="2558">
        <f t="shared" si="52"/>
        <v>6500000</v>
      </c>
      <c r="K493" s="2586">
        <f>F493-J493</f>
        <v>-6500000</v>
      </c>
      <c r="L493" s="2031"/>
      <c r="M493" s="429"/>
      <c r="N493" s="429"/>
      <c r="O493" s="429"/>
      <c r="P493" s="429"/>
      <c r="Q493" s="429"/>
    </row>
    <row r="494" spans="1:17" ht="30" customHeight="1" x14ac:dyDescent="0.2">
      <c r="A494" s="1984">
        <v>345</v>
      </c>
      <c r="B494" s="1987" t="s">
        <v>2206</v>
      </c>
      <c r="C494" s="2002" t="s">
        <v>1354</v>
      </c>
      <c r="D494" s="1992">
        <v>60000000</v>
      </c>
      <c r="E494" s="2013">
        <v>7.0000000000000007E-2</v>
      </c>
      <c r="F494" s="1992">
        <f>D494*E494</f>
        <v>4200000</v>
      </c>
      <c r="G494" s="482">
        <v>4200000</v>
      </c>
      <c r="H494" s="2558" t="s">
        <v>4249</v>
      </c>
      <c r="I494" s="2572" t="s">
        <v>4268</v>
      </c>
      <c r="J494" s="2558">
        <f t="shared" si="52"/>
        <v>4200000</v>
      </c>
      <c r="K494" s="2584">
        <f>G494-J494</f>
        <v>0</v>
      </c>
      <c r="L494" s="2031"/>
      <c r="M494" s="429"/>
      <c r="N494" s="429"/>
      <c r="O494" s="429"/>
      <c r="P494" s="429"/>
      <c r="Q494" s="429"/>
    </row>
    <row r="495" spans="1:17" ht="30" customHeight="1" x14ac:dyDescent="0.2">
      <c r="A495" s="1984">
        <v>346</v>
      </c>
      <c r="B495" s="1987" t="s">
        <v>1452</v>
      </c>
      <c r="C495" s="2002" t="s">
        <v>1215</v>
      </c>
      <c r="D495" s="2160">
        <v>5000000</v>
      </c>
      <c r="E495" s="2171">
        <v>0.05</v>
      </c>
      <c r="F495" s="2160">
        <f>D495*E495</f>
        <v>250000</v>
      </c>
      <c r="G495" s="482">
        <v>500000</v>
      </c>
      <c r="H495" s="2558" t="s">
        <v>4105</v>
      </c>
      <c r="I495" s="2572" t="s">
        <v>4124</v>
      </c>
      <c r="J495" s="2558">
        <f t="shared" si="52"/>
        <v>500000</v>
      </c>
      <c r="K495" s="2584">
        <f t="shared" ref="K495:K506" si="53">F495-J495</f>
        <v>-250000</v>
      </c>
      <c r="L495" s="2031" t="s">
        <v>4125</v>
      </c>
      <c r="M495" s="429"/>
      <c r="N495" s="429"/>
      <c r="O495" s="429"/>
      <c r="P495" s="429"/>
      <c r="Q495" s="429"/>
    </row>
    <row r="496" spans="1:17" ht="30" customHeight="1" x14ac:dyDescent="0.2">
      <c r="A496" s="1984">
        <v>347</v>
      </c>
      <c r="B496" s="1987" t="s">
        <v>181</v>
      </c>
      <c r="C496" s="2002" t="s">
        <v>1909</v>
      </c>
      <c r="D496" s="1992">
        <v>130000000</v>
      </c>
      <c r="E496" s="2013">
        <v>0.05</v>
      </c>
      <c r="F496" s="1992">
        <f>D496*E496</f>
        <v>6500000</v>
      </c>
      <c r="G496" s="482">
        <v>6500000</v>
      </c>
      <c r="H496" s="2558" t="s">
        <v>4286</v>
      </c>
      <c r="I496" s="2572" t="s">
        <v>4091</v>
      </c>
      <c r="J496" s="2558">
        <f t="shared" si="52"/>
        <v>6500000</v>
      </c>
      <c r="K496" s="2584">
        <f t="shared" si="53"/>
        <v>0</v>
      </c>
      <c r="L496" s="2031"/>
      <c r="M496" s="429"/>
      <c r="N496" s="429"/>
      <c r="O496" s="429"/>
      <c r="P496" s="429"/>
      <c r="Q496" s="429"/>
    </row>
    <row r="497" spans="1:17" ht="30" customHeight="1" x14ac:dyDescent="0.2">
      <c r="A497" s="2014">
        <v>348</v>
      </c>
      <c r="B497" s="22" t="s">
        <v>1480</v>
      </c>
      <c r="C497" s="2016" t="s">
        <v>1378</v>
      </c>
      <c r="D497" s="2009">
        <v>50000000</v>
      </c>
      <c r="E497" s="2013">
        <v>0.04</v>
      </c>
      <c r="F497" s="2009">
        <f>D497*E497</f>
        <v>2000000</v>
      </c>
      <c r="G497" s="561"/>
      <c r="H497" s="2552"/>
      <c r="I497" s="2572" t="s">
        <v>4045</v>
      </c>
      <c r="J497" s="2558">
        <f t="shared" si="52"/>
        <v>0</v>
      </c>
      <c r="K497" s="2584">
        <f t="shared" si="53"/>
        <v>2000000</v>
      </c>
      <c r="L497" s="2031"/>
      <c r="M497" s="429"/>
      <c r="N497" s="429"/>
      <c r="O497" s="429"/>
      <c r="P497" s="429"/>
      <c r="Q497" s="429"/>
    </row>
    <row r="498" spans="1:17" ht="30" customHeight="1" x14ac:dyDescent="0.2">
      <c r="A498" s="3450">
        <v>349</v>
      </c>
      <c r="B498" s="3457" t="s">
        <v>1619</v>
      </c>
      <c r="C498" s="3570"/>
      <c r="D498" s="1992">
        <v>80000000</v>
      </c>
      <c r="E498" s="1989">
        <v>0.04</v>
      </c>
      <c r="F498" s="1992">
        <f>D498*E498</f>
        <v>3200000</v>
      </c>
      <c r="G498" s="482">
        <v>50000000</v>
      </c>
      <c r="H498" s="2558" t="s">
        <v>4261</v>
      </c>
      <c r="I498" s="2572" t="s">
        <v>4262</v>
      </c>
      <c r="J498" s="2557">
        <f>G498+G499</f>
        <v>105000000</v>
      </c>
      <c r="K498" s="2583">
        <f t="shared" si="53"/>
        <v>-101800000</v>
      </c>
      <c r="L498" s="2031"/>
      <c r="M498" s="429"/>
      <c r="N498" s="429"/>
      <c r="O498" s="429"/>
      <c r="P498" s="429"/>
      <c r="Q498" s="429"/>
    </row>
    <row r="499" spans="1:17" ht="30" customHeight="1" x14ac:dyDescent="0.2">
      <c r="A499" s="3456"/>
      <c r="B499" s="3459"/>
      <c r="C499" s="3576"/>
      <c r="D499" s="2724"/>
      <c r="E499" s="2412"/>
      <c r="F499" s="2088"/>
      <c r="G499" s="482">
        <v>55000000</v>
      </c>
      <c r="H499" s="2558" t="s">
        <v>4249</v>
      </c>
      <c r="I499" s="2572" t="s">
        <v>4253</v>
      </c>
      <c r="J499" s="2558"/>
      <c r="K499" s="2584"/>
      <c r="L499" s="2246"/>
      <c r="M499" s="429"/>
      <c r="N499" s="429"/>
      <c r="O499" s="429"/>
      <c r="P499" s="429"/>
      <c r="Q499" s="429"/>
    </row>
    <row r="500" spans="1:17" ht="30" customHeight="1" x14ac:dyDescent="0.2">
      <c r="A500" s="3456"/>
      <c r="B500" s="3459"/>
      <c r="C500" s="3576"/>
      <c r="D500" s="2725"/>
      <c r="E500" s="264"/>
      <c r="F500" s="2089"/>
      <c r="G500" s="2548"/>
      <c r="H500" s="2550"/>
      <c r="I500" s="2550"/>
      <c r="J500" s="2551"/>
      <c r="K500" s="2584"/>
      <c r="L500" s="2328" t="s">
        <v>4333</v>
      </c>
      <c r="M500" s="429"/>
      <c r="N500" s="429"/>
      <c r="O500" s="429"/>
      <c r="P500" s="429"/>
      <c r="Q500" s="429"/>
    </row>
    <row r="501" spans="1:17" ht="30" customHeight="1" x14ac:dyDescent="0.2">
      <c r="A501" s="3451"/>
      <c r="B501" s="3458"/>
      <c r="C501" s="3571"/>
      <c r="D501" s="2150"/>
      <c r="E501" s="2726"/>
      <c r="F501" s="2090"/>
      <c r="G501" s="561"/>
      <c r="H501" s="2552"/>
      <c r="I501" s="2552"/>
      <c r="J501" s="2552"/>
      <c r="K501" s="2584"/>
      <c r="L501" s="2328"/>
      <c r="M501" s="429"/>
      <c r="N501" s="429"/>
      <c r="O501" s="429"/>
      <c r="P501" s="429"/>
      <c r="Q501" s="429"/>
    </row>
    <row r="502" spans="1:17" ht="30" customHeight="1" x14ac:dyDescent="0.2">
      <c r="A502" s="1984">
        <v>350</v>
      </c>
      <c r="B502" s="1987" t="s">
        <v>1647</v>
      </c>
      <c r="C502" s="2002"/>
      <c r="D502" s="1992">
        <v>110000000</v>
      </c>
      <c r="E502" s="2778"/>
      <c r="F502" s="2779"/>
      <c r="G502" s="482"/>
      <c r="H502" s="2558"/>
      <c r="I502" s="2572" t="s">
        <v>3605</v>
      </c>
      <c r="J502" s="2558">
        <f t="shared" ref="J502:J508" si="54">G502</f>
        <v>0</v>
      </c>
      <c r="K502" s="2586">
        <f t="shared" si="53"/>
        <v>0</v>
      </c>
      <c r="L502" s="2031"/>
      <c r="M502" s="429"/>
      <c r="N502" s="429"/>
      <c r="O502" s="429"/>
      <c r="P502" s="429"/>
      <c r="Q502" s="429"/>
    </row>
    <row r="503" spans="1:17" ht="30" customHeight="1" x14ac:dyDescent="0.2">
      <c r="A503" s="2014"/>
      <c r="B503" s="22" t="s">
        <v>1651</v>
      </c>
      <c r="C503" s="2016" t="s">
        <v>1215</v>
      </c>
      <c r="D503" s="2009">
        <v>680000000</v>
      </c>
      <c r="E503" s="2013">
        <v>7.0000000000000007E-2</v>
      </c>
      <c r="F503" s="2009">
        <f t="shared" ref="F503:F509" si="55">D503*E503</f>
        <v>47600000.000000007</v>
      </c>
      <c r="G503" s="561">
        <v>47600000</v>
      </c>
      <c r="H503" s="2552" t="s">
        <v>4156</v>
      </c>
      <c r="I503" s="2552" t="s">
        <v>2591</v>
      </c>
      <c r="J503" s="2552">
        <f t="shared" si="54"/>
        <v>47600000</v>
      </c>
      <c r="K503" s="2584">
        <f t="shared" si="53"/>
        <v>0</v>
      </c>
      <c r="L503" s="2169" t="s">
        <v>4159</v>
      </c>
      <c r="M503" s="429"/>
      <c r="N503" s="429"/>
      <c r="O503" s="429"/>
      <c r="P503" s="429"/>
      <c r="Q503" s="429"/>
    </row>
    <row r="504" spans="1:17" ht="30" customHeight="1" x14ac:dyDescent="0.2">
      <c r="A504" s="1984">
        <v>352</v>
      </c>
      <c r="B504" s="1987" t="s">
        <v>1654</v>
      </c>
      <c r="C504" s="2002" t="s">
        <v>1112</v>
      </c>
      <c r="D504" s="1992">
        <v>50000000</v>
      </c>
      <c r="E504" s="1989">
        <v>7.0000000000000007E-2</v>
      </c>
      <c r="F504" s="1992">
        <f t="shared" si="55"/>
        <v>3500000.0000000005</v>
      </c>
      <c r="G504" s="482">
        <v>3500000</v>
      </c>
      <c r="H504" s="2558" t="s">
        <v>4133</v>
      </c>
      <c r="I504" s="24" t="s">
        <v>3653</v>
      </c>
      <c r="J504" s="2558">
        <f t="shared" si="54"/>
        <v>3500000</v>
      </c>
      <c r="K504" s="2584">
        <f t="shared" si="53"/>
        <v>0</v>
      </c>
      <c r="L504" s="2031"/>
      <c r="M504" s="429"/>
      <c r="N504" s="429"/>
      <c r="O504" s="429"/>
      <c r="P504" s="429"/>
      <c r="Q504" s="429"/>
    </row>
    <row r="505" spans="1:17" ht="30" customHeight="1" x14ac:dyDescent="0.2">
      <c r="A505" s="3693">
        <v>353</v>
      </c>
      <c r="B505" s="3687" t="s">
        <v>1658</v>
      </c>
      <c r="C505" s="2016" t="s">
        <v>1215</v>
      </c>
      <c r="D505" s="1992">
        <v>50000000</v>
      </c>
      <c r="E505" s="2013">
        <v>0.05</v>
      </c>
      <c r="F505" s="1992">
        <f t="shared" si="55"/>
        <v>2500000</v>
      </c>
      <c r="G505" s="482">
        <v>2500000</v>
      </c>
      <c r="H505" s="2558" t="s">
        <v>1964</v>
      </c>
      <c r="I505" s="2572" t="s">
        <v>3856</v>
      </c>
      <c r="J505" s="2558">
        <f t="shared" si="54"/>
        <v>2500000</v>
      </c>
      <c r="K505" s="2584">
        <f t="shared" si="53"/>
        <v>0</v>
      </c>
      <c r="L505" s="2031"/>
      <c r="M505" s="429"/>
      <c r="N505" s="429"/>
      <c r="O505" s="429"/>
      <c r="P505" s="429"/>
      <c r="Q505" s="429"/>
    </row>
    <row r="506" spans="1:17" ht="30" customHeight="1" x14ac:dyDescent="0.2">
      <c r="A506" s="3693"/>
      <c r="B506" s="3687"/>
      <c r="C506" s="2016" t="s">
        <v>1354</v>
      </c>
      <c r="D506" s="1992">
        <v>20000000</v>
      </c>
      <c r="E506" s="2013">
        <v>0.05</v>
      </c>
      <c r="F506" s="1992">
        <f t="shared" si="55"/>
        <v>1000000</v>
      </c>
      <c r="G506" s="2733">
        <v>1000000</v>
      </c>
      <c r="H506" s="1508" t="s">
        <v>4249</v>
      </c>
      <c r="I506" s="1508" t="s">
        <v>3856</v>
      </c>
      <c r="J506" s="1508">
        <f t="shared" si="54"/>
        <v>1000000</v>
      </c>
      <c r="K506" s="2584">
        <f t="shared" si="53"/>
        <v>0</v>
      </c>
      <c r="L506" s="2031" t="s">
        <v>3044</v>
      </c>
      <c r="M506" s="429"/>
      <c r="N506" s="429"/>
      <c r="O506" s="429"/>
      <c r="P506" s="429"/>
      <c r="Q506" s="429"/>
    </row>
    <row r="507" spans="1:17" ht="30" customHeight="1" x14ac:dyDescent="0.2">
      <c r="A507" s="1984">
        <v>355</v>
      </c>
      <c r="B507" s="1987" t="s">
        <v>1675</v>
      </c>
      <c r="C507" s="2002" t="s">
        <v>2778</v>
      </c>
      <c r="D507" s="1992">
        <v>115000000</v>
      </c>
      <c r="E507" s="2013">
        <v>0.05</v>
      </c>
      <c r="F507" s="1992">
        <f t="shared" si="55"/>
        <v>5750000</v>
      </c>
      <c r="G507" s="482">
        <v>5750000</v>
      </c>
      <c r="H507" s="2558" t="s">
        <v>2141</v>
      </c>
      <c r="I507" s="516" t="s">
        <v>3547</v>
      </c>
      <c r="J507" s="2558">
        <f t="shared" si="54"/>
        <v>5750000</v>
      </c>
      <c r="K507" s="2584">
        <f>F507-J507</f>
        <v>0</v>
      </c>
      <c r="L507" s="2031"/>
      <c r="M507" s="429"/>
      <c r="N507" s="429"/>
      <c r="O507" s="429"/>
      <c r="P507" s="429"/>
      <c r="Q507" s="429"/>
    </row>
    <row r="508" spans="1:17" ht="30" customHeight="1" x14ac:dyDescent="0.2">
      <c r="A508" s="3450">
        <v>356</v>
      </c>
      <c r="B508" s="3457" t="s">
        <v>1683</v>
      </c>
      <c r="C508" s="3570"/>
      <c r="D508" s="1992">
        <v>60000000</v>
      </c>
      <c r="E508" s="2013">
        <v>0.04</v>
      </c>
      <c r="F508" s="1992">
        <f t="shared" si="55"/>
        <v>2400000</v>
      </c>
      <c r="G508" s="2780">
        <v>2800000</v>
      </c>
      <c r="H508" s="2557" t="s">
        <v>4062</v>
      </c>
      <c r="I508" s="2604" t="s">
        <v>4063</v>
      </c>
      <c r="J508" s="2557">
        <f t="shared" si="54"/>
        <v>2800000</v>
      </c>
      <c r="K508" s="2583">
        <f>(F508+F509)-J508</f>
        <v>0</v>
      </c>
      <c r="L508" s="3625"/>
      <c r="M508" s="429"/>
      <c r="N508" s="429"/>
      <c r="O508" s="429"/>
      <c r="P508" s="429"/>
      <c r="Q508" s="429"/>
    </row>
    <row r="509" spans="1:17" ht="30" customHeight="1" x14ac:dyDescent="0.2">
      <c r="A509" s="3451"/>
      <c r="B509" s="3458"/>
      <c r="C509" s="3571"/>
      <c r="D509" s="1992">
        <v>10000000</v>
      </c>
      <c r="E509" s="2013">
        <v>0.04</v>
      </c>
      <c r="F509" s="1992">
        <f t="shared" si="55"/>
        <v>400000</v>
      </c>
      <c r="G509" s="2734"/>
      <c r="H509" s="2558"/>
      <c r="I509" s="2605"/>
      <c r="J509" s="2558"/>
      <c r="K509" s="2584"/>
      <c r="L509" s="3626"/>
      <c r="M509" s="429"/>
      <c r="N509" s="429"/>
      <c r="O509" s="429"/>
      <c r="P509" s="429"/>
      <c r="Q509" s="429"/>
    </row>
    <row r="510" spans="1:17" ht="30" customHeight="1" x14ac:dyDescent="0.2">
      <c r="A510" s="1984">
        <v>357</v>
      </c>
      <c r="B510" s="1987" t="s">
        <v>1685</v>
      </c>
      <c r="C510" s="2002"/>
      <c r="D510" s="1992">
        <v>70000000</v>
      </c>
      <c r="E510" s="44"/>
      <c r="F510" s="1997"/>
      <c r="G510" s="482"/>
      <c r="H510" s="2558"/>
      <c r="I510" s="516"/>
      <c r="J510" s="2558"/>
      <c r="K510" s="2586"/>
      <c r="L510" s="2031" t="s">
        <v>1686</v>
      </c>
      <c r="M510" s="429"/>
      <c r="N510" s="429"/>
      <c r="O510" s="429"/>
      <c r="P510" s="429"/>
      <c r="Q510" s="429"/>
    </row>
    <row r="511" spans="1:17" ht="30" customHeight="1" x14ac:dyDescent="0.2">
      <c r="A511" s="1081">
        <v>358</v>
      </c>
      <c r="B511" s="2173" t="s">
        <v>1690</v>
      </c>
      <c r="C511" s="2172"/>
      <c r="D511" s="2166"/>
      <c r="E511" s="44"/>
      <c r="F511" s="2166"/>
      <c r="G511" s="561">
        <v>20000000</v>
      </c>
      <c r="H511" s="2552" t="s">
        <v>4133</v>
      </c>
      <c r="I511" s="1082" t="s">
        <v>1691</v>
      </c>
      <c r="J511" s="2552">
        <f>G511</f>
        <v>20000000</v>
      </c>
      <c r="K511" s="1083">
        <f>F511-J511</f>
        <v>-20000000</v>
      </c>
      <c r="L511" s="2271" t="s">
        <v>4272</v>
      </c>
      <c r="M511" s="429"/>
      <c r="N511" s="429"/>
      <c r="O511" s="429"/>
      <c r="P511" s="429"/>
      <c r="Q511" s="429"/>
    </row>
    <row r="512" spans="1:17" ht="30" customHeight="1" x14ac:dyDescent="0.2">
      <c r="A512" s="3450">
        <v>359</v>
      </c>
      <c r="B512" s="3457" t="s">
        <v>1692</v>
      </c>
      <c r="C512" s="3570"/>
      <c r="D512" s="3505"/>
      <c r="E512" s="3507"/>
      <c r="F512" s="3505"/>
      <c r="G512" s="482"/>
      <c r="H512" s="2558"/>
      <c r="I512" s="516"/>
      <c r="J512" s="2557">
        <f>G512+G513</f>
        <v>0</v>
      </c>
      <c r="K512" s="2585">
        <f>F512-J512</f>
        <v>0</v>
      </c>
      <c r="L512" s="3625"/>
      <c r="M512" s="429"/>
      <c r="N512" s="429"/>
      <c r="O512" s="429"/>
      <c r="P512" s="429"/>
      <c r="Q512" s="429"/>
    </row>
    <row r="513" spans="1:17" ht="30" customHeight="1" x14ac:dyDescent="0.2">
      <c r="A513" s="3451"/>
      <c r="B513" s="3458"/>
      <c r="C513" s="3571"/>
      <c r="D513" s="3506"/>
      <c r="E513" s="3508"/>
      <c r="F513" s="3506"/>
      <c r="G513" s="482"/>
      <c r="H513" s="2558"/>
      <c r="I513" s="516"/>
      <c r="J513" s="2558"/>
      <c r="K513" s="2586"/>
      <c r="L513" s="3626"/>
      <c r="M513" s="429"/>
      <c r="N513" s="429"/>
      <c r="O513" s="429"/>
      <c r="P513" s="429"/>
      <c r="Q513" s="429"/>
    </row>
    <row r="514" spans="1:17" ht="30" customHeight="1" x14ac:dyDescent="0.2">
      <c r="A514" s="3450">
        <v>360</v>
      </c>
      <c r="B514" s="3457" t="s">
        <v>1707</v>
      </c>
      <c r="C514" s="3570" t="s">
        <v>916</v>
      </c>
      <c r="D514" s="2009">
        <v>290000000</v>
      </c>
      <c r="E514" s="2013">
        <v>0.05</v>
      </c>
      <c r="F514" s="2009">
        <f>D514*E514</f>
        <v>14500000</v>
      </c>
      <c r="G514" s="2780">
        <v>27100000</v>
      </c>
      <c r="H514" s="2557" t="s">
        <v>1964</v>
      </c>
      <c r="I514" s="2604" t="s">
        <v>1704</v>
      </c>
      <c r="J514" s="2557">
        <f>G514+G515</f>
        <v>27100000</v>
      </c>
      <c r="K514" s="2583">
        <f>(F514+F515)-G514</f>
        <v>0</v>
      </c>
      <c r="L514" s="3625"/>
      <c r="M514" s="429"/>
      <c r="N514" s="429"/>
      <c r="O514" s="429"/>
      <c r="P514" s="429"/>
      <c r="Q514" s="429"/>
    </row>
    <row r="515" spans="1:17" ht="30" customHeight="1" x14ac:dyDescent="0.2">
      <c r="A515" s="3451"/>
      <c r="B515" s="3458"/>
      <c r="C515" s="3571"/>
      <c r="D515" s="2009">
        <v>210000000</v>
      </c>
      <c r="E515" s="2013">
        <v>0.06</v>
      </c>
      <c r="F515" s="2009">
        <f>D515*E515</f>
        <v>12600000</v>
      </c>
      <c r="G515" s="2734"/>
      <c r="H515" s="2558"/>
      <c r="I515" s="2605"/>
      <c r="J515" s="2558"/>
      <c r="K515" s="2584"/>
      <c r="L515" s="3626"/>
      <c r="M515" s="429"/>
      <c r="N515" s="429"/>
      <c r="O515" s="429"/>
      <c r="P515" s="429"/>
      <c r="Q515" s="429"/>
    </row>
    <row r="516" spans="1:17" ht="30" customHeight="1" x14ac:dyDescent="0.2">
      <c r="A516" s="3450">
        <v>361</v>
      </c>
      <c r="B516" s="3457" t="s">
        <v>1705</v>
      </c>
      <c r="C516" s="3570"/>
      <c r="D516" s="3442">
        <v>3045000000</v>
      </c>
      <c r="E516" s="3444"/>
      <c r="F516" s="3442">
        <v>95800000</v>
      </c>
      <c r="G516" s="482">
        <v>15000000</v>
      </c>
      <c r="H516" s="2558"/>
      <c r="I516" s="516" t="s">
        <v>1706</v>
      </c>
      <c r="J516" s="2557">
        <f>G516+G517++G518+G519+G520</f>
        <v>95800000</v>
      </c>
      <c r="K516" s="2583">
        <f>F516-J516</f>
        <v>0</v>
      </c>
      <c r="L516" s="2023"/>
      <c r="M516" s="429"/>
      <c r="N516" s="429"/>
      <c r="O516" s="429"/>
      <c r="P516" s="429"/>
      <c r="Q516" s="429"/>
    </row>
    <row r="517" spans="1:17" ht="30" customHeight="1" x14ac:dyDescent="0.2">
      <c r="A517" s="3456"/>
      <c r="B517" s="3459"/>
      <c r="C517" s="3576"/>
      <c r="D517" s="3461"/>
      <c r="E517" s="3474"/>
      <c r="F517" s="3461"/>
      <c r="G517" s="482">
        <v>39000000</v>
      </c>
      <c r="H517" s="2548" t="s">
        <v>4320</v>
      </c>
      <c r="I517" s="2551"/>
      <c r="J517" s="2560"/>
      <c r="K517" s="2588"/>
      <c r="L517" s="2030"/>
      <c r="M517" s="429"/>
      <c r="N517" s="429"/>
      <c r="O517" s="429"/>
      <c r="P517" s="429"/>
      <c r="Q517" s="429"/>
    </row>
    <row r="518" spans="1:17" ht="30" customHeight="1" x14ac:dyDescent="0.2">
      <c r="A518" s="3456"/>
      <c r="B518" s="3459"/>
      <c r="C518" s="3576"/>
      <c r="D518" s="3461"/>
      <c r="E518" s="3474"/>
      <c r="F518" s="3461"/>
      <c r="G518" s="482">
        <v>1000000</v>
      </c>
      <c r="H518" s="2558" t="s">
        <v>4156</v>
      </c>
      <c r="I518" s="516" t="s">
        <v>3287</v>
      </c>
      <c r="J518" s="2560"/>
      <c r="K518" s="2588"/>
      <c r="L518" s="898"/>
      <c r="M518" s="429"/>
      <c r="N518" s="429"/>
      <c r="O518" s="429"/>
      <c r="P518" s="429"/>
      <c r="Q518" s="429"/>
    </row>
    <row r="519" spans="1:17" ht="30" customHeight="1" x14ac:dyDescent="0.2">
      <c r="A519" s="3456"/>
      <c r="B519" s="3459"/>
      <c r="C519" s="3576"/>
      <c r="D519" s="3461"/>
      <c r="E519" s="3474"/>
      <c r="F519" s="3461"/>
      <c r="G519" s="482">
        <v>30000000</v>
      </c>
      <c r="H519" s="2558" t="s">
        <v>4184</v>
      </c>
      <c r="I519" s="516" t="s">
        <v>1706</v>
      </c>
      <c r="J519" s="2560"/>
      <c r="K519" s="2588"/>
      <c r="L519" s="898"/>
      <c r="M519" s="429"/>
      <c r="N519" s="429"/>
      <c r="O519" s="429"/>
      <c r="P519" s="429"/>
      <c r="Q519" s="429"/>
    </row>
    <row r="520" spans="1:17" ht="30" customHeight="1" x14ac:dyDescent="0.2">
      <c r="A520" s="3456"/>
      <c r="B520" s="3459"/>
      <c r="C520" s="3576"/>
      <c r="D520" s="3461"/>
      <c r="E520" s="3474"/>
      <c r="F520" s="3461"/>
      <c r="G520" s="482">
        <v>10800000</v>
      </c>
      <c r="H520" s="2553" t="s">
        <v>4192</v>
      </c>
      <c r="I520" s="2554"/>
      <c r="J520" s="2560"/>
      <c r="K520" s="2588"/>
      <c r="L520" s="898"/>
      <c r="M520" s="429"/>
      <c r="N520" s="429"/>
      <c r="O520" s="429"/>
      <c r="P520" s="429"/>
      <c r="Q520" s="429"/>
    </row>
    <row r="521" spans="1:17" ht="30" customHeight="1" x14ac:dyDescent="0.2">
      <c r="A521" s="3456"/>
      <c r="B521" s="3459"/>
      <c r="C521" s="3576"/>
      <c r="D521" s="3461"/>
      <c r="E521" s="3474"/>
      <c r="F521" s="3461"/>
      <c r="G521" s="482"/>
      <c r="H521" s="2558"/>
      <c r="I521" s="516"/>
      <c r="J521" s="2560"/>
      <c r="K521" s="2588"/>
      <c r="L521" s="898"/>
      <c r="M521" s="429"/>
      <c r="N521" s="429"/>
      <c r="O521" s="429"/>
      <c r="P521" s="429"/>
      <c r="Q521" s="429"/>
    </row>
    <row r="522" spans="1:17" ht="30" customHeight="1" x14ac:dyDescent="0.2">
      <c r="A522" s="3456"/>
      <c r="B522" s="3459"/>
      <c r="C522" s="3576"/>
      <c r="D522" s="3461"/>
      <c r="E522" s="3474"/>
      <c r="F522" s="3461"/>
      <c r="G522" s="482"/>
      <c r="H522" s="2558"/>
      <c r="I522" s="516"/>
      <c r="J522" s="2560"/>
      <c r="K522" s="2588"/>
      <c r="L522" s="898"/>
      <c r="M522" s="429"/>
      <c r="N522" s="429"/>
      <c r="O522" s="429"/>
      <c r="P522" s="429"/>
      <c r="Q522" s="429"/>
    </row>
    <row r="523" spans="1:17" ht="30" customHeight="1" x14ac:dyDescent="0.2">
      <c r="A523" s="3456"/>
      <c r="B523" s="3459"/>
      <c r="C523" s="3576"/>
      <c r="D523" s="3461"/>
      <c r="E523" s="3474"/>
      <c r="F523" s="3461"/>
      <c r="G523" s="482"/>
      <c r="H523" s="2558"/>
      <c r="I523" s="516"/>
      <c r="J523" s="2560"/>
      <c r="K523" s="2588"/>
      <c r="L523" s="898"/>
      <c r="M523" s="429"/>
      <c r="N523" s="429"/>
      <c r="O523" s="429"/>
      <c r="P523" s="429"/>
      <c r="Q523" s="429"/>
    </row>
    <row r="524" spans="1:17" ht="30" customHeight="1" x14ac:dyDescent="0.2">
      <c r="A524" s="3456"/>
      <c r="B524" s="3459"/>
      <c r="C524" s="3576"/>
      <c r="D524" s="3461"/>
      <c r="E524" s="3474"/>
      <c r="F524" s="3461"/>
      <c r="G524" s="482"/>
      <c r="H524" s="2558"/>
      <c r="I524" s="516"/>
      <c r="J524" s="2560"/>
      <c r="K524" s="2588"/>
      <c r="L524" s="898"/>
      <c r="M524" s="429"/>
      <c r="N524" s="429"/>
      <c r="O524" s="429"/>
      <c r="P524" s="429"/>
      <c r="Q524" s="429"/>
    </row>
    <row r="525" spans="1:17" ht="30" customHeight="1" x14ac:dyDescent="0.2">
      <c r="A525" s="3451"/>
      <c r="B525" s="3458"/>
      <c r="C525" s="3571"/>
      <c r="D525" s="3443"/>
      <c r="E525" s="3445"/>
      <c r="F525" s="3443"/>
      <c r="G525" s="482"/>
      <c r="H525" s="2558"/>
      <c r="I525" s="516"/>
      <c r="J525" s="2558"/>
      <c r="K525" s="2584"/>
      <c r="L525" s="951"/>
      <c r="M525" s="429"/>
      <c r="N525" s="429"/>
      <c r="O525" s="429"/>
      <c r="P525" s="429"/>
      <c r="Q525" s="429"/>
    </row>
    <row r="526" spans="1:17" ht="30" customHeight="1" x14ac:dyDescent="0.2">
      <c r="A526" s="3450"/>
      <c r="B526" s="3457" t="s">
        <v>4321</v>
      </c>
      <c r="C526" s="3570"/>
      <c r="D526" s="3442">
        <f>9000000+5000000+10800000</f>
        <v>24800000</v>
      </c>
      <c r="E526" s="3444"/>
      <c r="F526" s="3442"/>
      <c r="G526" s="482"/>
      <c r="H526" s="2558"/>
      <c r="I526" s="516"/>
      <c r="J526" s="2558"/>
      <c r="K526" s="2584"/>
      <c r="L526" s="2347" t="s">
        <v>4322</v>
      </c>
      <c r="M526" s="429"/>
      <c r="N526" s="429"/>
      <c r="O526" s="429"/>
      <c r="P526" s="429"/>
      <c r="Q526" s="429"/>
    </row>
    <row r="527" spans="1:17" ht="30" customHeight="1" x14ac:dyDescent="0.2">
      <c r="A527" s="3456"/>
      <c r="B527" s="3459"/>
      <c r="C527" s="3576"/>
      <c r="D527" s="3461"/>
      <c r="E527" s="3474"/>
      <c r="F527" s="3461"/>
      <c r="G527" s="482"/>
      <c r="H527" s="2558"/>
      <c r="I527" s="516"/>
      <c r="J527" s="2558"/>
      <c r="K527" s="2584"/>
      <c r="L527" s="2347" t="s">
        <v>4323</v>
      </c>
      <c r="M527" s="429"/>
      <c r="N527" s="429"/>
      <c r="O527" s="429"/>
      <c r="P527" s="429"/>
      <c r="Q527" s="429"/>
    </row>
    <row r="528" spans="1:17" ht="30" customHeight="1" x14ac:dyDescent="0.2">
      <c r="A528" s="3451"/>
      <c r="B528" s="3458"/>
      <c r="C528" s="3571"/>
      <c r="D528" s="3443"/>
      <c r="E528" s="3445"/>
      <c r="F528" s="3443"/>
      <c r="G528" s="482"/>
      <c r="H528" s="2558"/>
      <c r="I528" s="516"/>
      <c r="J528" s="2558"/>
      <c r="K528" s="2584"/>
      <c r="L528" s="2347" t="s">
        <v>4324</v>
      </c>
      <c r="M528" s="429"/>
      <c r="N528" s="429"/>
      <c r="O528" s="429"/>
      <c r="P528" s="429"/>
      <c r="Q528" s="429"/>
    </row>
    <row r="529" spans="1:17" ht="30" customHeight="1" x14ac:dyDescent="0.2">
      <c r="A529" s="2081">
        <v>362</v>
      </c>
      <c r="B529" s="22" t="s">
        <v>1712</v>
      </c>
      <c r="C529" s="2079" t="s">
        <v>1746</v>
      </c>
      <c r="D529" s="1992">
        <v>360000000</v>
      </c>
      <c r="E529" s="2013">
        <v>4.4999999999999998E-2</v>
      </c>
      <c r="F529" s="1992">
        <v>16500000</v>
      </c>
      <c r="G529" s="482">
        <v>16500000</v>
      </c>
      <c r="H529" s="2558" t="s">
        <v>4105</v>
      </c>
      <c r="I529" s="516" t="s">
        <v>1713</v>
      </c>
      <c r="J529" s="2558">
        <f t="shared" ref="J529:J534" si="56">G529</f>
        <v>16500000</v>
      </c>
      <c r="K529" s="2584">
        <f t="shared" ref="K529:K534" si="57">F529-J529</f>
        <v>0</v>
      </c>
      <c r="L529" s="3478" t="s">
        <v>3587</v>
      </c>
      <c r="M529" s="3479"/>
      <c r="N529" s="3479"/>
      <c r="O529" s="3480"/>
      <c r="P529" s="429"/>
      <c r="Q529" s="429"/>
    </row>
    <row r="530" spans="1:17" ht="30" customHeight="1" x14ac:dyDescent="0.2">
      <c r="A530" s="1984">
        <v>363</v>
      </c>
      <c r="B530" s="1987" t="s">
        <v>1734</v>
      </c>
      <c r="C530" s="2002"/>
      <c r="D530" s="1997"/>
      <c r="E530" s="44"/>
      <c r="F530" s="1997"/>
      <c r="G530" s="482">
        <v>1175000</v>
      </c>
      <c r="H530" s="2558" t="s">
        <v>4201</v>
      </c>
      <c r="I530" s="516" t="s">
        <v>1714</v>
      </c>
      <c r="J530" s="2558">
        <f t="shared" si="56"/>
        <v>1175000</v>
      </c>
      <c r="K530" s="2584">
        <f t="shared" si="57"/>
        <v>-1175000</v>
      </c>
      <c r="L530" s="2031"/>
      <c r="M530" s="429"/>
      <c r="N530" s="429"/>
      <c r="O530" s="429"/>
      <c r="P530" s="429"/>
      <c r="Q530" s="429"/>
    </row>
    <row r="531" spans="1:17" ht="30" customHeight="1" x14ac:dyDescent="0.2">
      <c r="A531" s="1984">
        <v>364</v>
      </c>
      <c r="B531" s="1987" t="s">
        <v>1730</v>
      </c>
      <c r="C531" s="2002"/>
      <c r="D531" s="1997"/>
      <c r="E531" s="44"/>
      <c r="F531" s="1997"/>
      <c r="G531" s="482">
        <v>6600000</v>
      </c>
      <c r="H531" s="2558" t="s">
        <v>4177</v>
      </c>
      <c r="I531" s="516" t="s">
        <v>4180</v>
      </c>
      <c r="J531" s="2558">
        <f t="shared" si="56"/>
        <v>6600000</v>
      </c>
      <c r="K531" s="2586">
        <f t="shared" si="57"/>
        <v>-6600000</v>
      </c>
      <c r="L531" s="2031"/>
      <c r="M531" s="429"/>
      <c r="N531" s="429"/>
      <c r="O531" s="429"/>
      <c r="P531" s="429"/>
      <c r="Q531" s="429"/>
    </row>
    <row r="532" spans="1:17" ht="30" customHeight="1" x14ac:dyDescent="0.2">
      <c r="A532" s="2014">
        <v>365</v>
      </c>
      <c r="B532" s="2017" t="s">
        <v>1732</v>
      </c>
      <c r="C532" s="2016" t="s">
        <v>1817</v>
      </c>
      <c r="D532" s="1992">
        <v>250000000</v>
      </c>
      <c r="E532" s="2013">
        <v>0.05</v>
      </c>
      <c r="F532" s="1992">
        <f>D532*E532</f>
        <v>12500000</v>
      </c>
      <c r="G532" s="561">
        <v>12500000</v>
      </c>
      <c r="H532" s="2552" t="s">
        <v>4133</v>
      </c>
      <c r="I532" s="2552" t="s">
        <v>2942</v>
      </c>
      <c r="J532" s="2552">
        <f t="shared" si="56"/>
        <v>12500000</v>
      </c>
      <c r="K532" s="2584">
        <f t="shared" si="57"/>
        <v>0</v>
      </c>
      <c r="L532" s="2024"/>
      <c r="M532" s="429"/>
      <c r="N532" s="429"/>
      <c r="O532" s="429"/>
      <c r="P532" s="429"/>
      <c r="Q532" s="429"/>
    </row>
    <row r="533" spans="1:17" ht="30" customHeight="1" x14ac:dyDescent="0.2">
      <c r="A533" s="1984">
        <v>366</v>
      </c>
      <c r="B533" s="1987" t="s">
        <v>1818</v>
      </c>
      <c r="C533" s="2002" t="s">
        <v>1138</v>
      </c>
      <c r="D533" s="1992">
        <v>70000000</v>
      </c>
      <c r="E533" s="2013">
        <v>6.3E-2</v>
      </c>
      <c r="F533" s="1992">
        <v>4400000</v>
      </c>
      <c r="G533" s="482"/>
      <c r="H533" s="2558"/>
      <c r="I533" s="516" t="s">
        <v>3911</v>
      </c>
      <c r="J533" s="2558">
        <f t="shared" si="56"/>
        <v>0</v>
      </c>
      <c r="K533" s="2584">
        <f t="shared" si="57"/>
        <v>4400000</v>
      </c>
      <c r="L533" s="2031"/>
      <c r="M533" s="429"/>
      <c r="N533" s="429"/>
      <c r="O533" s="429"/>
      <c r="P533" s="429"/>
      <c r="Q533" s="429"/>
    </row>
    <row r="534" spans="1:17" ht="30" customHeight="1" x14ac:dyDescent="0.2">
      <c r="A534" s="1984">
        <v>367</v>
      </c>
      <c r="B534" s="1987" t="s">
        <v>1760</v>
      </c>
      <c r="C534" s="2002"/>
      <c r="D534" s="2197">
        <v>25000000</v>
      </c>
      <c r="E534" s="2201">
        <v>0.05</v>
      </c>
      <c r="F534" s="2197">
        <f>D534*E534</f>
        <v>1250000</v>
      </c>
      <c r="G534" s="482">
        <v>1250000</v>
      </c>
      <c r="H534" s="2558" t="s">
        <v>4184</v>
      </c>
      <c r="I534" s="516" t="s">
        <v>4191</v>
      </c>
      <c r="J534" s="2558">
        <f t="shared" si="56"/>
        <v>1250000</v>
      </c>
      <c r="K534" s="2584">
        <f t="shared" si="57"/>
        <v>0</v>
      </c>
      <c r="L534" s="2031"/>
      <c r="M534" s="429"/>
      <c r="N534" s="429"/>
      <c r="O534" s="429"/>
      <c r="P534" s="429"/>
      <c r="Q534" s="429"/>
    </row>
    <row r="535" spans="1:17" ht="30" customHeight="1" x14ac:dyDescent="0.2">
      <c r="A535" s="3693">
        <v>368</v>
      </c>
      <c r="B535" s="3687" t="s">
        <v>1905</v>
      </c>
      <c r="C535" s="3686"/>
      <c r="D535" s="3575">
        <v>800000000</v>
      </c>
      <c r="E535" s="3683">
        <v>7.0000000000000007E-2</v>
      </c>
      <c r="F535" s="3575">
        <f>D535*E535</f>
        <v>56000000.000000007</v>
      </c>
      <c r="G535" s="2780">
        <v>56000000</v>
      </c>
      <c r="H535" s="2566" t="s">
        <v>4062</v>
      </c>
      <c r="I535" s="2604" t="s">
        <v>2713</v>
      </c>
      <c r="J535" s="2552">
        <f>G535</f>
        <v>56000000</v>
      </c>
      <c r="K535" s="2549">
        <f>F535-J535</f>
        <v>0</v>
      </c>
      <c r="L535" s="3620"/>
      <c r="M535" s="429"/>
      <c r="N535" s="429"/>
      <c r="O535" s="429"/>
      <c r="P535" s="429"/>
      <c r="Q535" s="429"/>
    </row>
    <row r="536" spans="1:17" ht="30" customHeight="1" x14ac:dyDescent="0.2">
      <c r="A536" s="3693"/>
      <c r="B536" s="3687"/>
      <c r="C536" s="3686"/>
      <c r="D536" s="3575"/>
      <c r="E536" s="3683"/>
      <c r="F536" s="3575"/>
      <c r="G536" s="2734"/>
      <c r="H536" s="2567"/>
      <c r="I536" s="2605"/>
      <c r="J536" s="2552"/>
      <c r="K536" s="2549"/>
      <c r="L536" s="3621"/>
      <c r="M536" s="429"/>
      <c r="N536" s="429"/>
      <c r="O536" s="429"/>
      <c r="P536" s="429"/>
      <c r="Q536" s="429"/>
    </row>
    <row r="537" spans="1:17" ht="30" customHeight="1" x14ac:dyDescent="0.2">
      <c r="A537" s="3450">
        <v>369</v>
      </c>
      <c r="B537" s="3457" t="s">
        <v>1771</v>
      </c>
      <c r="C537" s="3570" t="s">
        <v>1746</v>
      </c>
      <c r="D537" s="1992">
        <v>250000000</v>
      </c>
      <c r="E537" s="1989">
        <v>0.05</v>
      </c>
      <c r="F537" s="1992">
        <f t="shared" ref="F537:F542" si="58">D537*E537</f>
        <v>12500000</v>
      </c>
      <c r="G537" s="482"/>
      <c r="H537" s="2558"/>
      <c r="I537" s="247"/>
      <c r="J537" s="247"/>
      <c r="K537" s="247"/>
      <c r="L537" s="2031"/>
      <c r="M537" s="429"/>
      <c r="N537" s="429"/>
      <c r="O537" s="429"/>
      <c r="P537" s="429"/>
      <c r="Q537" s="429"/>
    </row>
    <row r="538" spans="1:17" ht="30" customHeight="1" x14ac:dyDescent="0.2">
      <c r="A538" s="3456"/>
      <c r="B538" s="3459"/>
      <c r="C538" s="3576"/>
      <c r="D538" s="1992">
        <v>150000000</v>
      </c>
      <c r="E538" s="1989">
        <v>0.06</v>
      </c>
      <c r="F538" s="1992">
        <f t="shared" si="58"/>
        <v>9000000</v>
      </c>
      <c r="G538" s="2728"/>
      <c r="H538" s="247"/>
      <c r="I538" s="247"/>
      <c r="J538" s="247"/>
      <c r="K538" s="2607"/>
      <c r="L538" s="2071" t="s">
        <v>4022</v>
      </c>
      <c r="M538" s="429"/>
      <c r="N538" s="429"/>
      <c r="O538" s="429"/>
      <c r="P538" s="429"/>
      <c r="Q538" s="429"/>
    </row>
    <row r="539" spans="1:17" ht="30" customHeight="1" x14ac:dyDescent="0.2">
      <c r="A539" s="3456"/>
      <c r="B539" s="3459"/>
      <c r="C539" s="3576"/>
      <c r="D539" s="2132">
        <v>50000000</v>
      </c>
      <c r="E539" s="2131">
        <v>0.06</v>
      </c>
      <c r="F539" s="2132">
        <f t="shared" si="58"/>
        <v>3000000</v>
      </c>
      <c r="G539" s="2728">
        <f>SUM(F537:F539)</f>
        <v>24500000</v>
      </c>
      <c r="H539" s="247"/>
      <c r="I539" s="247"/>
      <c r="J539" s="247"/>
      <c r="K539" s="2607"/>
      <c r="L539" s="2023" t="s">
        <v>4023</v>
      </c>
      <c r="M539" s="429"/>
      <c r="N539" s="429"/>
      <c r="O539" s="429"/>
      <c r="P539" s="429"/>
      <c r="Q539" s="429"/>
    </row>
    <row r="540" spans="1:17" ht="30" customHeight="1" x14ac:dyDescent="0.2">
      <c r="A540" s="3451"/>
      <c r="B540" s="3458"/>
      <c r="C540" s="3571"/>
      <c r="D540" s="2147">
        <v>105000000</v>
      </c>
      <c r="E540" s="2146">
        <v>0.06</v>
      </c>
      <c r="F540" s="2147">
        <f t="shared" si="58"/>
        <v>6300000</v>
      </c>
      <c r="G540" s="2734">
        <f>SUM(F537:F540)</f>
        <v>30800000</v>
      </c>
      <c r="H540" s="7"/>
      <c r="I540" s="2150"/>
      <c r="J540" s="7"/>
      <c r="K540" s="2607"/>
      <c r="L540" s="2148" t="s">
        <v>4118</v>
      </c>
      <c r="M540" s="429"/>
      <c r="N540" s="429"/>
      <c r="O540" s="429"/>
      <c r="P540" s="429"/>
      <c r="Q540" s="429"/>
    </row>
    <row r="541" spans="1:17" ht="30" customHeight="1" x14ac:dyDescent="0.2">
      <c r="A541" s="2130">
        <v>370</v>
      </c>
      <c r="B541" s="2137" t="s">
        <v>1795</v>
      </c>
      <c r="C541" s="2002" t="s">
        <v>3458</v>
      </c>
      <c r="D541" s="2132">
        <v>200000000</v>
      </c>
      <c r="E541" s="2135">
        <v>0.05</v>
      </c>
      <c r="F541" s="2132">
        <f t="shared" si="58"/>
        <v>10000000</v>
      </c>
      <c r="G541" s="482">
        <v>10000000</v>
      </c>
      <c r="H541" s="2558" t="s">
        <v>4133</v>
      </c>
      <c r="I541" s="516" t="s">
        <v>3536</v>
      </c>
      <c r="J541" s="2558">
        <f t="shared" ref="J541:J550" si="59">G541</f>
        <v>10000000</v>
      </c>
      <c r="K541" s="2584">
        <f>F541-J541</f>
        <v>0</v>
      </c>
      <c r="L541" s="2133"/>
      <c r="M541" s="429"/>
      <c r="N541" s="429"/>
      <c r="O541" s="429"/>
      <c r="P541" s="429"/>
      <c r="Q541" s="429"/>
    </row>
    <row r="542" spans="1:17" ht="30" customHeight="1" x14ac:dyDescent="0.2">
      <c r="A542" s="3450">
        <v>371</v>
      </c>
      <c r="B542" s="3457" t="s">
        <v>1797</v>
      </c>
      <c r="C542" s="3570" t="s">
        <v>971</v>
      </c>
      <c r="D542" s="3442">
        <v>50000000</v>
      </c>
      <c r="E542" s="3444">
        <v>0.04</v>
      </c>
      <c r="F542" s="3442">
        <f t="shared" si="58"/>
        <v>2000000</v>
      </c>
      <c r="G542" s="482"/>
      <c r="H542" s="2558"/>
      <c r="I542" s="516" t="s">
        <v>1798</v>
      </c>
      <c r="J542" s="2558">
        <f t="shared" si="59"/>
        <v>0</v>
      </c>
      <c r="K542" s="2584">
        <f>F542-J542</f>
        <v>2000000</v>
      </c>
      <c r="L542" s="2031"/>
      <c r="M542" s="429"/>
      <c r="N542" s="429"/>
      <c r="O542" s="429"/>
      <c r="P542" s="429"/>
      <c r="Q542" s="429"/>
    </row>
    <row r="543" spans="1:17" ht="30" customHeight="1" x14ac:dyDescent="0.2">
      <c r="A543" s="3451"/>
      <c r="B543" s="3458"/>
      <c r="C543" s="3571"/>
      <c r="D543" s="3443"/>
      <c r="E543" s="3445"/>
      <c r="F543" s="3443"/>
      <c r="G543" s="482"/>
      <c r="H543" s="2558"/>
      <c r="I543" s="516" t="s">
        <v>1798</v>
      </c>
      <c r="J543" s="2558">
        <f t="shared" si="59"/>
        <v>0</v>
      </c>
      <c r="K543" s="2584">
        <f>F542-J543</f>
        <v>2000000</v>
      </c>
      <c r="L543" s="2031"/>
      <c r="M543" s="429"/>
      <c r="N543" s="429"/>
      <c r="O543" s="429"/>
      <c r="P543" s="429"/>
      <c r="Q543" s="429"/>
    </row>
    <row r="544" spans="1:17" ht="30" customHeight="1" x14ac:dyDescent="0.2">
      <c r="A544" s="1984">
        <v>372</v>
      </c>
      <c r="B544" s="1987" t="s">
        <v>1805</v>
      </c>
      <c r="C544" s="2002"/>
      <c r="D544" s="1997"/>
      <c r="E544" s="44"/>
      <c r="F544" s="1997"/>
      <c r="G544" s="482"/>
      <c r="H544" s="2558"/>
      <c r="I544" s="516"/>
      <c r="J544" s="2558">
        <f t="shared" si="59"/>
        <v>0</v>
      </c>
      <c r="K544" s="2586"/>
      <c r="L544" s="2031"/>
      <c r="M544" s="429"/>
      <c r="N544" s="429"/>
      <c r="O544" s="429"/>
      <c r="P544" s="429"/>
      <c r="Q544" s="429"/>
    </row>
    <row r="545" spans="1:17" ht="30" customHeight="1" x14ac:dyDescent="0.2">
      <c r="A545" s="1081"/>
      <c r="B545" s="2173" t="s">
        <v>1824</v>
      </c>
      <c r="C545" s="2172"/>
      <c r="D545" s="2151">
        <v>20000000</v>
      </c>
      <c r="E545" s="2171">
        <v>0.05</v>
      </c>
      <c r="F545" s="2151">
        <f>D545*E545</f>
        <v>1000000</v>
      </c>
      <c r="G545" s="561">
        <v>1000000</v>
      </c>
      <c r="H545" s="2552" t="s">
        <v>4133</v>
      </c>
      <c r="I545" s="2552" t="s">
        <v>3622</v>
      </c>
      <c r="J545" s="2552">
        <f t="shared" si="59"/>
        <v>1000000</v>
      </c>
      <c r="K545" s="2549">
        <f>F545-J545</f>
        <v>0</v>
      </c>
      <c r="L545" s="2031"/>
      <c r="M545" s="429"/>
      <c r="N545" s="429"/>
      <c r="O545" s="429"/>
      <c r="P545" s="429"/>
      <c r="Q545" s="429"/>
    </row>
    <row r="546" spans="1:17" ht="30" customHeight="1" x14ac:dyDescent="0.2">
      <c r="A546" s="1984">
        <v>374</v>
      </c>
      <c r="B546" s="1987" t="s">
        <v>1826</v>
      </c>
      <c r="C546" s="2002"/>
      <c r="D546" s="1997"/>
      <c r="E546" s="2000"/>
      <c r="F546" s="1997"/>
      <c r="G546" s="482"/>
      <c r="H546" s="2558"/>
      <c r="I546" s="516"/>
      <c r="J546" s="2558">
        <f t="shared" si="59"/>
        <v>0</v>
      </c>
      <c r="K546" s="2586">
        <f t="shared" ref="K546:K551" si="60">F546-J546</f>
        <v>0</v>
      </c>
      <c r="L546" s="2031"/>
      <c r="M546" s="429"/>
      <c r="N546" s="429"/>
      <c r="O546" s="429"/>
      <c r="P546" s="429"/>
      <c r="Q546" s="429"/>
    </row>
    <row r="547" spans="1:17" ht="30" customHeight="1" x14ac:dyDescent="0.2">
      <c r="A547" s="1984">
        <v>375</v>
      </c>
      <c r="B547" s="1987" t="s">
        <v>1834</v>
      </c>
      <c r="C547" s="2002"/>
      <c r="D547" s="1992">
        <v>100000000</v>
      </c>
      <c r="E547" s="2013">
        <v>0.05</v>
      </c>
      <c r="F547" s="1992">
        <f>D547*E547</f>
        <v>5000000</v>
      </c>
      <c r="G547" s="482"/>
      <c r="H547" s="2558"/>
      <c r="I547" s="516" t="s">
        <v>3562</v>
      </c>
      <c r="J547" s="2558">
        <f t="shared" si="59"/>
        <v>0</v>
      </c>
      <c r="K547" s="2584">
        <f t="shared" si="60"/>
        <v>5000000</v>
      </c>
      <c r="L547" s="2031"/>
      <c r="M547" s="429"/>
      <c r="N547" s="429"/>
      <c r="O547" s="429"/>
      <c r="P547" s="429"/>
      <c r="Q547" s="429"/>
    </row>
    <row r="548" spans="1:17" ht="30" customHeight="1" x14ac:dyDescent="0.2">
      <c r="A548" s="1984">
        <v>376</v>
      </c>
      <c r="B548" s="1987" t="s">
        <v>3718</v>
      </c>
      <c r="C548" s="2002" t="s">
        <v>265</v>
      </c>
      <c r="D548" s="2141">
        <v>50000000</v>
      </c>
      <c r="E548" s="2144">
        <v>0.06</v>
      </c>
      <c r="F548" s="2141">
        <f>D548*E548</f>
        <v>3000000</v>
      </c>
      <c r="G548" s="482">
        <v>3000000</v>
      </c>
      <c r="H548" s="2558" t="s">
        <v>4184</v>
      </c>
      <c r="I548" s="516" t="s">
        <v>4235</v>
      </c>
      <c r="J548" s="2558">
        <f t="shared" si="59"/>
        <v>3000000</v>
      </c>
      <c r="K548" s="2584">
        <f t="shared" si="60"/>
        <v>0</v>
      </c>
      <c r="L548" s="2031"/>
      <c r="M548" s="429"/>
      <c r="N548" s="429"/>
      <c r="O548" s="429"/>
      <c r="P548" s="429"/>
      <c r="Q548" s="429"/>
    </row>
    <row r="549" spans="1:17" ht="30" customHeight="1" x14ac:dyDescent="0.2">
      <c r="A549" s="1984">
        <v>377</v>
      </c>
      <c r="B549" s="1987" t="s">
        <v>1855</v>
      </c>
      <c r="C549" s="2002" t="s">
        <v>1746</v>
      </c>
      <c r="D549" s="1992">
        <v>153000000</v>
      </c>
      <c r="E549" s="2013">
        <v>7.0000000000000007E-2</v>
      </c>
      <c r="F549" s="1992">
        <f>D549*E549</f>
        <v>10710000.000000002</v>
      </c>
      <c r="G549" s="482">
        <v>10710000</v>
      </c>
      <c r="H549" s="2558" t="s">
        <v>4105</v>
      </c>
      <c r="I549" s="516" t="s">
        <v>2072</v>
      </c>
      <c r="J549" s="2558">
        <f t="shared" si="59"/>
        <v>10710000</v>
      </c>
      <c r="K549" s="2584">
        <f t="shared" si="60"/>
        <v>0</v>
      </c>
      <c r="L549" s="2031"/>
      <c r="M549" s="429"/>
      <c r="N549" s="429"/>
      <c r="O549" s="429"/>
      <c r="P549" s="429"/>
      <c r="Q549" s="429"/>
    </row>
    <row r="550" spans="1:17" ht="30" customHeight="1" x14ac:dyDescent="0.2">
      <c r="A550" s="1984">
        <v>378</v>
      </c>
      <c r="B550" s="1987" t="s">
        <v>1902</v>
      </c>
      <c r="C550" s="2002" t="s">
        <v>916</v>
      </c>
      <c r="D550" s="1992">
        <v>300000000</v>
      </c>
      <c r="E550" s="2013">
        <v>5.0999999999999997E-2</v>
      </c>
      <c r="F550" s="1992">
        <v>15500000</v>
      </c>
      <c r="G550" s="482">
        <v>15500000</v>
      </c>
      <c r="H550" s="2558" t="s">
        <v>2141</v>
      </c>
      <c r="I550" s="516" t="s">
        <v>3197</v>
      </c>
      <c r="J550" s="2558">
        <f t="shared" si="59"/>
        <v>15500000</v>
      </c>
      <c r="K550" s="2584">
        <f t="shared" si="60"/>
        <v>0</v>
      </c>
      <c r="L550" s="2031"/>
      <c r="M550" s="429"/>
      <c r="N550" s="429"/>
      <c r="O550" s="429"/>
      <c r="P550" s="429"/>
      <c r="Q550" s="429"/>
    </row>
    <row r="551" spans="1:17" ht="30" customHeight="1" x14ac:dyDescent="0.2">
      <c r="A551" s="3450">
        <v>379</v>
      </c>
      <c r="B551" s="3457" t="s">
        <v>1861</v>
      </c>
      <c r="C551" s="3570" t="s">
        <v>380</v>
      </c>
      <c r="D551" s="3442">
        <v>50000000</v>
      </c>
      <c r="E551" s="3444">
        <v>0.04</v>
      </c>
      <c r="F551" s="3442">
        <f>D551*E551</f>
        <v>2000000</v>
      </c>
      <c r="G551" s="2780">
        <v>2000000</v>
      </c>
      <c r="H551" s="2557" t="s">
        <v>4133</v>
      </c>
      <c r="I551" s="2604" t="s">
        <v>3674</v>
      </c>
      <c r="J551" s="2557">
        <f>G551+G552</f>
        <v>2000000</v>
      </c>
      <c r="K551" s="2583">
        <f t="shared" si="60"/>
        <v>0</v>
      </c>
      <c r="L551" s="3625"/>
      <c r="M551" s="429"/>
      <c r="N551" s="429"/>
      <c r="O551" s="429"/>
      <c r="P551" s="429"/>
      <c r="Q551" s="429"/>
    </row>
    <row r="552" spans="1:17" ht="30" customHeight="1" x14ac:dyDescent="0.2">
      <c r="A552" s="3451"/>
      <c r="B552" s="3458"/>
      <c r="C552" s="3571"/>
      <c r="D552" s="3443"/>
      <c r="E552" s="3445"/>
      <c r="F552" s="3443"/>
      <c r="G552" s="2734"/>
      <c r="H552" s="2558"/>
      <c r="I552" s="2605"/>
      <c r="J552" s="2558"/>
      <c r="K552" s="2584"/>
      <c r="L552" s="3626"/>
      <c r="M552" s="429"/>
      <c r="N552" s="429"/>
      <c r="O552" s="429"/>
      <c r="P552" s="429"/>
      <c r="Q552" s="429"/>
    </row>
    <row r="553" spans="1:17" ht="30" customHeight="1" x14ac:dyDescent="0.2">
      <c r="A553" s="3450">
        <v>380</v>
      </c>
      <c r="B553" s="3457" t="s">
        <v>1907</v>
      </c>
      <c r="C553" s="3570" t="s">
        <v>1131</v>
      </c>
      <c r="D553" s="3442">
        <v>10000000</v>
      </c>
      <c r="E553" s="3444">
        <v>0.05</v>
      </c>
      <c r="F553" s="3442">
        <f>D553*E553</f>
        <v>500000</v>
      </c>
      <c r="G553" s="482">
        <v>500000</v>
      </c>
      <c r="H553" s="2558" t="s">
        <v>4156</v>
      </c>
      <c r="I553" s="516" t="s">
        <v>4158</v>
      </c>
      <c r="J553" s="2558">
        <f>G553</f>
        <v>500000</v>
      </c>
      <c r="K553" s="2584">
        <f>F553-J553</f>
        <v>0</v>
      </c>
      <c r="L553" s="2031" t="s">
        <v>3473</v>
      </c>
      <c r="M553" s="429"/>
      <c r="N553" s="429"/>
      <c r="O553" s="429"/>
      <c r="P553" s="429"/>
      <c r="Q553" s="429"/>
    </row>
    <row r="554" spans="1:17" ht="30" customHeight="1" x14ac:dyDescent="0.2">
      <c r="A554" s="3451"/>
      <c r="B554" s="3458"/>
      <c r="C554" s="3571"/>
      <c r="D554" s="3443"/>
      <c r="E554" s="3445"/>
      <c r="F554" s="3443"/>
      <c r="G554" s="482">
        <v>500000</v>
      </c>
      <c r="H554" s="2558" t="s">
        <v>4286</v>
      </c>
      <c r="I554" s="516" t="s">
        <v>4158</v>
      </c>
      <c r="J554" s="2558">
        <f>G554</f>
        <v>500000</v>
      </c>
      <c r="K554" s="2584">
        <f>F553-J554</f>
        <v>0</v>
      </c>
      <c r="L554" s="2278" t="s">
        <v>4092</v>
      </c>
      <c r="M554" s="429"/>
      <c r="N554" s="429"/>
      <c r="O554" s="429"/>
      <c r="P554" s="429"/>
      <c r="Q554" s="429"/>
    </row>
    <row r="555" spans="1:17" ht="30" customHeight="1" x14ac:dyDescent="0.2">
      <c r="A555" s="1984">
        <v>381</v>
      </c>
      <c r="B555" s="1987" t="s">
        <v>1910</v>
      </c>
      <c r="C555" s="2002" t="s">
        <v>916</v>
      </c>
      <c r="D555" s="1992">
        <v>50000000</v>
      </c>
      <c r="E555" s="2013">
        <v>0.05</v>
      </c>
      <c r="F555" s="1992">
        <f>D555*E555</f>
        <v>2500000</v>
      </c>
      <c r="G555" s="482">
        <v>2500000</v>
      </c>
      <c r="H555" s="2558" t="s">
        <v>2141</v>
      </c>
      <c r="I555" s="516" t="s">
        <v>3652</v>
      </c>
      <c r="J555" s="2558">
        <f>G555</f>
        <v>2500000</v>
      </c>
      <c r="K555" s="2584">
        <f>F555-J555</f>
        <v>0</v>
      </c>
      <c r="L555" s="2031"/>
      <c r="M555" s="429"/>
      <c r="N555" s="429"/>
      <c r="O555" s="429"/>
      <c r="P555" s="429"/>
      <c r="Q555" s="429"/>
    </row>
    <row r="556" spans="1:17" ht="28.5" customHeight="1" x14ac:dyDescent="0.2">
      <c r="A556" s="1984">
        <v>382</v>
      </c>
      <c r="B556" s="1987" t="s">
        <v>1925</v>
      </c>
      <c r="C556" s="2002" t="s">
        <v>265</v>
      </c>
      <c r="D556" s="1992">
        <v>150000000</v>
      </c>
      <c r="E556" s="2013"/>
      <c r="F556" s="1992"/>
      <c r="G556" s="482"/>
      <c r="H556" s="2558"/>
      <c r="I556" s="516"/>
      <c r="J556" s="2558"/>
      <c r="K556" s="2584"/>
      <c r="L556" s="2031"/>
      <c r="M556" s="429"/>
      <c r="N556" s="429"/>
      <c r="O556" s="429"/>
      <c r="P556" s="429"/>
      <c r="Q556" s="429"/>
    </row>
    <row r="557" spans="1:17" ht="30" customHeight="1" x14ac:dyDescent="0.2">
      <c r="A557" s="1984">
        <v>383</v>
      </c>
      <c r="B557" s="1987" t="s">
        <v>1936</v>
      </c>
      <c r="C557" s="2002" t="s">
        <v>265</v>
      </c>
      <c r="D557" s="1992">
        <v>10000000</v>
      </c>
      <c r="E557" s="2013">
        <v>7.0000000000000007E-2</v>
      </c>
      <c r="F557" s="1992">
        <f t="shared" ref="F557:F562" si="61">D557*E557</f>
        <v>700000.00000000012</v>
      </c>
      <c r="G557" s="482">
        <v>700000</v>
      </c>
      <c r="H557" s="2558" t="s">
        <v>4201</v>
      </c>
      <c r="I557" s="516" t="s">
        <v>3063</v>
      </c>
      <c r="J557" s="2558">
        <f>G557</f>
        <v>700000</v>
      </c>
      <c r="K557" s="2584">
        <f>F557-J557</f>
        <v>0</v>
      </c>
      <c r="L557" s="2031"/>
      <c r="M557" s="429"/>
      <c r="N557" s="429"/>
      <c r="O557" s="429"/>
      <c r="P557" s="429"/>
      <c r="Q557" s="429"/>
    </row>
    <row r="558" spans="1:17" ht="30" customHeight="1" x14ac:dyDescent="0.2">
      <c r="A558" s="670">
        <v>384</v>
      </c>
      <c r="B558" s="1987" t="s">
        <v>1981</v>
      </c>
      <c r="C558" s="2002" t="s">
        <v>265</v>
      </c>
      <c r="D558" s="1992">
        <v>150000000</v>
      </c>
      <c r="E558" s="2013">
        <v>7.0000000000000007E-2</v>
      </c>
      <c r="F558" s="1992">
        <f t="shared" si="61"/>
        <v>10500000.000000002</v>
      </c>
      <c r="G558" s="482">
        <v>10500000</v>
      </c>
      <c r="H558" s="2558" t="s">
        <v>4216</v>
      </c>
      <c r="I558" s="516" t="s">
        <v>2080</v>
      </c>
      <c r="J558" s="2558">
        <f>G558</f>
        <v>10500000</v>
      </c>
      <c r="K558" s="2584">
        <f>F558-J558</f>
        <v>0</v>
      </c>
      <c r="L558" s="2031"/>
      <c r="M558" s="429"/>
      <c r="N558" s="429"/>
      <c r="O558" s="429"/>
      <c r="P558" s="429"/>
      <c r="Q558" s="429"/>
    </row>
    <row r="559" spans="1:17" ht="30" customHeight="1" x14ac:dyDescent="0.2">
      <c r="A559" s="1984">
        <v>385</v>
      </c>
      <c r="B559" s="1987" t="s">
        <v>1997</v>
      </c>
      <c r="C559" s="2002" t="s">
        <v>379</v>
      </c>
      <c r="D559" s="1992">
        <v>12000000</v>
      </c>
      <c r="E559" s="2013">
        <v>0.05</v>
      </c>
      <c r="F559" s="1992">
        <f t="shared" si="61"/>
        <v>600000</v>
      </c>
      <c r="G559" s="482">
        <v>600000</v>
      </c>
      <c r="H559" s="2558" t="s">
        <v>4201</v>
      </c>
      <c r="I559" s="516" t="s">
        <v>2989</v>
      </c>
      <c r="J559" s="2558">
        <f>G559</f>
        <v>600000</v>
      </c>
      <c r="K559" s="2584">
        <f>F559-J559</f>
        <v>0</v>
      </c>
      <c r="L559" s="2031" t="s">
        <v>1998</v>
      </c>
      <c r="M559" s="429"/>
      <c r="N559" s="429"/>
      <c r="O559" s="429"/>
      <c r="P559" s="429"/>
      <c r="Q559" s="429"/>
    </row>
    <row r="560" spans="1:17" ht="30" customHeight="1" x14ac:dyDescent="0.2">
      <c r="A560" s="2042">
        <v>386</v>
      </c>
      <c r="B560" s="2018" t="s">
        <v>3227</v>
      </c>
      <c r="C560" s="2001" t="s">
        <v>1378</v>
      </c>
      <c r="D560" s="1990">
        <v>200000000</v>
      </c>
      <c r="E560" s="1988">
        <v>0.06</v>
      </c>
      <c r="F560" s="1990">
        <f t="shared" si="61"/>
        <v>12000000</v>
      </c>
      <c r="G560" s="482">
        <v>12000000</v>
      </c>
      <c r="H560" s="2558" t="s">
        <v>4261</v>
      </c>
      <c r="I560" s="516" t="s">
        <v>2063</v>
      </c>
      <c r="J560" s="2557">
        <f>G560</f>
        <v>12000000</v>
      </c>
      <c r="K560" s="2583">
        <f>F560-J560</f>
        <v>0</v>
      </c>
      <c r="L560" s="2011"/>
      <c r="M560" s="429"/>
      <c r="N560" s="429"/>
      <c r="O560" s="429"/>
      <c r="P560" s="429"/>
      <c r="Q560" s="429"/>
    </row>
    <row r="561" spans="1:17" ht="30" customHeight="1" x14ac:dyDescent="0.2">
      <c r="A561" s="1982">
        <v>387</v>
      </c>
      <c r="B561" s="2017" t="s">
        <v>2043</v>
      </c>
      <c r="C561" s="2016"/>
      <c r="D561" s="2009">
        <v>60000000</v>
      </c>
      <c r="E561" s="2013">
        <v>0.04</v>
      </c>
      <c r="F561" s="2009">
        <f t="shared" si="61"/>
        <v>2400000</v>
      </c>
      <c r="G561" s="561">
        <v>2400000</v>
      </c>
      <c r="H561" s="2552" t="s">
        <v>4286</v>
      </c>
      <c r="I561" s="1082" t="s">
        <v>4287</v>
      </c>
      <c r="J561" s="2552">
        <f>G561</f>
        <v>2400000</v>
      </c>
      <c r="K561" s="2549">
        <f>F561-J561</f>
        <v>0</v>
      </c>
      <c r="L561" s="2011"/>
      <c r="M561" s="429"/>
      <c r="N561" s="429"/>
      <c r="O561" s="429"/>
      <c r="P561" s="429"/>
      <c r="Q561" s="429"/>
    </row>
    <row r="562" spans="1:17" ht="30" customHeight="1" x14ac:dyDescent="0.2">
      <c r="A562" s="3693"/>
      <c r="B562" s="3687" t="s">
        <v>2073</v>
      </c>
      <c r="C562" s="3686" t="s">
        <v>3437</v>
      </c>
      <c r="D562" s="3575">
        <v>150000000</v>
      </c>
      <c r="E562" s="3683">
        <v>0.05</v>
      </c>
      <c r="F562" s="3575">
        <f t="shared" si="61"/>
        <v>7500000</v>
      </c>
      <c r="G562" s="2735"/>
      <c r="H562" s="2092"/>
      <c r="I562" s="2092"/>
      <c r="J562" s="2092"/>
      <c r="K562" s="2583"/>
      <c r="L562" s="2085" t="s">
        <v>3435</v>
      </c>
      <c r="M562" s="429"/>
      <c r="N562" s="429"/>
      <c r="O562" s="429"/>
      <c r="P562" s="429"/>
      <c r="Q562" s="429"/>
    </row>
    <row r="563" spans="1:17" ht="30" customHeight="1" x14ac:dyDescent="0.2">
      <c r="A563" s="3693"/>
      <c r="B563" s="3687"/>
      <c r="C563" s="3686"/>
      <c r="D563" s="3575"/>
      <c r="E563" s="3683"/>
      <c r="F563" s="3575"/>
      <c r="G563" s="2735"/>
      <c r="H563" s="2092"/>
      <c r="I563" s="2092"/>
      <c r="J563" s="2092"/>
      <c r="K563" s="2584"/>
      <c r="L563" s="2031" t="s">
        <v>3436</v>
      </c>
      <c r="M563" s="429"/>
      <c r="N563" s="429"/>
      <c r="O563" s="429"/>
      <c r="P563" s="429"/>
      <c r="Q563" s="429"/>
    </row>
    <row r="564" spans="1:17" ht="30" customHeight="1" x14ac:dyDescent="0.2">
      <c r="A564" s="1984">
        <v>390</v>
      </c>
      <c r="B564" s="1987" t="s">
        <v>2122</v>
      </c>
      <c r="C564" s="2002" t="s">
        <v>916</v>
      </c>
      <c r="D564" s="1992">
        <v>5000000</v>
      </c>
      <c r="E564" s="1989">
        <v>0.05</v>
      </c>
      <c r="F564" s="1992">
        <f>D564*E564</f>
        <v>250000</v>
      </c>
      <c r="G564" s="482">
        <v>250000</v>
      </c>
      <c r="H564" s="2558" t="s">
        <v>1263</v>
      </c>
      <c r="I564" s="516" t="s">
        <v>2667</v>
      </c>
      <c r="J564" s="2558">
        <f>G564</f>
        <v>250000</v>
      </c>
      <c r="K564" s="2584">
        <f>F564-J564</f>
        <v>0</v>
      </c>
      <c r="L564" s="2031"/>
      <c r="M564" s="429"/>
      <c r="N564" s="429"/>
      <c r="O564" s="429"/>
      <c r="P564" s="429"/>
      <c r="Q564" s="429"/>
    </row>
    <row r="565" spans="1:17" ht="30" customHeight="1" x14ac:dyDescent="0.2">
      <c r="A565" s="3693">
        <v>391</v>
      </c>
      <c r="B565" s="3687" t="s">
        <v>2129</v>
      </c>
      <c r="C565" s="3686" t="s">
        <v>3526</v>
      </c>
      <c r="D565" s="3575">
        <v>1000000000</v>
      </c>
      <c r="E565" s="3683">
        <v>0.05</v>
      </c>
      <c r="F565" s="3575">
        <f>D565*E565</f>
        <v>50000000</v>
      </c>
      <c r="G565" s="2780">
        <v>50000000</v>
      </c>
      <c r="H565" s="2557" t="s">
        <v>3160</v>
      </c>
      <c r="I565" s="2557" t="s">
        <v>4236</v>
      </c>
      <c r="J565" s="2557">
        <f>G565</f>
        <v>50000000</v>
      </c>
      <c r="K565" s="2557">
        <f>F565-J565</f>
        <v>0</v>
      </c>
      <c r="L565" s="3620" t="s">
        <v>3337</v>
      </c>
      <c r="M565" s="429"/>
      <c r="N565" s="429"/>
      <c r="O565" s="429"/>
      <c r="P565" s="429"/>
      <c r="Q565" s="429"/>
    </row>
    <row r="566" spans="1:17" ht="30" customHeight="1" x14ac:dyDescent="0.2">
      <c r="A566" s="3693"/>
      <c r="B566" s="3687"/>
      <c r="C566" s="3686"/>
      <c r="D566" s="3575"/>
      <c r="E566" s="3683"/>
      <c r="F566" s="3575"/>
      <c r="G566" s="2734"/>
      <c r="H566" s="2558"/>
      <c r="I566" s="2558"/>
      <c r="J566" s="2558"/>
      <c r="K566" s="2558"/>
      <c r="L566" s="3621"/>
      <c r="M566" s="429"/>
      <c r="N566" s="429"/>
      <c r="O566" s="429"/>
      <c r="P566" s="429"/>
      <c r="Q566" s="429"/>
    </row>
    <row r="567" spans="1:17" ht="30" customHeight="1" x14ac:dyDescent="0.2">
      <c r="A567" s="1984">
        <v>392</v>
      </c>
      <c r="B567" s="1987" t="s">
        <v>2174</v>
      </c>
      <c r="C567" s="2002" t="s">
        <v>1349</v>
      </c>
      <c r="D567" s="1992">
        <v>50000000</v>
      </c>
      <c r="E567" s="2013">
        <v>0.05</v>
      </c>
      <c r="F567" s="1992">
        <f>D567*E567</f>
        <v>2500000</v>
      </c>
      <c r="G567" s="482">
        <v>2500000</v>
      </c>
      <c r="H567" s="2558" t="s">
        <v>4249</v>
      </c>
      <c r="I567" s="516" t="s">
        <v>3182</v>
      </c>
      <c r="J567" s="2558">
        <f>G567</f>
        <v>2500000</v>
      </c>
      <c r="K567" s="2584">
        <f>F567-J567</f>
        <v>0</v>
      </c>
      <c r="L567" s="2031" t="s">
        <v>2162</v>
      </c>
      <c r="M567" s="429"/>
      <c r="N567" s="429"/>
      <c r="O567" s="429"/>
      <c r="P567" s="429"/>
      <c r="Q567" s="429"/>
    </row>
    <row r="568" spans="1:17" ht="30" customHeight="1" x14ac:dyDescent="0.2">
      <c r="A568" s="3450">
        <v>393</v>
      </c>
      <c r="B568" s="3457" t="s">
        <v>2166</v>
      </c>
      <c r="C568" s="2002"/>
      <c r="D568" s="1992">
        <v>30000000</v>
      </c>
      <c r="E568" s="2013">
        <f>F568/D568</f>
        <v>0.05</v>
      </c>
      <c r="F568" s="1992">
        <v>1500000</v>
      </c>
      <c r="G568" s="482"/>
      <c r="H568" s="2558"/>
      <c r="I568" s="516" t="s">
        <v>3839</v>
      </c>
      <c r="J568" s="2558">
        <f>G568</f>
        <v>0</v>
      </c>
      <c r="K568" s="2584">
        <f>F568-J568</f>
        <v>1500000</v>
      </c>
      <c r="L568" s="2031"/>
      <c r="M568" s="429"/>
      <c r="N568" s="429"/>
      <c r="O568" s="429"/>
      <c r="P568" s="429"/>
      <c r="Q568" s="429"/>
    </row>
    <row r="569" spans="1:17" ht="30" customHeight="1" x14ac:dyDescent="0.2">
      <c r="A569" s="3456"/>
      <c r="B569" s="3459"/>
      <c r="C569" s="3570"/>
      <c r="D569" s="3575">
        <v>40000000</v>
      </c>
      <c r="E569" s="3575"/>
      <c r="F569" s="2088"/>
      <c r="G569" s="2728"/>
      <c r="H569" s="247"/>
      <c r="I569" s="247"/>
      <c r="J569" s="247"/>
      <c r="K569" s="2583"/>
      <c r="L569" s="2083" t="s">
        <v>3723</v>
      </c>
      <c r="M569" s="429"/>
      <c r="N569" s="429"/>
      <c r="O569" s="429"/>
      <c r="P569" s="429"/>
      <c r="Q569" s="429"/>
    </row>
    <row r="570" spans="1:17" ht="30" customHeight="1" x14ac:dyDescent="0.2">
      <c r="A570" s="3456"/>
      <c r="B570" s="3459"/>
      <c r="C570" s="3576"/>
      <c r="D570" s="3575"/>
      <c r="E570" s="3575"/>
      <c r="F570" s="2089"/>
      <c r="G570" s="2728"/>
      <c r="H570" s="247"/>
      <c r="I570" s="247"/>
      <c r="J570" s="247"/>
      <c r="K570" s="2588"/>
      <c r="L570" s="2031" t="s">
        <v>3724</v>
      </c>
      <c r="M570" s="429"/>
      <c r="N570" s="429"/>
      <c r="O570" s="429"/>
      <c r="P570" s="429"/>
      <c r="Q570" s="429"/>
    </row>
    <row r="571" spans="1:17" ht="30" customHeight="1" x14ac:dyDescent="0.2">
      <c r="A571" s="3456"/>
      <c r="B571" s="3459"/>
      <c r="C571" s="3576"/>
      <c r="D571" s="3575"/>
      <c r="E571" s="3575"/>
      <c r="F571" s="2089"/>
      <c r="G571" s="2728"/>
      <c r="H571" s="247"/>
      <c r="I571" s="247"/>
      <c r="J571" s="247"/>
      <c r="K571" s="2588"/>
      <c r="L571" s="2083" t="s">
        <v>3725</v>
      </c>
      <c r="M571" s="429"/>
      <c r="N571" s="429"/>
      <c r="O571" s="429"/>
      <c r="P571" s="429"/>
      <c r="Q571" s="429"/>
    </row>
    <row r="572" spans="1:17" ht="30" customHeight="1" x14ac:dyDescent="0.2">
      <c r="A572" s="3456"/>
      <c r="B572" s="3459"/>
      <c r="C572" s="3576"/>
      <c r="D572" s="3575"/>
      <c r="E572" s="3575"/>
      <c r="F572" s="2090"/>
      <c r="G572" s="2728"/>
      <c r="H572" s="247"/>
      <c r="I572" s="247"/>
      <c r="J572" s="247"/>
      <c r="K572" s="2584"/>
      <c r="L572" s="2031" t="s">
        <v>3726</v>
      </c>
      <c r="M572" s="429"/>
      <c r="N572" s="429"/>
      <c r="O572" s="429"/>
      <c r="P572" s="429"/>
      <c r="Q572" s="429"/>
    </row>
    <row r="573" spans="1:17" ht="30" customHeight="1" x14ac:dyDescent="0.2">
      <c r="A573" s="3451"/>
      <c r="B573" s="3458"/>
      <c r="C573" s="3571"/>
      <c r="D573" s="2059">
        <v>70000000</v>
      </c>
      <c r="E573" s="2013">
        <v>0.05</v>
      </c>
      <c r="F573" s="1992">
        <f>D573*E573</f>
        <v>3500000</v>
      </c>
      <c r="G573" s="561">
        <v>3500000</v>
      </c>
      <c r="H573" s="2552" t="s">
        <v>4216</v>
      </c>
      <c r="I573" s="2552" t="s">
        <v>3839</v>
      </c>
      <c r="J573" s="2552">
        <f>G573</f>
        <v>3500000</v>
      </c>
      <c r="K573" s="2584">
        <f>F573-J573</f>
        <v>0</v>
      </c>
      <c r="L573" s="2031"/>
      <c r="M573" s="429"/>
      <c r="N573" s="429"/>
      <c r="O573" s="429"/>
      <c r="P573" s="429"/>
      <c r="Q573" s="429"/>
    </row>
    <row r="574" spans="1:17" ht="30" customHeight="1" x14ac:dyDescent="0.2">
      <c r="A574" s="3450"/>
      <c r="B574" s="2037" t="s">
        <v>2178</v>
      </c>
      <c r="C574" s="3845" t="s">
        <v>1378</v>
      </c>
      <c r="D574" s="2038">
        <v>600000000</v>
      </c>
      <c r="E574" s="725">
        <v>0.06</v>
      </c>
      <c r="F574" s="2038">
        <f>D574*E574</f>
        <v>36000000</v>
      </c>
      <c r="G574" s="2780"/>
      <c r="H574" s="2557"/>
      <c r="I574" s="2604"/>
      <c r="J574" s="2557"/>
      <c r="K574" s="2584"/>
      <c r="L574" s="2031"/>
      <c r="M574" s="429"/>
      <c r="N574" s="429"/>
      <c r="O574" s="429"/>
      <c r="P574" s="429"/>
      <c r="Q574" s="429"/>
    </row>
    <row r="575" spans="1:17" ht="30" customHeight="1" x14ac:dyDescent="0.2">
      <c r="A575" s="3456"/>
      <c r="B575" s="2037" t="s">
        <v>2175</v>
      </c>
      <c r="C575" s="3847"/>
      <c r="D575" s="2038">
        <v>310000000</v>
      </c>
      <c r="E575" s="725">
        <v>0.06</v>
      </c>
      <c r="F575" s="2038">
        <f t="shared" ref="F575:F578" si="62">D575*E575</f>
        <v>18600000</v>
      </c>
      <c r="G575" s="2737"/>
      <c r="H575" s="2560"/>
      <c r="I575" s="2613"/>
      <c r="J575" s="2560"/>
      <c r="K575" s="2584"/>
      <c r="L575" s="2031"/>
      <c r="M575" s="429"/>
      <c r="N575" s="429"/>
      <c r="O575" s="429"/>
      <c r="P575" s="429"/>
      <c r="Q575" s="429"/>
    </row>
    <row r="576" spans="1:17" ht="30" customHeight="1" x14ac:dyDescent="0.2">
      <c r="A576" s="3456"/>
      <c r="B576" s="2037" t="s">
        <v>2179</v>
      </c>
      <c r="C576" s="3847"/>
      <c r="D576" s="2038">
        <v>50000000</v>
      </c>
      <c r="E576" s="725">
        <v>0.06</v>
      </c>
      <c r="F576" s="2038">
        <f t="shared" si="62"/>
        <v>3000000</v>
      </c>
      <c r="G576" s="2737"/>
      <c r="H576" s="2560"/>
      <c r="I576" s="2613"/>
      <c r="J576" s="2560"/>
      <c r="K576" s="2584"/>
      <c r="L576" s="2031"/>
      <c r="M576" s="429"/>
      <c r="N576" s="429"/>
      <c r="O576" s="429"/>
      <c r="P576" s="429"/>
      <c r="Q576" s="429"/>
    </row>
    <row r="577" spans="1:17" ht="30" customHeight="1" x14ac:dyDescent="0.2">
      <c r="A577" s="3456"/>
      <c r="B577" s="2037" t="s">
        <v>2176</v>
      </c>
      <c r="C577" s="3847"/>
      <c r="D577" s="2038">
        <v>110000000</v>
      </c>
      <c r="E577" s="725">
        <v>0.06</v>
      </c>
      <c r="F577" s="2038">
        <f t="shared" si="62"/>
        <v>6600000</v>
      </c>
      <c r="G577" s="2737"/>
      <c r="H577" s="2560"/>
      <c r="I577" s="2613"/>
      <c r="J577" s="2560"/>
      <c r="K577" s="2584"/>
      <c r="L577" s="2031"/>
      <c r="M577" s="429"/>
      <c r="N577" s="429"/>
      <c r="O577" s="429"/>
      <c r="P577" s="429"/>
      <c r="Q577" s="429"/>
    </row>
    <row r="578" spans="1:17" ht="30" customHeight="1" x14ac:dyDescent="0.2">
      <c r="A578" s="3456"/>
      <c r="B578" s="2037" t="s">
        <v>2177</v>
      </c>
      <c r="C578" s="3846"/>
      <c r="D578" s="2038">
        <v>100000000</v>
      </c>
      <c r="E578" s="725">
        <v>0.06</v>
      </c>
      <c r="F578" s="2038">
        <f t="shared" si="62"/>
        <v>6000000</v>
      </c>
      <c r="G578" s="2734"/>
      <c r="H578" s="2558"/>
      <c r="I578" s="2605"/>
      <c r="J578" s="2558"/>
      <c r="K578" s="2584"/>
      <c r="L578" s="2031"/>
      <c r="M578" s="429"/>
      <c r="N578" s="429"/>
      <c r="O578" s="429"/>
      <c r="P578" s="429"/>
      <c r="Q578" s="429"/>
    </row>
    <row r="579" spans="1:17" ht="30" customHeight="1" x14ac:dyDescent="0.2">
      <c r="A579" s="3456"/>
      <c r="B579" s="3839" t="s">
        <v>3559</v>
      </c>
      <c r="C579" s="3845" t="s">
        <v>1378</v>
      </c>
      <c r="D579" s="3816">
        <f>SUM(D574:D578)</f>
        <v>1170000000</v>
      </c>
      <c r="E579" s="3899"/>
      <c r="F579" s="3816">
        <f>SUM(F574:F578)</f>
        <v>70200000</v>
      </c>
      <c r="G579" s="2780">
        <v>70200000</v>
      </c>
      <c r="H579" s="2558"/>
      <c r="I579" s="516" t="s">
        <v>3558</v>
      </c>
      <c r="J579" s="2557">
        <f>G579+G580</f>
        <v>70200000</v>
      </c>
      <c r="K579" s="2583">
        <f>F579-J579</f>
        <v>0</v>
      </c>
      <c r="L579" s="3625"/>
      <c r="M579" s="429"/>
      <c r="N579" s="429"/>
      <c r="O579" s="429"/>
      <c r="P579" s="429"/>
      <c r="Q579" s="429"/>
    </row>
    <row r="580" spans="1:17" ht="30" customHeight="1" x14ac:dyDescent="0.2">
      <c r="A580" s="3451"/>
      <c r="B580" s="3840"/>
      <c r="C580" s="3846"/>
      <c r="D580" s="3817"/>
      <c r="E580" s="3900"/>
      <c r="F580" s="3817"/>
      <c r="G580" s="2734"/>
      <c r="H580" s="2558"/>
      <c r="I580" s="516">
        <v>8792421809</v>
      </c>
      <c r="J580" s="2558"/>
      <c r="K580" s="2584"/>
      <c r="L580" s="3626"/>
      <c r="M580" s="429"/>
      <c r="N580" s="429"/>
      <c r="O580" s="429"/>
      <c r="P580" s="429"/>
      <c r="Q580" s="429"/>
    </row>
    <row r="581" spans="1:17" ht="30" customHeight="1" x14ac:dyDescent="0.2">
      <c r="A581" s="2014"/>
      <c r="B581" s="2017" t="s">
        <v>2195</v>
      </c>
      <c r="C581" s="2016"/>
      <c r="D581" s="2009">
        <v>200000000</v>
      </c>
      <c r="E581" s="2013">
        <v>7.0000000000000007E-2</v>
      </c>
      <c r="F581" s="2009">
        <f t="shared" ref="F581:F585" si="63">D581*E581</f>
        <v>14000000.000000002</v>
      </c>
      <c r="G581" s="482">
        <v>14000000</v>
      </c>
      <c r="H581" s="2558" t="s">
        <v>4330</v>
      </c>
      <c r="I581" s="516" t="s">
        <v>1106</v>
      </c>
      <c r="J581" s="2552">
        <f>G581</f>
        <v>14000000</v>
      </c>
      <c r="K581" s="2549">
        <f>F581-J581</f>
        <v>0</v>
      </c>
      <c r="L581" s="2011"/>
      <c r="M581" s="429"/>
      <c r="N581" s="429"/>
      <c r="O581" s="429"/>
      <c r="P581" s="429"/>
      <c r="Q581" s="429"/>
    </row>
    <row r="582" spans="1:17" ht="30" customHeight="1" x14ac:dyDescent="0.2">
      <c r="A582" s="1984"/>
      <c r="B582" s="1987" t="s">
        <v>2215</v>
      </c>
      <c r="C582" s="2002"/>
      <c r="D582" s="1992">
        <v>13000000</v>
      </c>
      <c r="E582" s="2013">
        <v>0.05</v>
      </c>
      <c r="F582" s="1992">
        <f t="shared" si="63"/>
        <v>650000</v>
      </c>
      <c r="G582" s="482">
        <v>650000</v>
      </c>
      <c r="H582" s="2558" t="s">
        <v>4201</v>
      </c>
      <c r="I582" s="516" t="s">
        <v>3119</v>
      </c>
      <c r="J582" s="2558">
        <f>G582</f>
        <v>650000</v>
      </c>
      <c r="K582" s="2584">
        <f>F582-J582</f>
        <v>0</v>
      </c>
      <c r="L582" s="2031"/>
      <c r="M582" s="429"/>
      <c r="N582" s="429"/>
      <c r="O582" s="429"/>
      <c r="P582" s="429"/>
      <c r="Q582" s="429"/>
    </row>
    <row r="583" spans="1:17" ht="30" customHeight="1" x14ac:dyDescent="0.2">
      <c r="A583" s="1984"/>
      <c r="B583" s="1987" t="s">
        <v>2254</v>
      </c>
      <c r="C583" s="2002" t="s">
        <v>1342</v>
      </c>
      <c r="D583" s="1992">
        <v>50000000</v>
      </c>
      <c r="E583" s="2013">
        <v>0.04</v>
      </c>
      <c r="F583" s="1992">
        <f t="shared" si="63"/>
        <v>2000000</v>
      </c>
      <c r="G583" s="482">
        <v>2000000</v>
      </c>
      <c r="H583" s="2558" t="s">
        <v>4201</v>
      </c>
      <c r="I583" s="516" t="s">
        <v>2295</v>
      </c>
      <c r="J583" s="2558">
        <f>G583</f>
        <v>2000000</v>
      </c>
      <c r="K583" s="2584">
        <f>F583-G583</f>
        <v>0</v>
      </c>
      <c r="L583" s="2031"/>
      <c r="M583" s="429"/>
      <c r="N583" s="429"/>
      <c r="O583" s="429"/>
      <c r="P583" s="429"/>
      <c r="Q583" s="429"/>
    </row>
    <row r="584" spans="1:17" ht="30" customHeight="1" x14ac:dyDescent="0.2">
      <c r="A584" s="1982"/>
      <c r="B584" s="2018" t="s">
        <v>2255</v>
      </c>
      <c r="C584" s="2142" t="s">
        <v>380</v>
      </c>
      <c r="D584" s="1990">
        <v>100000000</v>
      </c>
      <c r="E584" s="1988">
        <v>0.05</v>
      </c>
      <c r="F584" s="1990">
        <f t="shared" si="63"/>
        <v>5000000</v>
      </c>
      <c r="G584" s="483">
        <v>5000000</v>
      </c>
      <c r="H584" s="2560" t="s">
        <v>4184</v>
      </c>
      <c r="I584" s="1717" t="s">
        <v>3719</v>
      </c>
      <c r="J584" s="2557">
        <f>G584</f>
        <v>5000000</v>
      </c>
      <c r="K584" s="2583">
        <f>F584-J584</f>
        <v>0</v>
      </c>
      <c r="L584" s="2011"/>
      <c r="M584" s="429"/>
      <c r="N584" s="429"/>
      <c r="O584" s="429"/>
      <c r="P584" s="429"/>
      <c r="Q584" s="429"/>
    </row>
    <row r="585" spans="1:17" s="1593" customFormat="1" ht="30" customHeight="1" x14ac:dyDescent="0.2">
      <c r="A585" s="2014"/>
      <c r="B585" s="2017" t="s">
        <v>2334</v>
      </c>
      <c r="C585" s="2016" t="s">
        <v>1378</v>
      </c>
      <c r="D585" s="2009">
        <v>30000000</v>
      </c>
      <c r="E585" s="2013">
        <v>0.05</v>
      </c>
      <c r="F585" s="2009">
        <f t="shared" si="63"/>
        <v>1500000</v>
      </c>
      <c r="G585" s="561">
        <v>1500000</v>
      </c>
      <c r="H585" s="2552" t="s">
        <v>4249</v>
      </c>
      <c r="I585" s="2552" t="s">
        <v>3339</v>
      </c>
      <c r="J585" s="2552">
        <f>G585</f>
        <v>1500000</v>
      </c>
      <c r="K585" s="2552">
        <f>F585-J585</f>
        <v>0</v>
      </c>
      <c r="L585" s="2031"/>
      <c r="M585" s="430"/>
      <c r="N585" s="430"/>
      <c r="O585" s="430"/>
      <c r="P585" s="430"/>
      <c r="Q585" s="430"/>
    </row>
    <row r="586" spans="1:17" ht="30" customHeight="1" x14ac:dyDescent="0.2">
      <c r="A586" s="1984"/>
      <c r="B586" s="1987" t="s">
        <v>2422</v>
      </c>
      <c r="C586" s="2002"/>
      <c r="D586" s="1997"/>
      <c r="E586" s="44"/>
      <c r="F586" s="1997"/>
      <c r="G586" s="482"/>
      <c r="H586" s="2558"/>
      <c r="I586" s="516"/>
      <c r="J586" s="2558">
        <f t="shared" ref="J586:J591" si="64">G586</f>
        <v>0</v>
      </c>
      <c r="K586" s="2586"/>
      <c r="L586" s="2031" t="s">
        <v>2205</v>
      </c>
      <c r="M586" s="429"/>
      <c r="N586" s="429"/>
      <c r="O586" s="429"/>
      <c r="P586" s="429"/>
      <c r="Q586" s="429"/>
    </row>
    <row r="587" spans="1:17" ht="30" customHeight="1" x14ac:dyDescent="0.2">
      <c r="A587" s="1984"/>
      <c r="B587" s="2004" t="s">
        <v>2433</v>
      </c>
      <c r="C587" s="2026"/>
      <c r="D587" s="1997"/>
      <c r="E587" s="44"/>
      <c r="F587" s="1997"/>
      <c r="G587" s="482"/>
      <c r="H587" s="2562"/>
      <c r="I587" s="838" t="s">
        <v>2434</v>
      </c>
      <c r="J587" s="2562">
        <f t="shared" si="64"/>
        <v>0</v>
      </c>
      <c r="K587" s="2586">
        <f>F587-J587</f>
        <v>0</v>
      </c>
      <c r="L587" s="2031" t="s">
        <v>3893</v>
      </c>
      <c r="M587" s="429"/>
      <c r="N587" s="429"/>
      <c r="O587" s="429"/>
      <c r="P587" s="429"/>
      <c r="Q587" s="429"/>
    </row>
    <row r="588" spans="1:17" ht="30" customHeight="1" x14ac:dyDescent="0.2">
      <c r="A588" s="1984"/>
      <c r="B588" s="1987" t="s">
        <v>2474</v>
      </c>
      <c r="C588" s="2002" t="s">
        <v>1378</v>
      </c>
      <c r="D588" s="1992">
        <v>25000000</v>
      </c>
      <c r="E588" s="2013">
        <v>0.04</v>
      </c>
      <c r="F588" s="1992">
        <f>D588*E588</f>
        <v>1000000</v>
      </c>
      <c r="G588" s="482">
        <v>2000000</v>
      </c>
      <c r="H588" s="2558" t="s">
        <v>4216</v>
      </c>
      <c r="I588" s="516" t="s">
        <v>2476</v>
      </c>
      <c r="J588" s="2558">
        <f t="shared" si="64"/>
        <v>2000000</v>
      </c>
      <c r="K588" s="2584">
        <f>F588-J588</f>
        <v>-1000000</v>
      </c>
      <c r="L588" s="2031"/>
      <c r="M588" s="429"/>
      <c r="N588" s="429"/>
      <c r="O588" s="429"/>
      <c r="P588" s="429"/>
      <c r="Q588" s="429"/>
    </row>
    <row r="589" spans="1:17" ht="30" customHeight="1" x14ac:dyDescent="0.2">
      <c r="A589" s="1984"/>
      <c r="B589" s="1987" t="s">
        <v>2515</v>
      </c>
      <c r="C589" s="2002"/>
      <c r="D589" s="1997"/>
      <c r="E589" s="44"/>
      <c r="F589" s="1997"/>
      <c r="G589" s="482"/>
      <c r="H589" s="2558"/>
      <c r="I589" s="516"/>
      <c r="J589" s="2558">
        <f t="shared" si="64"/>
        <v>0</v>
      </c>
      <c r="K589" s="2586">
        <f>F589-J589</f>
        <v>0</v>
      </c>
      <c r="L589" s="2031"/>
      <c r="M589" s="429"/>
      <c r="N589" s="429"/>
      <c r="O589" s="429"/>
      <c r="P589" s="429"/>
      <c r="Q589" s="429"/>
    </row>
    <row r="590" spans="1:17" ht="30" customHeight="1" x14ac:dyDescent="0.2">
      <c r="A590" s="2362"/>
      <c r="B590" s="2381" t="s">
        <v>2518</v>
      </c>
      <c r="C590" s="2380" t="s">
        <v>4424</v>
      </c>
      <c r="D590" s="2371">
        <v>880000000</v>
      </c>
      <c r="E590" s="44"/>
      <c r="F590" s="2371"/>
      <c r="G590" s="561">
        <v>1250000</v>
      </c>
      <c r="H590" s="2552" t="s">
        <v>4394</v>
      </c>
      <c r="I590" s="1082" t="s">
        <v>4395</v>
      </c>
      <c r="J590" s="2552">
        <f>G590</f>
        <v>1250000</v>
      </c>
      <c r="K590" s="1083">
        <f>F590-J590</f>
        <v>-1250000</v>
      </c>
      <c r="L590" s="2382" t="s">
        <v>4423</v>
      </c>
      <c r="M590" s="429"/>
      <c r="N590" s="429"/>
      <c r="O590" s="429"/>
      <c r="P590" s="429"/>
      <c r="Q590" s="429"/>
    </row>
    <row r="591" spans="1:17" ht="30" customHeight="1" x14ac:dyDescent="0.2">
      <c r="A591" s="3450"/>
      <c r="B591" s="3457" t="s">
        <v>2781</v>
      </c>
      <c r="C591" s="3686" t="s">
        <v>1746</v>
      </c>
      <c r="D591" s="1992">
        <v>100000000</v>
      </c>
      <c r="E591" s="2013">
        <v>0.05</v>
      </c>
      <c r="F591" s="1992">
        <f t="shared" ref="F591:F597" si="65">D591*E591</f>
        <v>5000000</v>
      </c>
      <c r="G591" s="2780">
        <v>16000000</v>
      </c>
      <c r="H591" s="2557" t="s">
        <v>4059</v>
      </c>
      <c r="I591" s="2557" t="s">
        <v>4060</v>
      </c>
      <c r="J591" s="2557">
        <f t="shared" si="64"/>
        <v>16000000</v>
      </c>
      <c r="K591" s="2583">
        <f>(F591+F592)-J591</f>
        <v>0</v>
      </c>
      <c r="L591" s="3620" t="s">
        <v>3348</v>
      </c>
      <c r="M591" s="429"/>
      <c r="N591" s="429"/>
      <c r="O591" s="429"/>
      <c r="P591" s="429"/>
      <c r="Q591" s="429"/>
    </row>
    <row r="592" spans="1:17" ht="30" customHeight="1" x14ac:dyDescent="0.2">
      <c r="A592" s="3456"/>
      <c r="B592" s="3459"/>
      <c r="C592" s="3686"/>
      <c r="D592" s="1992">
        <v>220000000</v>
      </c>
      <c r="E592" s="2013">
        <v>0.05</v>
      </c>
      <c r="F592" s="1992">
        <f t="shared" si="65"/>
        <v>11000000</v>
      </c>
      <c r="G592" s="2734"/>
      <c r="H592" s="2558"/>
      <c r="I592" s="2558"/>
      <c r="J592" s="2558"/>
      <c r="K592" s="2584"/>
      <c r="L592" s="3621"/>
      <c r="M592" s="429"/>
      <c r="N592" s="429"/>
      <c r="O592" s="429"/>
      <c r="P592" s="429"/>
      <c r="Q592" s="429"/>
    </row>
    <row r="593" spans="1:17" ht="30" customHeight="1" x14ac:dyDescent="0.2">
      <c r="A593" s="3456"/>
      <c r="B593" s="3459"/>
      <c r="C593" s="3570" t="s">
        <v>3526</v>
      </c>
      <c r="D593" s="3442">
        <v>1000000000</v>
      </c>
      <c r="E593" s="3444">
        <v>6.5000000000000002E-2</v>
      </c>
      <c r="F593" s="3442">
        <f>D593*E593</f>
        <v>65000000</v>
      </c>
      <c r="G593" s="482">
        <v>50000000</v>
      </c>
      <c r="H593" s="2558" t="s">
        <v>4259</v>
      </c>
      <c r="I593" s="2558" t="s">
        <v>4260</v>
      </c>
      <c r="J593" s="2557">
        <f>G593+G594</f>
        <v>65000000</v>
      </c>
      <c r="K593" s="2583">
        <f>F593-J593</f>
        <v>0</v>
      </c>
      <c r="L593" s="2270"/>
      <c r="M593" s="429"/>
      <c r="N593" s="429"/>
      <c r="O593" s="429"/>
      <c r="P593" s="429"/>
      <c r="Q593" s="429"/>
    </row>
    <row r="594" spans="1:17" ht="30" customHeight="1" x14ac:dyDescent="0.2">
      <c r="A594" s="3451"/>
      <c r="B594" s="3458"/>
      <c r="C594" s="3571"/>
      <c r="D594" s="3443"/>
      <c r="E594" s="3445"/>
      <c r="F594" s="3443"/>
      <c r="G594" s="561">
        <v>15000000</v>
      </c>
      <c r="H594" s="2552" t="s">
        <v>4261</v>
      </c>
      <c r="I594" s="2552" t="s">
        <v>4260</v>
      </c>
      <c r="J594" s="2558"/>
      <c r="K594" s="2584"/>
      <c r="L594" s="2083" t="s">
        <v>3828</v>
      </c>
      <c r="M594" s="429"/>
      <c r="N594" s="429"/>
      <c r="O594" s="429"/>
      <c r="P594" s="429"/>
      <c r="Q594" s="429"/>
    </row>
    <row r="595" spans="1:17" ht="30" customHeight="1" x14ac:dyDescent="0.2">
      <c r="A595" s="1984"/>
      <c r="B595" s="1987" t="s">
        <v>2537</v>
      </c>
      <c r="C595" s="2002"/>
      <c r="D595" s="1992">
        <v>20000000</v>
      </c>
      <c r="E595" s="2013">
        <v>0.05</v>
      </c>
      <c r="F595" s="1992">
        <f t="shared" si="65"/>
        <v>1000000</v>
      </c>
      <c r="G595" s="482">
        <v>1000000</v>
      </c>
      <c r="H595" s="2558" t="s">
        <v>4249</v>
      </c>
      <c r="I595" s="516" t="s">
        <v>4266</v>
      </c>
      <c r="J595" s="2558">
        <f>G595</f>
        <v>1000000</v>
      </c>
      <c r="K595" s="2584">
        <f>F595-J595</f>
        <v>0</v>
      </c>
      <c r="L595" s="2031"/>
      <c r="M595" s="429"/>
      <c r="N595" s="429"/>
      <c r="O595" s="429"/>
      <c r="P595" s="429"/>
      <c r="Q595" s="429"/>
    </row>
    <row r="596" spans="1:17" ht="30" customHeight="1" x14ac:dyDescent="0.2">
      <c r="A596" s="2081"/>
      <c r="B596" s="22" t="s">
        <v>2602</v>
      </c>
      <c r="C596" s="2079" t="s">
        <v>916</v>
      </c>
      <c r="D596" s="1992">
        <v>57120000</v>
      </c>
      <c r="E596" s="2013">
        <v>0.06</v>
      </c>
      <c r="F596" s="1992">
        <f t="shared" si="65"/>
        <v>3427200</v>
      </c>
      <c r="G596" s="561">
        <f>F596*2</f>
        <v>6854400</v>
      </c>
      <c r="H596" s="2552" t="s">
        <v>4177</v>
      </c>
      <c r="I596" s="247" t="s">
        <v>4182</v>
      </c>
      <c r="J596" s="2552" t="e">
        <f>#REF!</f>
        <v>#REF!</v>
      </c>
      <c r="K596" s="1658"/>
      <c r="L596" s="2031" t="s">
        <v>4183</v>
      </c>
      <c r="M596" s="429"/>
      <c r="N596" s="429"/>
      <c r="O596" s="429"/>
      <c r="P596" s="429"/>
      <c r="Q596" s="429"/>
    </row>
    <row r="597" spans="1:17" ht="30" customHeight="1" x14ac:dyDescent="0.2">
      <c r="A597" s="3450"/>
      <c r="B597" s="3457" t="s">
        <v>2651</v>
      </c>
      <c r="C597" s="2002" t="s">
        <v>1110</v>
      </c>
      <c r="D597" s="948">
        <v>80000000</v>
      </c>
      <c r="E597" s="2013">
        <v>0.05</v>
      </c>
      <c r="F597" s="1992">
        <f t="shared" si="65"/>
        <v>4000000</v>
      </c>
      <c r="G597" s="2772"/>
      <c r="H597" s="2773"/>
      <c r="I597" s="2773"/>
      <c r="J597" s="2774"/>
      <c r="K597" s="2552">
        <f>F597-J597</f>
        <v>4000000</v>
      </c>
      <c r="L597" s="2031"/>
      <c r="M597" s="429"/>
      <c r="N597" s="429"/>
      <c r="O597" s="429"/>
      <c r="P597" s="429"/>
      <c r="Q597" s="429"/>
    </row>
    <row r="598" spans="1:17" ht="30" customHeight="1" x14ac:dyDescent="0.2">
      <c r="A598" s="3456"/>
      <c r="B598" s="3459"/>
      <c r="C598" s="2321"/>
      <c r="D598" s="1913">
        <v>30000000</v>
      </c>
      <c r="E598" s="2317"/>
      <c r="F598" s="2299"/>
      <c r="G598" s="561"/>
      <c r="H598" s="2552"/>
      <c r="I598" s="2552"/>
      <c r="J598" s="2557"/>
      <c r="K598" s="2557"/>
      <c r="L598" s="2323"/>
      <c r="M598" s="429"/>
      <c r="N598" s="429"/>
      <c r="O598" s="429"/>
      <c r="P598" s="429"/>
      <c r="Q598" s="429"/>
    </row>
    <row r="599" spans="1:17" ht="30" customHeight="1" x14ac:dyDescent="0.2">
      <c r="A599" s="3451"/>
      <c r="B599" s="3458"/>
      <c r="C599" s="2321"/>
      <c r="D599" s="1913">
        <v>4000000</v>
      </c>
      <c r="E599" s="2317"/>
      <c r="F599" s="2299"/>
      <c r="G599" s="561"/>
      <c r="H599" s="2552"/>
      <c r="I599" s="2552"/>
      <c r="J599" s="2557"/>
      <c r="K599" s="2557"/>
      <c r="L599" s="2323"/>
      <c r="M599" s="429"/>
      <c r="N599" s="429"/>
      <c r="O599" s="429"/>
      <c r="P599" s="429"/>
      <c r="Q599" s="429"/>
    </row>
    <row r="600" spans="1:17" ht="30" customHeight="1" x14ac:dyDescent="0.2">
      <c r="A600" s="3450"/>
      <c r="B600" s="3457" t="s">
        <v>2767</v>
      </c>
      <c r="C600" s="3570"/>
      <c r="D600" s="3505"/>
      <c r="E600" s="3507"/>
      <c r="F600" s="3505"/>
      <c r="G600" s="561"/>
      <c r="H600" s="2552"/>
      <c r="I600" s="2552"/>
      <c r="J600" s="2557">
        <f>G600+G601+G602</f>
        <v>0</v>
      </c>
      <c r="K600" s="2561">
        <f>F600-J600</f>
        <v>0</v>
      </c>
      <c r="L600" s="3625"/>
      <c r="M600" s="429"/>
      <c r="N600" s="429"/>
      <c r="O600" s="429"/>
      <c r="P600" s="429"/>
      <c r="Q600" s="429"/>
    </row>
    <row r="601" spans="1:17" ht="30" customHeight="1" x14ac:dyDescent="0.2">
      <c r="A601" s="3456"/>
      <c r="B601" s="3459"/>
      <c r="C601" s="3576"/>
      <c r="D601" s="3549"/>
      <c r="E601" s="3550"/>
      <c r="F601" s="3549"/>
      <c r="G601" s="482"/>
      <c r="H601" s="2558"/>
      <c r="I601" s="2552"/>
      <c r="J601" s="2560"/>
      <c r="K601" s="2563"/>
      <c r="L601" s="3696"/>
      <c r="M601" s="429"/>
      <c r="N601" s="429"/>
      <c r="O601" s="429"/>
      <c r="P601" s="429"/>
      <c r="Q601" s="429"/>
    </row>
    <row r="602" spans="1:17" ht="30" customHeight="1" x14ac:dyDescent="0.2">
      <c r="A602" s="3451"/>
      <c r="B602" s="3458"/>
      <c r="C602" s="3571"/>
      <c r="D602" s="3506"/>
      <c r="E602" s="3508"/>
      <c r="F602" s="3506"/>
      <c r="G602" s="482"/>
      <c r="H602" s="2558"/>
      <c r="I602" s="2572"/>
      <c r="J602" s="2558"/>
      <c r="K602" s="2562"/>
      <c r="L602" s="3626"/>
      <c r="M602" s="429"/>
      <c r="N602" s="429"/>
      <c r="O602" s="429"/>
      <c r="P602" s="429"/>
      <c r="Q602" s="429"/>
    </row>
    <row r="603" spans="1:17" ht="30" customHeight="1" x14ac:dyDescent="0.2">
      <c r="A603" s="3450"/>
      <c r="B603" s="3457" t="s">
        <v>2685</v>
      </c>
      <c r="C603" s="3570"/>
      <c r="D603" s="1992">
        <v>10000000</v>
      </c>
      <c r="E603" s="2013"/>
      <c r="F603" s="1992"/>
      <c r="G603" s="482"/>
      <c r="H603" s="2558"/>
      <c r="I603" s="516"/>
      <c r="J603" s="2558"/>
      <c r="K603" s="2584"/>
      <c r="L603" s="2031" t="s">
        <v>2686</v>
      </c>
      <c r="M603" s="429"/>
      <c r="N603" s="429"/>
      <c r="O603" s="429"/>
      <c r="P603" s="429"/>
      <c r="Q603" s="429"/>
    </row>
    <row r="604" spans="1:17" ht="30" customHeight="1" x14ac:dyDescent="0.2">
      <c r="A604" s="3451"/>
      <c r="B604" s="3458"/>
      <c r="C604" s="3571"/>
      <c r="D604" s="1992">
        <v>5000000</v>
      </c>
      <c r="E604" s="2013"/>
      <c r="F604" s="1992"/>
      <c r="G604" s="482"/>
      <c r="H604" s="2558"/>
      <c r="I604" s="516"/>
      <c r="J604" s="2558"/>
      <c r="K604" s="2584"/>
      <c r="L604" s="2023" t="s">
        <v>4008</v>
      </c>
      <c r="M604" s="429"/>
      <c r="N604" s="429"/>
      <c r="O604" s="429"/>
      <c r="P604" s="429"/>
      <c r="Q604" s="429"/>
    </row>
    <row r="605" spans="1:17" ht="30" customHeight="1" x14ac:dyDescent="0.2">
      <c r="A605" s="3450"/>
      <c r="B605" s="3457" t="s">
        <v>2848</v>
      </c>
      <c r="C605" s="3570" t="s">
        <v>265</v>
      </c>
      <c r="D605" s="3442">
        <v>186000000</v>
      </c>
      <c r="E605" s="3444">
        <v>5.5E-2</v>
      </c>
      <c r="F605" s="3442">
        <f>D605*E605</f>
        <v>10230000</v>
      </c>
      <c r="G605" s="561">
        <v>1000000</v>
      </c>
      <c r="H605" s="2552" t="s">
        <v>4068</v>
      </c>
      <c r="I605" s="1082" t="s">
        <v>2708</v>
      </c>
      <c r="J605" s="2552">
        <f>G605</f>
        <v>1000000</v>
      </c>
      <c r="K605" s="2549"/>
      <c r="L605" s="2023" t="s">
        <v>4405</v>
      </c>
      <c r="M605" s="429"/>
      <c r="N605" s="429"/>
      <c r="O605" s="429"/>
      <c r="P605" s="429"/>
      <c r="Q605" s="429"/>
    </row>
    <row r="606" spans="1:17" ht="30" customHeight="1" x14ac:dyDescent="0.2">
      <c r="A606" s="3456"/>
      <c r="B606" s="3459"/>
      <c r="C606" s="3576"/>
      <c r="D606" s="3461"/>
      <c r="E606" s="3474"/>
      <c r="F606" s="3461"/>
      <c r="G606" s="482">
        <v>13530000</v>
      </c>
      <c r="H606" s="2558" t="s">
        <v>4105</v>
      </c>
      <c r="I606" s="2572" t="s">
        <v>4126</v>
      </c>
      <c r="J606" s="2558">
        <f>G606</f>
        <v>13530000</v>
      </c>
      <c r="K606" s="2584">
        <f>(F605+F611)-G606</f>
        <v>0</v>
      </c>
      <c r="L606" s="2398" t="s">
        <v>4092</v>
      </c>
      <c r="M606" s="429"/>
      <c r="N606" s="429"/>
      <c r="O606" s="429"/>
      <c r="P606" s="429"/>
      <c r="Q606" s="429"/>
    </row>
    <row r="607" spans="1:17" ht="30" customHeight="1" x14ac:dyDescent="0.2">
      <c r="A607" s="3456"/>
      <c r="B607" s="3459"/>
      <c r="C607" s="3576"/>
      <c r="D607" s="3443"/>
      <c r="E607" s="3445"/>
      <c r="F607" s="3443"/>
      <c r="G607" s="482">
        <v>1000000</v>
      </c>
      <c r="H607" s="2558" t="s">
        <v>4330</v>
      </c>
      <c r="I607" s="1082" t="s">
        <v>2708</v>
      </c>
      <c r="J607" s="2558">
        <f>G607</f>
        <v>1000000</v>
      </c>
      <c r="K607" s="2584"/>
      <c r="L607" s="2398" t="s">
        <v>4405</v>
      </c>
      <c r="M607" s="429"/>
      <c r="N607" s="429"/>
      <c r="O607" s="429"/>
      <c r="P607" s="429"/>
      <c r="Q607" s="429"/>
    </row>
    <row r="608" spans="1:17" ht="30" customHeight="1" x14ac:dyDescent="0.2">
      <c r="A608" s="3456"/>
      <c r="B608" s="3459"/>
      <c r="C608" s="3576"/>
      <c r="D608" s="2393">
        <v>10000000</v>
      </c>
      <c r="E608" s="2394"/>
      <c r="F608" s="2393"/>
      <c r="G608" s="482"/>
      <c r="H608" s="2558"/>
      <c r="I608" s="516"/>
      <c r="J608" s="2558"/>
      <c r="K608" s="2584"/>
      <c r="L608" s="2244" t="s">
        <v>4337</v>
      </c>
      <c r="M608" s="429"/>
      <c r="N608" s="429"/>
      <c r="O608" s="429"/>
      <c r="P608" s="429"/>
      <c r="Q608" s="429"/>
    </row>
    <row r="609" spans="1:17" ht="30" customHeight="1" x14ac:dyDescent="0.2">
      <c r="A609" s="3456"/>
      <c r="B609" s="3459"/>
      <c r="C609" s="3576"/>
      <c r="D609" s="2393">
        <v>4000000</v>
      </c>
      <c r="E609" s="2394"/>
      <c r="F609" s="2393"/>
      <c r="G609" s="482"/>
      <c r="H609" s="2558"/>
      <c r="I609" s="516"/>
      <c r="J609" s="2558"/>
      <c r="K609" s="2584"/>
      <c r="L609" s="2244" t="s">
        <v>4254</v>
      </c>
      <c r="M609" s="429"/>
      <c r="N609" s="429"/>
      <c r="O609" s="429"/>
      <c r="P609" s="429"/>
      <c r="Q609" s="429"/>
    </row>
    <row r="610" spans="1:17" ht="30" customHeight="1" x14ac:dyDescent="0.2">
      <c r="A610" s="3451"/>
      <c r="B610" s="3458"/>
      <c r="C610" s="3571"/>
      <c r="D610" s="2396">
        <v>200000000</v>
      </c>
      <c r="E610" s="2395"/>
      <c r="F610" s="2396"/>
      <c r="G610" s="2736"/>
      <c r="H610" s="2609"/>
      <c r="I610" s="2411"/>
      <c r="J610" s="2610"/>
      <c r="K610" s="2410"/>
      <c r="L610" s="2398" t="s">
        <v>2819</v>
      </c>
      <c r="M610" s="429"/>
      <c r="N610" s="429"/>
      <c r="O610" s="429"/>
      <c r="P610" s="429"/>
      <c r="Q610" s="429"/>
    </row>
    <row r="611" spans="1:17" ht="30" customHeight="1" x14ac:dyDescent="0.2">
      <c r="A611" s="2014"/>
      <c r="B611" s="1987" t="s">
        <v>2707</v>
      </c>
      <c r="C611" s="2002" t="s">
        <v>1215</v>
      </c>
      <c r="D611" s="1992">
        <v>60000000</v>
      </c>
      <c r="E611" s="1989">
        <v>5.5E-2</v>
      </c>
      <c r="F611" s="1992">
        <f>D611*E611</f>
        <v>3300000</v>
      </c>
      <c r="G611" s="2722"/>
      <c r="H611" s="2775"/>
      <c r="I611" s="2775"/>
      <c r="J611" s="2723"/>
      <c r="K611" s="2584">
        <v>0</v>
      </c>
      <c r="L611" s="2031" t="s">
        <v>3658</v>
      </c>
      <c r="M611" s="429"/>
      <c r="N611" s="429"/>
      <c r="O611" s="429"/>
      <c r="P611" s="429"/>
      <c r="Q611" s="429"/>
    </row>
    <row r="612" spans="1:17" ht="30" customHeight="1" x14ac:dyDescent="0.2">
      <c r="A612" s="1984"/>
      <c r="B612" s="1987" t="s">
        <v>2743</v>
      </c>
      <c r="C612" s="2002"/>
      <c r="D612" s="1997"/>
      <c r="E612" s="44"/>
      <c r="F612" s="1997"/>
      <c r="G612" s="482"/>
      <c r="H612" s="2558"/>
      <c r="I612" s="516"/>
      <c r="J612" s="2558">
        <f>G612</f>
        <v>0</v>
      </c>
      <c r="K612" s="2586">
        <f>F612-J612</f>
        <v>0</v>
      </c>
      <c r="L612" s="2031"/>
      <c r="M612" s="429"/>
      <c r="N612" s="429"/>
      <c r="O612" s="429"/>
      <c r="P612" s="429"/>
      <c r="Q612" s="429"/>
    </row>
    <row r="613" spans="1:17" ht="30" customHeight="1" x14ac:dyDescent="0.2">
      <c r="A613" s="3450"/>
      <c r="B613" s="3457" t="s">
        <v>2745</v>
      </c>
      <c r="C613" s="3570" t="s">
        <v>916</v>
      </c>
      <c r="D613" s="2009">
        <v>4215000000</v>
      </c>
      <c r="E613" s="2013">
        <v>0.05</v>
      </c>
      <c r="F613" s="2009">
        <f>D613*E613</f>
        <v>210750000</v>
      </c>
      <c r="G613" s="482">
        <v>75000000</v>
      </c>
      <c r="H613" s="2558" t="s">
        <v>4330</v>
      </c>
      <c r="I613" s="516" t="s">
        <v>4396</v>
      </c>
      <c r="J613" s="2557">
        <f>G613</f>
        <v>75000000</v>
      </c>
      <c r="K613" s="2583">
        <f>F618-J613</f>
        <v>791250000</v>
      </c>
      <c r="L613" s="3625"/>
      <c r="M613" s="429"/>
      <c r="N613" s="429"/>
      <c r="O613" s="429"/>
      <c r="P613" s="429"/>
      <c r="Q613" s="429"/>
    </row>
    <row r="614" spans="1:17" ht="30" customHeight="1" x14ac:dyDescent="0.2">
      <c r="A614" s="3456"/>
      <c r="B614" s="3459"/>
      <c r="C614" s="3576"/>
      <c r="D614" s="2009">
        <v>2000000000</v>
      </c>
      <c r="E614" s="2013">
        <v>7.0000000000000007E-2</v>
      </c>
      <c r="F614" s="2009">
        <f t="shared" ref="F614:F617" si="66">D614*E614</f>
        <v>140000000</v>
      </c>
      <c r="G614" s="482">
        <v>80000000</v>
      </c>
      <c r="H614" s="2597" t="s">
        <v>4330</v>
      </c>
      <c r="I614" s="2401" t="s">
        <v>4399</v>
      </c>
      <c r="J614" s="2560"/>
      <c r="K614" s="2588"/>
      <c r="L614" s="3626"/>
      <c r="M614" s="429"/>
      <c r="N614" s="429"/>
      <c r="O614" s="429"/>
      <c r="P614" s="429"/>
      <c r="Q614" s="429"/>
    </row>
    <row r="615" spans="1:17" ht="30" customHeight="1" x14ac:dyDescent="0.2">
      <c r="A615" s="3456"/>
      <c r="B615" s="3459"/>
      <c r="C615" s="3576"/>
      <c r="D615" s="2009">
        <v>3785000000</v>
      </c>
      <c r="E615" s="2013">
        <v>0.06</v>
      </c>
      <c r="F615" s="2009">
        <f t="shared" si="66"/>
        <v>227100000</v>
      </c>
      <c r="G615" s="482">
        <v>63750000</v>
      </c>
      <c r="H615" s="2597" t="s">
        <v>4016</v>
      </c>
      <c r="I615" s="2401" t="s">
        <v>4399</v>
      </c>
      <c r="J615" s="2560"/>
      <c r="K615" s="2588"/>
      <c r="L615" s="2024"/>
      <c r="M615" s="429"/>
      <c r="N615" s="429"/>
      <c r="O615" s="429"/>
      <c r="P615" s="429"/>
      <c r="Q615" s="429"/>
    </row>
    <row r="616" spans="1:17" ht="30" customHeight="1" x14ac:dyDescent="0.2">
      <c r="A616" s="3456"/>
      <c r="B616" s="3459"/>
      <c r="C616" s="3576"/>
      <c r="D616" s="2009">
        <v>2915000000</v>
      </c>
      <c r="E616" s="2013">
        <v>0.08</v>
      </c>
      <c r="F616" s="2009">
        <f t="shared" si="66"/>
        <v>233200000</v>
      </c>
      <c r="G616" s="2724"/>
      <c r="H616" s="2412"/>
      <c r="I616" s="2088"/>
      <c r="J616" s="2560"/>
      <c r="K616" s="2588"/>
      <c r="L616" s="2024"/>
      <c r="M616" s="429"/>
      <c r="N616" s="429"/>
      <c r="O616" s="429"/>
      <c r="P616" s="429"/>
      <c r="Q616" s="429"/>
    </row>
    <row r="617" spans="1:17" ht="30" customHeight="1" x14ac:dyDescent="0.2">
      <c r="A617" s="3456"/>
      <c r="B617" s="3459"/>
      <c r="C617" s="3576"/>
      <c r="D617" s="2361">
        <v>690000000</v>
      </c>
      <c r="E617" s="2379">
        <v>0.08</v>
      </c>
      <c r="F617" s="2361">
        <f t="shared" si="66"/>
        <v>55200000</v>
      </c>
      <c r="G617" s="2725"/>
      <c r="H617" s="264"/>
      <c r="I617" s="2089"/>
      <c r="J617" s="2560"/>
      <c r="K617" s="2588"/>
      <c r="L617" s="2376"/>
      <c r="M617" s="429"/>
      <c r="N617" s="429"/>
      <c r="O617" s="429"/>
      <c r="P617" s="429"/>
      <c r="Q617" s="429"/>
    </row>
    <row r="618" spans="1:17" ht="30" customHeight="1" x14ac:dyDescent="0.2">
      <c r="A618" s="3456"/>
      <c r="B618" s="3459"/>
      <c r="C618" s="3576"/>
      <c r="D618" s="1913">
        <f>SUM(D613:D617)</f>
        <v>13605000000</v>
      </c>
      <c r="E618" s="1926"/>
      <c r="F618" s="1913">
        <f>SUM(F613:F617)</f>
        <v>866250000</v>
      </c>
      <c r="G618" s="2725">
        <f>F618+F619</f>
        <v>941050000</v>
      </c>
      <c r="H618" s="2726"/>
      <c r="I618" s="2090"/>
      <c r="J618" s="2558"/>
      <c r="K618" s="2584"/>
      <c r="L618" s="2012"/>
      <c r="M618" s="429"/>
      <c r="N618" s="429"/>
      <c r="O618" s="429"/>
      <c r="P618" s="429"/>
      <c r="Q618" s="429"/>
    </row>
    <row r="619" spans="1:17" ht="30" customHeight="1" x14ac:dyDescent="0.2">
      <c r="A619" s="3451"/>
      <c r="B619" s="3458"/>
      <c r="C619" s="3571"/>
      <c r="D619" s="948">
        <v>935000000</v>
      </c>
      <c r="E619" s="2379">
        <v>0.08</v>
      </c>
      <c r="F619" s="948">
        <f>D619*E619</f>
        <v>74800000</v>
      </c>
      <c r="G619" s="2150"/>
      <c r="H619" s="1716"/>
      <c r="I619" s="1658"/>
      <c r="J619" s="2558"/>
      <c r="K619" s="2584"/>
      <c r="L619" s="2377"/>
      <c r="M619" s="429"/>
      <c r="N619" s="429"/>
      <c r="O619" s="429"/>
      <c r="P619" s="429"/>
      <c r="Q619" s="429"/>
    </row>
    <row r="620" spans="1:17" ht="30" customHeight="1" x14ac:dyDescent="0.2">
      <c r="A620" s="3450"/>
      <c r="B620" s="3457" t="s">
        <v>2756</v>
      </c>
      <c r="C620" s="3570"/>
      <c r="D620" s="2309">
        <v>100000000</v>
      </c>
      <c r="E620" s="2317">
        <v>4.4999999999999998E-2</v>
      </c>
      <c r="F620" s="2309">
        <f>D620*E620</f>
        <v>4500000</v>
      </c>
      <c r="G620" s="482">
        <v>4500000</v>
      </c>
      <c r="H620" s="2558" t="s">
        <v>4105</v>
      </c>
      <c r="I620" s="516" t="s">
        <v>1827</v>
      </c>
      <c r="J620" s="2558">
        <f t="shared" ref="J620:J632" si="67">G620</f>
        <v>4500000</v>
      </c>
      <c r="K620" s="2584">
        <f t="shared" ref="K620:K633" si="68">F620-J620</f>
        <v>0</v>
      </c>
      <c r="L620" s="2031"/>
      <c r="M620" s="429"/>
      <c r="N620" s="429"/>
      <c r="O620" s="429"/>
      <c r="P620" s="429"/>
      <c r="Q620" s="429"/>
    </row>
    <row r="621" spans="1:17" ht="30" customHeight="1" x14ac:dyDescent="0.2">
      <c r="A621" s="3456"/>
      <c r="B621" s="3459"/>
      <c r="C621" s="3576"/>
      <c r="D621" s="2160">
        <v>50000000</v>
      </c>
      <c r="E621" s="2507">
        <v>4.4999999999999998E-2</v>
      </c>
      <c r="F621" s="2505">
        <f t="shared" ref="F621:F622" si="69">D621*E621</f>
        <v>2250000</v>
      </c>
      <c r="G621" s="1452"/>
      <c r="H621" s="1716"/>
      <c r="I621" s="1716"/>
      <c r="J621" s="1658"/>
      <c r="K621" s="2584">
        <f>F620+F621+F622</f>
        <v>7200000</v>
      </c>
      <c r="L621" s="2175"/>
      <c r="M621" s="429"/>
      <c r="N621" s="429"/>
      <c r="O621" s="429"/>
      <c r="P621" s="429"/>
      <c r="Q621" s="429"/>
    </row>
    <row r="622" spans="1:17" ht="30" customHeight="1" x14ac:dyDescent="0.2">
      <c r="A622" s="3451"/>
      <c r="B622" s="3458"/>
      <c r="C622" s="3571"/>
      <c r="D622" s="2309">
        <v>10000000</v>
      </c>
      <c r="E622" s="2507">
        <v>4.4999999999999998E-2</v>
      </c>
      <c r="F622" s="2505">
        <f t="shared" si="69"/>
        <v>450000</v>
      </c>
      <c r="G622" s="1452"/>
      <c r="H622" s="1716"/>
      <c r="I622" s="1716"/>
      <c r="J622" s="1658"/>
      <c r="K622" s="2584"/>
      <c r="L622" s="2328"/>
      <c r="M622" s="429"/>
      <c r="N622" s="429"/>
      <c r="O622" s="429"/>
      <c r="P622" s="429"/>
      <c r="Q622" s="429"/>
    </row>
    <row r="623" spans="1:17" ht="30" customHeight="1" x14ac:dyDescent="0.2">
      <c r="A623" s="2014"/>
      <c r="B623" s="2017" t="s">
        <v>2773</v>
      </c>
      <c r="C623" s="2002" t="s">
        <v>1215</v>
      </c>
      <c r="D623" s="2160">
        <v>80000000</v>
      </c>
      <c r="E623" s="2171">
        <v>0.05</v>
      </c>
      <c r="F623" s="2160">
        <f>D623*E623</f>
        <v>4000000</v>
      </c>
      <c r="G623" s="482">
        <v>4000000</v>
      </c>
      <c r="H623" s="2558" t="s">
        <v>4156</v>
      </c>
      <c r="I623" s="516" t="s">
        <v>4160</v>
      </c>
      <c r="J623" s="2558">
        <f t="shared" si="67"/>
        <v>4000000</v>
      </c>
      <c r="K623" s="2584">
        <f t="shared" si="68"/>
        <v>0</v>
      </c>
      <c r="L623" s="2031" t="s">
        <v>3826</v>
      </c>
      <c r="M623" s="429"/>
      <c r="N623" s="429"/>
      <c r="O623" s="429"/>
      <c r="P623" s="429"/>
      <c r="Q623" s="429"/>
    </row>
    <row r="624" spans="1:17" ht="30" customHeight="1" x14ac:dyDescent="0.2">
      <c r="A624" s="2174"/>
      <c r="B624" s="2173" t="s">
        <v>4161</v>
      </c>
      <c r="C624" s="2167" t="s">
        <v>1215</v>
      </c>
      <c r="D624" s="2160">
        <v>100000000</v>
      </c>
      <c r="E624" s="2171">
        <v>0.05</v>
      </c>
      <c r="F624" s="2160">
        <f>D624*E624</f>
        <v>5000000</v>
      </c>
      <c r="G624" s="482">
        <v>5000000</v>
      </c>
      <c r="H624" s="2558" t="s">
        <v>4201</v>
      </c>
      <c r="I624" s="516" t="s">
        <v>4204</v>
      </c>
      <c r="J624" s="2558">
        <f>G624</f>
        <v>5000000</v>
      </c>
      <c r="K624" s="2584">
        <f>F624-J624</f>
        <v>0</v>
      </c>
      <c r="L624" s="2175"/>
      <c r="M624" s="429"/>
      <c r="N624" s="429"/>
      <c r="O624" s="429"/>
      <c r="P624" s="429"/>
      <c r="Q624" s="429"/>
    </row>
    <row r="625" spans="1:17" ht="30" customHeight="1" x14ac:dyDescent="0.2">
      <c r="A625" s="2014"/>
      <c r="B625" s="2017" t="s">
        <v>4137</v>
      </c>
      <c r="C625" s="2016" t="s">
        <v>1746</v>
      </c>
      <c r="D625" s="2151">
        <v>25000000</v>
      </c>
      <c r="E625" s="2171">
        <v>0.04</v>
      </c>
      <c r="F625" s="2151">
        <f>D625*E625</f>
        <v>1000000</v>
      </c>
      <c r="G625" s="561">
        <v>2000000</v>
      </c>
      <c r="H625" s="2552" t="s">
        <v>4133</v>
      </c>
      <c r="I625" s="1082" t="s">
        <v>4138</v>
      </c>
      <c r="J625" s="2552">
        <f t="shared" si="67"/>
        <v>2000000</v>
      </c>
      <c r="K625" s="2549">
        <f t="shared" si="68"/>
        <v>-1000000</v>
      </c>
      <c r="L625" s="2031" t="s">
        <v>4139</v>
      </c>
      <c r="M625" s="429"/>
      <c r="N625" s="429"/>
      <c r="O625" s="429"/>
      <c r="P625" s="429"/>
      <c r="Q625" s="429"/>
    </row>
    <row r="626" spans="1:17" ht="30" customHeight="1" x14ac:dyDescent="0.2">
      <c r="A626" s="3450"/>
      <c r="B626" s="3448" t="s">
        <v>2826</v>
      </c>
      <c r="C626" s="3525"/>
      <c r="D626" s="3442">
        <v>200000000</v>
      </c>
      <c r="E626" s="3444">
        <v>7.0000000000000007E-2</v>
      </c>
      <c r="F626" s="3442">
        <f>D626*E626</f>
        <v>14000000.000000002</v>
      </c>
      <c r="G626" s="482">
        <v>1000000</v>
      </c>
      <c r="H626" s="2558" t="s">
        <v>4062</v>
      </c>
      <c r="I626" s="516" t="s">
        <v>4113</v>
      </c>
      <c r="J626" s="2558">
        <f t="shared" si="67"/>
        <v>1000000</v>
      </c>
      <c r="K626" s="2584"/>
      <c r="L626" s="2031" t="s">
        <v>4181</v>
      </c>
      <c r="M626" s="429"/>
      <c r="N626" s="429"/>
      <c r="O626" s="429"/>
      <c r="P626" s="429"/>
      <c r="Q626" s="429"/>
    </row>
    <row r="627" spans="1:17" ht="30" customHeight="1" x14ac:dyDescent="0.2">
      <c r="A627" s="3451"/>
      <c r="B627" s="3449"/>
      <c r="C627" s="3526"/>
      <c r="D627" s="3443"/>
      <c r="E627" s="3445"/>
      <c r="F627" s="3443"/>
      <c r="G627" s="482">
        <v>14000000</v>
      </c>
      <c r="H627" s="2558" t="s">
        <v>4177</v>
      </c>
      <c r="I627" s="516" t="s">
        <v>2827</v>
      </c>
      <c r="J627" s="2558">
        <f>G627</f>
        <v>14000000</v>
      </c>
      <c r="K627" s="2584">
        <f>F626-J627</f>
        <v>0</v>
      </c>
      <c r="L627" s="2207"/>
      <c r="M627" s="429"/>
      <c r="N627" s="429"/>
      <c r="O627" s="429"/>
      <c r="P627" s="429"/>
      <c r="Q627" s="429"/>
    </row>
    <row r="628" spans="1:17" ht="30" customHeight="1" x14ac:dyDescent="0.2">
      <c r="A628" s="2014"/>
      <c r="B628" s="2017" t="s">
        <v>2836</v>
      </c>
      <c r="C628" s="2125" t="s">
        <v>265</v>
      </c>
      <c r="D628" s="1992">
        <v>30000000</v>
      </c>
      <c r="E628" s="2013">
        <v>0.05</v>
      </c>
      <c r="F628" s="1992">
        <f t="shared" ref="F628:F633" si="70">D628*E628</f>
        <v>1500000</v>
      </c>
      <c r="G628" s="561">
        <v>1500000</v>
      </c>
      <c r="H628" s="2552" t="s">
        <v>4105</v>
      </c>
      <c r="I628" s="2552" t="s">
        <v>3673</v>
      </c>
      <c r="J628" s="2552">
        <f t="shared" si="67"/>
        <v>1500000</v>
      </c>
      <c r="K628" s="2584">
        <f t="shared" si="68"/>
        <v>0</v>
      </c>
      <c r="L628" s="2031"/>
      <c r="M628" s="429"/>
      <c r="N628" s="429"/>
      <c r="O628" s="429"/>
      <c r="P628" s="429"/>
      <c r="Q628" s="429"/>
    </row>
    <row r="629" spans="1:17" ht="30" customHeight="1" x14ac:dyDescent="0.2">
      <c r="A629" s="2014"/>
      <c r="B629" s="2017" t="s">
        <v>2861</v>
      </c>
      <c r="C629" s="2002" t="s">
        <v>401</v>
      </c>
      <c r="D629" s="1992">
        <v>140000000</v>
      </c>
      <c r="E629" s="2013">
        <v>7.0000000000000007E-2</v>
      </c>
      <c r="F629" s="1992">
        <f t="shared" si="70"/>
        <v>9800000.0000000019</v>
      </c>
      <c r="G629" s="561"/>
      <c r="H629" s="2552"/>
      <c r="I629" s="2552" t="s">
        <v>3662</v>
      </c>
      <c r="J629" s="2552">
        <f t="shared" si="67"/>
        <v>0</v>
      </c>
      <c r="K629" s="2584">
        <f t="shared" si="68"/>
        <v>9800000.0000000019</v>
      </c>
      <c r="L629" s="2031" t="s">
        <v>3528</v>
      </c>
      <c r="M629" s="429"/>
      <c r="N629" s="429"/>
      <c r="O629" s="429"/>
      <c r="P629" s="429"/>
      <c r="Q629" s="429"/>
    </row>
    <row r="630" spans="1:17" ht="30" customHeight="1" x14ac:dyDescent="0.2">
      <c r="A630" s="2014"/>
      <c r="B630" s="2017" t="s">
        <v>2869</v>
      </c>
      <c r="C630" s="2002" t="s">
        <v>916</v>
      </c>
      <c r="D630" s="1992">
        <v>85000000</v>
      </c>
      <c r="E630" s="2013">
        <v>0.05</v>
      </c>
      <c r="F630" s="1992">
        <f t="shared" si="70"/>
        <v>4250000</v>
      </c>
      <c r="G630" s="561">
        <v>4250000</v>
      </c>
      <c r="H630" s="2552" t="s">
        <v>4201</v>
      </c>
      <c r="I630" s="1082" t="s">
        <v>3665</v>
      </c>
      <c r="J630" s="2552">
        <f t="shared" si="67"/>
        <v>4250000</v>
      </c>
      <c r="K630" s="2584">
        <f t="shared" si="68"/>
        <v>0</v>
      </c>
      <c r="L630" s="2031"/>
      <c r="M630" s="429"/>
      <c r="N630" s="429"/>
      <c r="O630" s="429"/>
      <c r="P630" s="429"/>
      <c r="Q630" s="429"/>
    </row>
    <row r="631" spans="1:17" ht="30" customHeight="1" x14ac:dyDescent="0.2">
      <c r="A631" s="2014"/>
      <c r="B631" s="2017" t="s">
        <v>3671</v>
      </c>
      <c r="C631" s="2002" t="s">
        <v>380</v>
      </c>
      <c r="D631" s="1992">
        <v>50000000</v>
      </c>
      <c r="E631" s="2013">
        <v>0.05</v>
      </c>
      <c r="F631" s="1992">
        <f t="shared" si="70"/>
        <v>2500000</v>
      </c>
      <c r="G631" s="561">
        <v>2500000</v>
      </c>
      <c r="H631" s="2552" t="s">
        <v>4184</v>
      </c>
      <c r="I631" s="2552" t="s">
        <v>4233</v>
      </c>
      <c r="J631" s="2552">
        <f t="shared" si="67"/>
        <v>2500000</v>
      </c>
      <c r="K631" s="2584">
        <f t="shared" si="68"/>
        <v>0</v>
      </c>
      <c r="L631" s="2031"/>
      <c r="M631" s="429"/>
      <c r="N631" s="429"/>
      <c r="O631" s="429"/>
      <c r="P631" s="429"/>
      <c r="Q631" s="429"/>
    </row>
    <row r="632" spans="1:17" ht="30" customHeight="1" x14ac:dyDescent="0.2">
      <c r="A632" s="2014"/>
      <c r="B632" s="2017" t="s">
        <v>2872</v>
      </c>
      <c r="C632" s="2002" t="s">
        <v>380</v>
      </c>
      <c r="D632" s="1992">
        <v>25000000</v>
      </c>
      <c r="E632" s="2013">
        <v>0.05</v>
      </c>
      <c r="F632" s="1992">
        <f t="shared" si="70"/>
        <v>1250000</v>
      </c>
      <c r="G632" s="561">
        <v>1250000</v>
      </c>
      <c r="H632" s="2552" t="s">
        <v>4156</v>
      </c>
      <c r="I632" s="2552" t="s">
        <v>4157</v>
      </c>
      <c r="J632" s="2552">
        <f t="shared" si="67"/>
        <v>1250000</v>
      </c>
      <c r="K632" s="2584">
        <f t="shared" si="68"/>
        <v>0</v>
      </c>
      <c r="L632" s="2031"/>
      <c r="M632" s="429"/>
      <c r="N632" s="429"/>
      <c r="O632" s="429"/>
      <c r="P632" s="429"/>
      <c r="Q632" s="429"/>
    </row>
    <row r="633" spans="1:17" ht="30" customHeight="1" x14ac:dyDescent="0.2">
      <c r="A633" s="3450"/>
      <c r="B633" s="3457" t="s">
        <v>2901</v>
      </c>
      <c r="C633" s="3570"/>
      <c r="D633" s="3442">
        <v>300000000</v>
      </c>
      <c r="E633" s="3444">
        <v>5.5E-2</v>
      </c>
      <c r="F633" s="3442">
        <f t="shared" si="70"/>
        <v>16500000</v>
      </c>
      <c r="G633" s="2780">
        <v>16500000</v>
      </c>
      <c r="H633" s="2557" t="s">
        <v>3944</v>
      </c>
      <c r="I633" s="2557" t="s">
        <v>3613</v>
      </c>
      <c r="J633" s="2557">
        <f>G633+G634</f>
        <v>16500000</v>
      </c>
      <c r="K633" s="2583">
        <f t="shared" si="68"/>
        <v>0</v>
      </c>
      <c r="L633" s="3620" t="s">
        <v>2902</v>
      </c>
      <c r="M633" s="429"/>
      <c r="N633" s="429"/>
      <c r="O633" s="429"/>
      <c r="P633" s="429"/>
      <c r="Q633" s="429"/>
    </row>
    <row r="634" spans="1:17" ht="30" customHeight="1" x14ac:dyDescent="0.2">
      <c r="A634" s="3451"/>
      <c r="B634" s="3458"/>
      <c r="C634" s="3571"/>
      <c r="D634" s="3443"/>
      <c r="E634" s="3445"/>
      <c r="F634" s="3443"/>
      <c r="G634" s="2734"/>
      <c r="H634" s="2558"/>
      <c r="I634" s="2558"/>
      <c r="J634" s="2558"/>
      <c r="K634" s="2584"/>
      <c r="L634" s="3621"/>
      <c r="M634" s="429"/>
      <c r="N634" s="429"/>
      <c r="O634" s="429"/>
      <c r="P634" s="429"/>
      <c r="Q634" s="429"/>
    </row>
    <row r="635" spans="1:17" ht="30" customHeight="1" x14ac:dyDescent="0.2">
      <c r="A635" s="2014"/>
      <c r="B635" s="2017" t="s">
        <v>2933</v>
      </c>
      <c r="C635" s="2002"/>
      <c r="D635" s="1992">
        <v>85000000</v>
      </c>
      <c r="E635" s="2013"/>
      <c r="F635" s="1992"/>
      <c r="G635" s="561"/>
      <c r="H635" s="2552"/>
      <c r="I635" s="2552"/>
      <c r="J635" s="2552"/>
      <c r="K635" s="2584"/>
      <c r="L635" s="2031" t="s">
        <v>2934</v>
      </c>
      <c r="M635" s="429"/>
      <c r="N635" s="429"/>
      <c r="O635" s="429"/>
      <c r="P635" s="429"/>
      <c r="Q635" s="429"/>
    </row>
    <row r="636" spans="1:17" ht="30" customHeight="1" x14ac:dyDescent="0.2">
      <c r="A636" s="2014"/>
      <c r="B636" s="2017" t="s">
        <v>2936</v>
      </c>
      <c r="C636" s="2002" t="s">
        <v>367</v>
      </c>
      <c r="D636" s="1992">
        <v>20000000</v>
      </c>
      <c r="E636" s="2013">
        <v>0.05</v>
      </c>
      <c r="F636" s="1992">
        <f>D636*E636</f>
        <v>1000000</v>
      </c>
      <c r="G636" s="561">
        <v>1000000</v>
      </c>
      <c r="H636" s="2552" t="s">
        <v>4184</v>
      </c>
      <c r="I636" s="2552" t="s">
        <v>3693</v>
      </c>
      <c r="J636" s="2552">
        <f>G636</f>
        <v>1000000</v>
      </c>
      <c r="K636" s="2584">
        <f>F636-J636</f>
        <v>0</v>
      </c>
      <c r="L636" s="2031"/>
      <c r="M636" s="429"/>
      <c r="N636" s="429"/>
      <c r="O636" s="429"/>
      <c r="P636" s="429"/>
      <c r="Q636" s="429"/>
    </row>
    <row r="637" spans="1:17" ht="30" customHeight="1" x14ac:dyDescent="0.2">
      <c r="A637" s="1982"/>
      <c r="B637" s="2018" t="s">
        <v>3039</v>
      </c>
      <c r="C637" s="2016" t="s">
        <v>1112</v>
      </c>
      <c r="D637" s="2009">
        <v>40000000</v>
      </c>
      <c r="E637" s="2013">
        <v>0.04</v>
      </c>
      <c r="F637" s="2009">
        <f>D637*E637</f>
        <v>1600000</v>
      </c>
      <c r="G637" s="561"/>
      <c r="H637" s="2552"/>
      <c r="I637" s="2552" t="s">
        <v>3476</v>
      </c>
      <c r="J637" s="2552">
        <f>G637</f>
        <v>0</v>
      </c>
      <c r="K637" s="2584">
        <f>F637-J637</f>
        <v>1600000</v>
      </c>
      <c r="L637" s="2031"/>
      <c r="M637" s="429"/>
      <c r="N637" s="429"/>
      <c r="O637" s="429"/>
      <c r="P637" s="429"/>
      <c r="Q637" s="429"/>
    </row>
    <row r="638" spans="1:17" ht="30" customHeight="1" x14ac:dyDescent="0.2">
      <c r="A638" s="2014"/>
      <c r="B638" s="2017" t="s">
        <v>2968</v>
      </c>
      <c r="C638" s="2002" t="s">
        <v>2983</v>
      </c>
      <c r="D638" s="1992">
        <v>20000000</v>
      </c>
      <c r="E638" s="1989">
        <v>0.05</v>
      </c>
      <c r="F638" s="1992">
        <f>D638*E638</f>
        <v>1000000</v>
      </c>
      <c r="G638" s="561">
        <v>1000000</v>
      </c>
      <c r="H638" s="2552" t="s">
        <v>4184</v>
      </c>
      <c r="I638" s="2552" t="s">
        <v>3819</v>
      </c>
      <c r="J638" s="2552">
        <f>G638</f>
        <v>1000000</v>
      </c>
      <c r="K638" s="2584">
        <f>G638-J638</f>
        <v>0</v>
      </c>
      <c r="L638" s="2031" t="s">
        <v>2969</v>
      </c>
      <c r="M638" s="429"/>
      <c r="N638" s="429"/>
      <c r="O638" s="429"/>
      <c r="P638" s="429"/>
      <c r="Q638" s="429"/>
    </row>
    <row r="639" spans="1:17" ht="30" customHeight="1" x14ac:dyDescent="0.2">
      <c r="A639" s="3450"/>
      <c r="B639" s="1601" t="s">
        <v>3001</v>
      </c>
      <c r="C639" s="3790" t="s">
        <v>3033</v>
      </c>
      <c r="D639" s="3824">
        <v>70000000</v>
      </c>
      <c r="E639" s="3835">
        <v>0.05</v>
      </c>
      <c r="F639" s="3838">
        <f>D639*E639</f>
        <v>3500000</v>
      </c>
      <c r="G639" s="561">
        <v>5000000</v>
      </c>
      <c r="H639" s="2552" t="s">
        <v>4306</v>
      </c>
      <c r="I639" s="2552" t="s">
        <v>4307</v>
      </c>
      <c r="J639" s="2557">
        <f>G639</f>
        <v>5000000</v>
      </c>
      <c r="K639" s="2583">
        <f>(F639+F642+F643+1800000)-J639</f>
        <v>14300000</v>
      </c>
      <c r="L639" s="2023"/>
      <c r="M639" s="429"/>
      <c r="N639" s="429"/>
      <c r="O639" s="429"/>
      <c r="P639" s="429"/>
      <c r="Q639" s="429"/>
    </row>
    <row r="640" spans="1:17" ht="30" customHeight="1" x14ac:dyDescent="0.2">
      <c r="A640" s="3456"/>
      <c r="B640" s="1602"/>
      <c r="C640" s="3793"/>
      <c r="D640" s="3825"/>
      <c r="E640" s="3836"/>
      <c r="F640" s="3838"/>
      <c r="G640" s="2737"/>
      <c r="H640" s="187"/>
      <c r="I640" s="187"/>
      <c r="J640" s="2560"/>
      <c r="K640" s="2588"/>
      <c r="L640" s="2030" t="s">
        <v>3036</v>
      </c>
      <c r="M640" s="429"/>
      <c r="N640" s="429"/>
      <c r="O640" s="429"/>
      <c r="P640" s="429"/>
      <c r="Q640" s="429"/>
    </row>
    <row r="641" spans="1:17" ht="30" customHeight="1" x14ac:dyDescent="0.2">
      <c r="A641" s="3451"/>
      <c r="B641" s="1603"/>
      <c r="C641" s="3791"/>
      <c r="D641" s="3826"/>
      <c r="E641" s="3837"/>
      <c r="F641" s="3838"/>
      <c r="G641" s="2737"/>
      <c r="H641" s="187"/>
      <c r="I641" s="187"/>
      <c r="J641" s="2560"/>
      <c r="K641" s="2588"/>
      <c r="L641" s="2030" t="s">
        <v>3035</v>
      </c>
      <c r="M641" s="429"/>
      <c r="N641" s="429"/>
      <c r="O641" s="429"/>
      <c r="P641" s="429"/>
      <c r="Q641" s="429"/>
    </row>
    <row r="642" spans="1:17" ht="30" customHeight="1" x14ac:dyDescent="0.2">
      <c r="A642" s="3450"/>
      <c r="B642" s="3788" t="s">
        <v>3034</v>
      </c>
      <c r="C642" s="3790" t="s">
        <v>411</v>
      </c>
      <c r="D642" s="2040">
        <v>190000000</v>
      </c>
      <c r="E642" s="1269">
        <v>4.4999999999999998E-2</v>
      </c>
      <c r="F642" s="2040">
        <v>8600000</v>
      </c>
      <c r="G642" s="2737"/>
      <c r="H642" s="187"/>
      <c r="I642" s="187"/>
      <c r="J642" s="2560"/>
      <c r="K642" s="2588"/>
      <c r="L642" s="2030"/>
      <c r="M642" s="429"/>
      <c r="N642" s="429"/>
      <c r="O642" s="429"/>
      <c r="P642" s="429"/>
      <c r="Q642" s="429"/>
    </row>
    <row r="643" spans="1:17" ht="30" customHeight="1" x14ac:dyDescent="0.2">
      <c r="A643" s="3451"/>
      <c r="B643" s="3789"/>
      <c r="C643" s="3791"/>
      <c r="D643" s="2040">
        <v>90000000</v>
      </c>
      <c r="E643" s="1269">
        <v>0.06</v>
      </c>
      <c r="F643" s="2040">
        <f>D643*E643</f>
        <v>5400000</v>
      </c>
      <c r="G643" s="2734"/>
      <c r="H643" s="7"/>
      <c r="I643" s="7"/>
      <c r="J643" s="2558"/>
      <c r="K643" s="2584"/>
      <c r="L643" s="2030"/>
      <c r="M643" s="429"/>
      <c r="N643" s="429"/>
      <c r="O643" s="429"/>
      <c r="P643" s="429"/>
      <c r="Q643" s="429"/>
    </row>
    <row r="644" spans="1:17" ht="30" customHeight="1" x14ac:dyDescent="0.2">
      <c r="A644" s="2014"/>
      <c r="B644" s="2028" t="s">
        <v>2332</v>
      </c>
      <c r="C644" s="2029" t="s">
        <v>1378</v>
      </c>
      <c r="D644" s="2040">
        <v>150000000</v>
      </c>
      <c r="E644" s="1269">
        <v>0.05</v>
      </c>
      <c r="F644" s="2040">
        <f>D644*E644</f>
        <v>7500000</v>
      </c>
      <c r="G644" s="482"/>
      <c r="H644" s="2558"/>
      <c r="I644" s="2572" t="s">
        <v>3855</v>
      </c>
      <c r="J644" s="2558">
        <f>G644</f>
        <v>0</v>
      </c>
      <c r="K644" s="2584">
        <f>F644-J644</f>
        <v>7500000</v>
      </c>
      <c r="L644" s="2024"/>
      <c r="M644" s="429"/>
      <c r="N644" s="429"/>
      <c r="O644" s="429"/>
      <c r="P644" s="429"/>
      <c r="Q644" s="429"/>
    </row>
    <row r="645" spans="1:17" ht="30" customHeight="1" x14ac:dyDescent="0.2">
      <c r="A645" s="2014"/>
      <c r="B645" s="2017"/>
      <c r="C645" s="2002"/>
      <c r="D645" s="1992"/>
      <c r="E645" s="2013"/>
      <c r="F645" s="1992"/>
      <c r="G645" s="482"/>
      <c r="H645" s="2558"/>
      <c r="I645" s="2572"/>
      <c r="J645" s="2558"/>
      <c r="K645" s="2584"/>
      <c r="L645" s="2031"/>
      <c r="M645" s="429"/>
      <c r="N645" s="429"/>
      <c r="O645" s="429"/>
      <c r="P645" s="429"/>
      <c r="Q645" s="429"/>
    </row>
    <row r="646" spans="1:17" ht="30" customHeight="1" x14ac:dyDescent="0.2">
      <c r="A646" s="2014"/>
      <c r="B646" s="22" t="s">
        <v>183</v>
      </c>
      <c r="C646" s="2002" t="s">
        <v>2983</v>
      </c>
      <c r="D646" s="1992">
        <v>100000000</v>
      </c>
      <c r="E646" s="2013"/>
      <c r="F646" s="1992"/>
      <c r="G646" s="561"/>
      <c r="H646" s="2552"/>
      <c r="I646" s="2552" t="s">
        <v>3004</v>
      </c>
      <c r="J646" s="2552">
        <f>G646</f>
        <v>0</v>
      </c>
      <c r="K646" s="2584">
        <f>F646-J646</f>
        <v>0</v>
      </c>
      <c r="L646" s="2031"/>
      <c r="M646" s="429"/>
      <c r="N646" s="429"/>
      <c r="O646" s="429"/>
      <c r="P646" s="429"/>
      <c r="Q646" s="429"/>
    </row>
    <row r="647" spans="1:17" ht="30" customHeight="1" x14ac:dyDescent="0.2">
      <c r="A647" s="2014"/>
      <c r="B647" s="2017" t="s">
        <v>3007</v>
      </c>
      <c r="C647" s="2002" t="s">
        <v>1215</v>
      </c>
      <c r="D647" s="1992">
        <v>40000000</v>
      </c>
      <c r="E647" s="2013">
        <v>0.05</v>
      </c>
      <c r="F647" s="1992">
        <f>D647*E647</f>
        <v>2000000</v>
      </c>
      <c r="G647" s="482">
        <v>2000000</v>
      </c>
      <c r="H647" s="2558" t="s">
        <v>4216</v>
      </c>
      <c r="I647" s="2572" t="s">
        <v>4220</v>
      </c>
      <c r="J647" s="2558">
        <f>G647</f>
        <v>2000000</v>
      </c>
      <c r="K647" s="2584">
        <f>F647-J647</f>
        <v>0</v>
      </c>
      <c r="L647" s="2031"/>
      <c r="M647" s="429"/>
      <c r="N647" s="429"/>
      <c r="O647" s="429"/>
      <c r="P647" s="429"/>
      <c r="Q647" s="429"/>
    </row>
    <row r="648" spans="1:17" ht="30" customHeight="1" x14ac:dyDescent="0.2">
      <c r="A648" s="2014"/>
      <c r="B648" s="2017" t="s">
        <v>3013</v>
      </c>
      <c r="C648" s="2002" t="s">
        <v>1817</v>
      </c>
      <c r="D648" s="1992">
        <v>25000000</v>
      </c>
      <c r="E648" s="2013">
        <v>0.04</v>
      </c>
      <c r="F648" s="1992">
        <f>D648*E648</f>
        <v>1000000</v>
      </c>
      <c r="G648" s="482">
        <v>1000000</v>
      </c>
      <c r="H648" s="2558" t="s">
        <v>4201</v>
      </c>
      <c r="I648" s="2572" t="s">
        <v>4203</v>
      </c>
      <c r="J648" s="2558">
        <f>G648</f>
        <v>1000000</v>
      </c>
      <c r="K648" s="2584">
        <f>F648-J648</f>
        <v>0</v>
      </c>
      <c r="L648" s="2031"/>
      <c r="M648" s="429"/>
      <c r="N648" s="429"/>
      <c r="O648" s="429"/>
      <c r="P648" s="429"/>
      <c r="Q648" s="429"/>
    </row>
    <row r="649" spans="1:17" ht="30" customHeight="1" x14ac:dyDescent="0.2">
      <c r="A649" s="2014"/>
      <c r="B649" s="2017" t="s">
        <v>3067</v>
      </c>
      <c r="C649" s="2002"/>
      <c r="D649" s="2233">
        <v>50000000</v>
      </c>
      <c r="E649" s="2234">
        <v>0.05</v>
      </c>
      <c r="F649" s="2233">
        <f>D649*E649</f>
        <v>2500000</v>
      </c>
      <c r="G649" s="482">
        <v>2500000</v>
      </c>
      <c r="H649" s="2558" t="s">
        <v>4184</v>
      </c>
      <c r="I649" s="2572" t="s">
        <v>4234</v>
      </c>
      <c r="J649" s="2558">
        <f t="shared" ref="J649:J661" si="71">G649</f>
        <v>2500000</v>
      </c>
      <c r="K649" s="2584">
        <f>F649-J649</f>
        <v>0</v>
      </c>
      <c r="L649" s="2031"/>
      <c r="M649" s="429"/>
      <c r="N649" s="429"/>
      <c r="O649" s="429"/>
      <c r="P649" s="429"/>
      <c r="Q649" s="429"/>
    </row>
    <row r="650" spans="1:17" ht="30" customHeight="1" x14ac:dyDescent="0.2">
      <c r="A650" s="3450"/>
      <c r="B650" s="3457" t="s">
        <v>3073</v>
      </c>
      <c r="C650" s="3570"/>
      <c r="D650" s="3505"/>
      <c r="E650" s="3507"/>
      <c r="F650" s="3505"/>
      <c r="G650" s="482"/>
      <c r="H650" s="2558"/>
      <c r="I650" s="2572" t="s">
        <v>3566</v>
      </c>
      <c r="J650" s="2558">
        <f t="shared" si="71"/>
        <v>0</v>
      </c>
      <c r="K650" s="2586">
        <f>F650-J650</f>
        <v>0</v>
      </c>
      <c r="L650" s="2031"/>
      <c r="M650" s="429"/>
      <c r="N650" s="429"/>
      <c r="O650" s="429"/>
      <c r="P650" s="429"/>
      <c r="Q650" s="429"/>
    </row>
    <row r="651" spans="1:17" ht="30" customHeight="1" x14ac:dyDescent="0.2">
      <c r="A651" s="3451"/>
      <c r="B651" s="3458"/>
      <c r="C651" s="3571"/>
      <c r="D651" s="3506"/>
      <c r="E651" s="3508"/>
      <c r="F651" s="3506"/>
      <c r="G651" s="482"/>
      <c r="H651" s="2558"/>
      <c r="I651" s="2572" t="s">
        <v>3566</v>
      </c>
      <c r="J651" s="2558">
        <f t="shared" si="71"/>
        <v>0</v>
      </c>
      <c r="K651" s="2586">
        <f>F650-J651</f>
        <v>0</v>
      </c>
      <c r="L651" s="2031"/>
      <c r="M651" s="429"/>
      <c r="N651" s="429"/>
      <c r="O651" s="429"/>
      <c r="P651" s="429"/>
      <c r="Q651" s="429"/>
    </row>
    <row r="652" spans="1:17" ht="30" customHeight="1" x14ac:dyDescent="0.2">
      <c r="A652" s="2014"/>
      <c r="B652" s="2017" t="s">
        <v>3078</v>
      </c>
      <c r="C652" s="2002"/>
      <c r="D652" s="1997"/>
      <c r="E652" s="44"/>
      <c r="F652" s="1997"/>
      <c r="G652" s="482"/>
      <c r="H652" s="2558"/>
      <c r="I652" s="2572"/>
      <c r="J652" s="2558">
        <f t="shared" si="71"/>
        <v>0</v>
      </c>
      <c r="K652" s="2586">
        <f>F652-J652</f>
        <v>0</v>
      </c>
      <c r="L652" s="2031"/>
      <c r="M652" s="429"/>
      <c r="N652" s="429"/>
      <c r="O652" s="429"/>
      <c r="P652" s="429"/>
      <c r="Q652" s="429"/>
    </row>
    <row r="653" spans="1:17" ht="30" customHeight="1" x14ac:dyDescent="0.2">
      <c r="A653" s="3450"/>
      <c r="B653" s="3457" t="s">
        <v>3582</v>
      </c>
      <c r="C653" s="3570" t="s">
        <v>1215</v>
      </c>
      <c r="D653" s="3442">
        <v>180000000</v>
      </c>
      <c r="E653" s="3444">
        <v>5.5E-2</v>
      </c>
      <c r="F653" s="3442">
        <v>10000000</v>
      </c>
      <c r="G653" s="482">
        <v>10000000</v>
      </c>
      <c r="H653" s="2558" t="s">
        <v>1964</v>
      </c>
      <c r="I653" s="2572" t="s">
        <v>4061</v>
      </c>
      <c r="J653" s="2558">
        <f t="shared" si="71"/>
        <v>10000000</v>
      </c>
      <c r="K653" s="2584">
        <f>F653-J653</f>
        <v>0</v>
      </c>
      <c r="L653" s="2031"/>
      <c r="M653" s="429"/>
      <c r="N653" s="429"/>
      <c r="O653" s="429"/>
      <c r="P653" s="429"/>
      <c r="Q653" s="429"/>
    </row>
    <row r="654" spans="1:17" ht="30" customHeight="1" x14ac:dyDescent="0.2">
      <c r="A654" s="3456"/>
      <c r="B654" s="3459"/>
      <c r="C654" s="3576"/>
      <c r="D654" s="3461"/>
      <c r="E654" s="3474"/>
      <c r="F654" s="3461"/>
      <c r="G654" s="482">
        <v>2500000</v>
      </c>
      <c r="H654" s="2558" t="s">
        <v>4068</v>
      </c>
      <c r="I654" s="2572" t="s">
        <v>4069</v>
      </c>
      <c r="J654" s="2558">
        <f>G654</f>
        <v>2500000</v>
      </c>
      <c r="K654" s="2584"/>
      <c r="L654" s="2110" t="s">
        <v>4326</v>
      </c>
      <c r="M654" s="429"/>
      <c r="N654" s="429"/>
      <c r="O654" s="429"/>
      <c r="P654" s="429"/>
      <c r="Q654" s="429"/>
    </row>
    <row r="655" spans="1:17" ht="30" customHeight="1" x14ac:dyDescent="0.2">
      <c r="A655" s="3456"/>
      <c r="B655" s="3459"/>
      <c r="C655" s="3576"/>
      <c r="D655" s="3443"/>
      <c r="E655" s="3445"/>
      <c r="F655" s="3443"/>
      <c r="G655" s="482">
        <v>5437000</v>
      </c>
      <c r="H655" s="2558" t="s">
        <v>3213</v>
      </c>
      <c r="I655" s="2572" t="s">
        <v>3583</v>
      </c>
      <c r="J655" s="2558">
        <f>G655</f>
        <v>5437000</v>
      </c>
      <c r="K655" s="2584"/>
      <c r="L655" s="2207" t="s">
        <v>4327</v>
      </c>
      <c r="M655" s="429"/>
      <c r="N655" s="429"/>
      <c r="O655" s="429"/>
      <c r="P655" s="429"/>
      <c r="Q655" s="429"/>
    </row>
    <row r="656" spans="1:17" ht="30" customHeight="1" x14ac:dyDescent="0.2">
      <c r="A656" s="3456"/>
      <c r="B656" s="3459"/>
      <c r="C656" s="3576"/>
      <c r="D656" s="2724"/>
      <c r="E656" s="2412"/>
      <c r="F656" s="2088"/>
      <c r="G656" s="482">
        <v>10000000</v>
      </c>
      <c r="H656" s="2558" t="s">
        <v>4286</v>
      </c>
      <c r="I656" s="2572" t="s">
        <v>4325</v>
      </c>
      <c r="J656" s="2557">
        <f>G656+G657+G658+G659+G660</f>
        <v>80000000</v>
      </c>
      <c r="K656" s="2583">
        <f>D653-J656</f>
        <v>100000000</v>
      </c>
      <c r="L656" s="3620" t="s">
        <v>4331</v>
      </c>
      <c r="M656" s="429"/>
      <c r="N656" s="429"/>
      <c r="O656" s="429"/>
      <c r="P656" s="429"/>
      <c r="Q656" s="429"/>
    </row>
    <row r="657" spans="1:17" ht="30" customHeight="1" x14ac:dyDescent="0.2">
      <c r="A657" s="3456"/>
      <c r="B657" s="3459"/>
      <c r="C657" s="3576"/>
      <c r="D657" s="2725"/>
      <c r="E657" s="264"/>
      <c r="F657" s="2089"/>
      <c r="G657" s="482">
        <v>10000000</v>
      </c>
      <c r="H657" s="2558" t="s">
        <v>4301</v>
      </c>
      <c r="I657" s="2572" t="s">
        <v>4325</v>
      </c>
      <c r="J657" s="2560"/>
      <c r="K657" s="2588"/>
      <c r="L657" s="3711"/>
      <c r="M657" s="429"/>
      <c r="N657" s="429"/>
      <c r="O657" s="429"/>
      <c r="P657" s="429"/>
      <c r="Q657" s="429"/>
    </row>
    <row r="658" spans="1:17" ht="30" customHeight="1" x14ac:dyDescent="0.2">
      <c r="A658" s="3456"/>
      <c r="B658" s="3459"/>
      <c r="C658" s="3576"/>
      <c r="D658" s="2725"/>
      <c r="E658" s="264"/>
      <c r="F658" s="2089"/>
      <c r="G658" s="482">
        <v>40000000</v>
      </c>
      <c r="H658" s="2558" t="s">
        <v>4306</v>
      </c>
      <c r="I658" s="2572" t="s">
        <v>4325</v>
      </c>
      <c r="J658" s="2560"/>
      <c r="K658" s="2588"/>
      <c r="L658" s="3711"/>
      <c r="M658" s="429"/>
      <c r="N658" s="429"/>
      <c r="O658" s="429"/>
      <c r="P658" s="429"/>
      <c r="Q658" s="429"/>
    </row>
    <row r="659" spans="1:17" ht="30" customHeight="1" x14ac:dyDescent="0.2">
      <c r="A659" s="3456"/>
      <c r="B659" s="3459"/>
      <c r="C659" s="3576"/>
      <c r="D659" s="2725"/>
      <c r="E659" s="264"/>
      <c r="F659" s="2089"/>
      <c r="G659" s="482">
        <v>20000000</v>
      </c>
      <c r="H659" s="2558" t="s">
        <v>4330</v>
      </c>
      <c r="I659" s="2572" t="s">
        <v>4061</v>
      </c>
      <c r="J659" s="2560"/>
      <c r="K659" s="2588"/>
      <c r="L659" s="3711"/>
      <c r="M659" s="429"/>
      <c r="N659" s="429"/>
      <c r="O659" s="429"/>
      <c r="P659" s="429"/>
      <c r="Q659" s="429"/>
    </row>
    <row r="660" spans="1:17" ht="30" customHeight="1" x14ac:dyDescent="0.2">
      <c r="A660" s="3451"/>
      <c r="B660" s="3458"/>
      <c r="C660" s="3571"/>
      <c r="D660" s="2150"/>
      <c r="E660" s="2726"/>
      <c r="F660" s="2090"/>
      <c r="G660" s="482"/>
      <c r="H660" s="2558"/>
      <c r="I660" s="2572"/>
      <c r="J660" s="2558"/>
      <c r="K660" s="2584"/>
      <c r="L660" s="3621"/>
      <c r="M660" s="429"/>
      <c r="N660" s="429"/>
      <c r="O660" s="429"/>
      <c r="P660" s="429"/>
      <c r="Q660" s="429"/>
    </row>
    <row r="661" spans="1:17" ht="30" customHeight="1" x14ac:dyDescent="0.2">
      <c r="A661" s="2014"/>
      <c r="B661" s="2017" t="s">
        <v>3172</v>
      </c>
      <c r="C661" s="2002"/>
      <c r="D661" s="1992">
        <v>30000000</v>
      </c>
      <c r="E661" s="2013">
        <v>0.05</v>
      </c>
      <c r="F661" s="1992">
        <f>D661*E661</f>
        <v>1500000</v>
      </c>
      <c r="G661" s="561">
        <v>1500000</v>
      </c>
      <c r="H661" s="2552" t="s">
        <v>4276</v>
      </c>
      <c r="I661" s="2552" t="s">
        <v>3857</v>
      </c>
      <c r="J661" s="2552">
        <f t="shared" si="71"/>
        <v>1500000</v>
      </c>
      <c r="K661" s="2584">
        <f>F661-J661</f>
        <v>0</v>
      </c>
      <c r="L661" s="2031" t="s">
        <v>3529</v>
      </c>
      <c r="M661" s="429"/>
      <c r="N661" s="429"/>
      <c r="O661" s="429"/>
      <c r="P661" s="429"/>
      <c r="Q661" s="429"/>
    </row>
    <row r="662" spans="1:17" ht="30" customHeight="1" x14ac:dyDescent="0.2">
      <c r="A662" s="2014"/>
      <c r="B662" s="2017" t="s">
        <v>3175</v>
      </c>
      <c r="C662" s="2002"/>
      <c r="D662" s="1992">
        <f>1000000000+19000000</f>
        <v>1019000000</v>
      </c>
      <c r="E662" s="2013">
        <v>7.0000000000000007E-2</v>
      </c>
      <c r="F662" s="1992">
        <f>D662*E662</f>
        <v>71330000</v>
      </c>
      <c r="G662" s="482">
        <f>F662*2</f>
        <v>142660000</v>
      </c>
      <c r="H662" s="2558" t="s">
        <v>4201</v>
      </c>
      <c r="I662" s="2572" t="s">
        <v>4230</v>
      </c>
      <c r="J662" s="2558">
        <f>G662</f>
        <v>142660000</v>
      </c>
      <c r="K662" s="2584">
        <v>0</v>
      </c>
      <c r="L662" s="2031" t="s">
        <v>4231</v>
      </c>
      <c r="M662" s="429"/>
      <c r="N662" s="429"/>
      <c r="O662" s="429"/>
      <c r="P662" s="429"/>
      <c r="Q662" s="429"/>
    </row>
    <row r="663" spans="1:17" ht="30" customHeight="1" x14ac:dyDescent="0.2">
      <c r="A663" s="2014"/>
      <c r="B663" s="2017" t="s">
        <v>3206</v>
      </c>
      <c r="C663" s="2002" t="s">
        <v>916</v>
      </c>
      <c r="D663" s="1992">
        <v>100000000</v>
      </c>
      <c r="E663" s="2013">
        <v>0.05</v>
      </c>
      <c r="F663" s="1992">
        <f>D663*E663</f>
        <v>5000000</v>
      </c>
      <c r="G663" s="482">
        <v>5000000</v>
      </c>
      <c r="H663" s="2558" t="s">
        <v>4105</v>
      </c>
      <c r="I663" s="2572" t="s">
        <v>4106</v>
      </c>
      <c r="J663" s="2558">
        <f>G663</f>
        <v>5000000</v>
      </c>
      <c r="K663" s="2584">
        <f>F663-J663</f>
        <v>0</v>
      </c>
      <c r="L663" s="3615" t="s">
        <v>3207</v>
      </c>
      <c r="M663" s="3616"/>
      <c r="N663" s="3616"/>
      <c r="O663" s="3616"/>
      <c r="P663" s="3617"/>
      <c r="Q663" s="429"/>
    </row>
    <row r="664" spans="1:17" ht="30" customHeight="1" x14ac:dyDescent="0.2">
      <c r="A664" s="3450"/>
      <c r="B664" s="3457" t="s">
        <v>3902</v>
      </c>
      <c r="C664" s="3570"/>
      <c r="D664" s="3442">
        <v>30000000</v>
      </c>
      <c r="E664" s="3444">
        <v>7.0000000000000007E-2</v>
      </c>
      <c r="F664" s="3442">
        <f>D664*E664</f>
        <v>2100000</v>
      </c>
      <c r="G664" s="2780">
        <v>2100000</v>
      </c>
      <c r="H664" s="2557" t="s">
        <v>4276</v>
      </c>
      <c r="I664" s="2557" t="s">
        <v>4283</v>
      </c>
      <c r="J664" s="2557">
        <f>G664</f>
        <v>2100000</v>
      </c>
      <c r="K664" s="2583">
        <f>F664-J664</f>
        <v>0</v>
      </c>
      <c r="L664" s="3620" t="s">
        <v>3256</v>
      </c>
      <c r="M664" s="429"/>
      <c r="N664" s="429"/>
      <c r="O664" s="429"/>
      <c r="P664" s="429"/>
      <c r="Q664" s="429"/>
    </row>
    <row r="665" spans="1:17" ht="30" customHeight="1" x14ac:dyDescent="0.2">
      <c r="A665" s="3451"/>
      <c r="B665" s="3458"/>
      <c r="C665" s="3571"/>
      <c r="D665" s="3443"/>
      <c r="E665" s="3445"/>
      <c r="F665" s="3443"/>
      <c r="G665" s="2734"/>
      <c r="H665" s="2558"/>
      <c r="I665" s="2558"/>
      <c r="J665" s="2558"/>
      <c r="K665" s="2584"/>
      <c r="L665" s="3621"/>
      <c r="M665" s="429"/>
      <c r="N665" s="429"/>
      <c r="O665" s="429"/>
      <c r="P665" s="429"/>
      <c r="Q665" s="429"/>
    </row>
    <row r="666" spans="1:17" ht="30" customHeight="1" x14ac:dyDescent="0.2">
      <c r="A666" s="1984"/>
      <c r="B666" s="1392" t="s">
        <v>4094</v>
      </c>
      <c r="C666" s="2002"/>
      <c r="D666" s="1992">
        <v>200000000</v>
      </c>
      <c r="E666" s="1989">
        <v>0.05</v>
      </c>
      <c r="F666" s="1992">
        <f>D666*E666</f>
        <v>10000000</v>
      </c>
      <c r="G666" s="561">
        <v>10000000</v>
      </c>
      <c r="H666" s="2552" t="s">
        <v>4286</v>
      </c>
      <c r="I666" s="2552" t="s">
        <v>4289</v>
      </c>
      <c r="J666" s="2552">
        <f>G666</f>
        <v>10000000</v>
      </c>
      <c r="K666" s="2584"/>
      <c r="L666" s="2024" t="s">
        <v>3295</v>
      </c>
      <c r="M666" s="429"/>
      <c r="N666" s="429"/>
      <c r="O666" s="429"/>
      <c r="P666" s="429"/>
      <c r="Q666" s="429"/>
    </row>
    <row r="667" spans="1:17" ht="30" customHeight="1" x14ac:dyDescent="0.2">
      <c r="A667" s="1984"/>
      <c r="B667" s="1392" t="s">
        <v>3294</v>
      </c>
      <c r="C667" s="2002"/>
      <c r="D667" s="1992">
        <v>50000000</v>
      </c>
      <c r="E667" s="1989">
        <v>0.05</v>
      </c>
      <c r="F667" s="1992">
        <f>D667*E667</f>
        <v>2500000</v>
      </c>
      <c r="G667" s="561"/>
      <c r="H667" s="2552"/>
      <c r="I667" s="2552"/>
      <c r="J667" s="2552"/>
      <c r="K667" s="2584"/>
      <c r="L667" s="2024" t="s">
        <v>3296</v>
      </c>
      <c r="M667" s="429"/>
      <c r="N667" s="429"/>
      <c r="O667" s="429"/>
      <c r="P667" s="429"/>
      <c r="Q667" s="429"/>
    </row>
    <row r="668" spans="1:17" ht="30" customHeight="1" x14ac:dyDescent="0.2">
      <c r="A668" s="2014"/>
      <c r="B668" s="2007"/>
      <c r="C668" s="1392"/>
      <c r="D668" s="1992"/>
      <c r="E668" s="1992"/>
      <c r="F668" s="1989"/>
      <c r="G668" s="561"/>
      <c r="H668" s="2552"/>
      <c r="I668" s="2552"/>
      <c r="J668" s="2552"/>
      <c r="K668" s="2584"/>
      <c r="L668" s="2031"/>
      <c r="M668" s="429"/>
      <c r="N668" s="429"/>
      <c r="O668" s="429"/>
      <c r="P668" s="429"/>
      <c r="Q668" s="429"/>
    </row>
    <row r="669" spans="1:17" ht="30" customHeight="1" x14ac:dyDescent="0.2">
      <c r="A669" s="153"/>
      <c r="B669" s="2007" t="s">
        <v>3299</v>
      </c>
      <c r="C669" s="1392"/>
      <c r="D669" s="1992">
        <v>500000000</v>
      </c>
      <c r="E669" s="2013">
        <v>0.08</v>
      </c>
      <c r="F669" s="1992">
        <f>D669*E669</f>
        <v>40000000</v>
      </c>
      <c r="G669" s="561"/>
      <c r="H669" s="2552"/>
      <c r="I669" s="2552"/>
      <c r="J669" s="2552"/>
      <c r="K669" s="2584"/>
      <c r="L669" s="2031" t="s">
        <v>3301</v>
      </c>
      <c r="M669" s="429"/>
      <c r="N669" s="429"/>
      <c r="O669" s="429"/>
      <c r="P669" s="429"/>
      <c r="Q669" s="429"/>
    </row>
    <row r="670" spans="1:17" ht="30" customHeight="1" x14ac:dyDescent="0.2">
      <c r="A670" s="3450"/>
      <c r="B670" s="3448" t="s">
        <v>851</v>
      </c>
      <c r="C670" s="1392"/>
      <c r="D670" s="2002"/>
      <c r="E670" s="1992"/>
      <c r="F670" s="1989"/>
      <c r="G670" s="561"/>
      <c r="H670" s="2557"/>
      <c r="I670" s="2557" t="s">
        <v>882</v>
      </c>
      <c r="J670" s="2557">
        <f>G670+G671</f>
        <v>0</v>
      </c>
      <c r="K670" s="2583"/>
      <c r="L670" s="2031" t="s">
        <v>4005</v>
      </c>
      <c r="M670" s="429"/>
      <c r="N670" s="429"/>
      <c r="O670" s="429"/>
      <c r="P670" s="429"/>
      <c r="Q670" s="429"/>
    </row>
    <row r="671" spans="1:17" ht="30" customHeight="1" x14ac:dyDescent="0.2">
      <c r="A671" s="3451"/>
      <c r="B671" s="3449"/>
      <c r="C671" s="1392"/>
      <c r="D671" s="2002"/>
      <c r="E671" s="1992"/>
      <c r="F671" s="1989"/>
      <c r="G671" s="561"/>
      <c r="H671" s="2558"/>
      <c r="I671" s="2558"/>
      <c r="J671" s="2558"/>
      <c r="K671" s="2584"/>
      <c r="L671" s="2031" t="s">
        <v>3638</v>
      </c>
      <c r="M671" s="429"/>
      <c r="N671" s="429"/>
      <c r="O671" s="429"/>
      <c r="P671" s="429"/>
      <c r="Q671" s="429"/>
    </row>
    <row r="672" spans="1:17" ht="30" customHeight="1" x14ac:dyDescent="0.2">
      <c r="A672" s="153"/>
      <c r="B672" s="2007" t="s">
        <v>3350</v>
      </c>
      <c r="C672" s="2002" t="s">
        <v>3351</v>
      </c>
      <c r="D672" s="1992">
        <v>120000000</v>
      </c>
      <c r="E672" s="2013">
        <v>0.04</v>
      </c>
      <c r="F672" s="1992">
        <f>D672*E672</f>
        <v>4800000</v>
      </c>
      <c r="G672" s="561">
        <v>4800000</v>
      </c>
      <c r="H672" s="2552" t="s">
        <v>4249</v>
      </c>
      <c r="I672" s="2552" t="s">
        <v>2066</v>
      </c>
      <c r="J672" s="2552">
        <f>G672</f>
        <v>4800000</v>
      </c>
      <c r="K672" s="2584">
        <f>F672-J672</f>
        <v>0</v>
      </c>
      <c r="L672" s="2031" t="s">
        <v>3352</v>
      </c>
      <c r="M672" s="429"/>
      <c r="N672" s="429"/>
      <c r="O672" s="429"/>
      <c r="P672" s="429"/>
      <c r="Q672" s="429"/>
    </row>
    <row r="673" spans="1:17" ht="30" customHeight="1" x14ac:dyDescent="0.2">
      <c r="A673" s="153"/>
      <c r="B673" s="2007" t="s">
        <v>3353</v>
      </c>
      <c r="C673" s="2002" t="s">
        <v>3354</v>
      </c>
      <c r="D673" s="1992">
        <v>100000000</v>
      </c>
      <c r="E673" s="2013">
        <v>0.05</v>
      </c>
      <c r="F673" s="1992">
        <f>D673*E673</f>
        <v>5000000</v>
      </c>
      <c r="G673" s="561"/>
      <c r="H673" s="2552"/>
      <c r="I673" s="2552"/>
      <c r="J673" s="2552"/>
      <c r="K673" s="2584"/>
      <c r="L673" s="2031" t="s">
        <v>3352</v>
      </c>
      <c r="M673" s="429"/>
      <c r="N673" s="429"/>
      <c r="O673" s="429"/>
      <c r="P673" s="429"/>
      <c r="Q673" s="429"/>
    </row>
    <row r="674" spans="1:17" ht="30" customHeight="1" x14ac:dyDescent="0.2">
      <c r="A674" s="153"/>
      <c r="B674" s="2007" t="s">
        <v>3356</v>
      </c>
      <c r="C674" s="2002" t="s">
        <v>1909</v>
      </c>
      <c r="D674" s="1992">
        <v>50000000</v>
      </c>
      <c r="E674" s="2013">
        <v>0.05</v>
      </c>
      <c r="F674" s="1992">
        <f>D674*E674</f>
        <v>2500000</v>
      </c>
      <c r="G674" s="561">
        <v>2500000</v>
      </c>
      <c r="H674" s="2552" t="s">
        <v>4330</v>
      </c>
      <c r="I674" s="2552" t="s">
        <v>4407</v>
      </c>
      <c r="J674" s="2552">
        <f>G674</f>
        <v>2500000</v>
      </c>
      <c r="K674" s="2584">
        <f>F674-J674</f>
        <v>0</v>
      </c>
      <c r="L674" s="2031" t="s">
        <v>3352</v>
      </c>
      <c r="M674" s="429"/>
      <c r="N674" s="429"/>
      <c r="O674" s="429"/>
      <c r="P674" s="429"/>
      <c r="Q674" s="429"/>
    </row>
    <row r="675" spans="1:17" ht="30" customHeight="1" x14ac:dyDescent="0.2">
      <c r="A675" s="153"/>
      <c r="B675" s="2007" t="s">
        <v>3359</v>
      </c>
      <c r="C675" s="2002"/>
      <c r="D675" s="2026"/>
      <c r="E675" s="44"/>
      <c r="F675" s="1997"/>
      <c r="G675" s="561"/>
      <c r="H675" s="2552"/>
      <c r="I675" s="2552"/>
      <c r="J675" s="2552">
        <f>G675</f>
        <v>0</v>
      </c>
      <c r="K675" s="2586">
        <f>F675-J675</f>
        <v>0</v>
      </c>
      <c r="L675" s="2031" t="s">
        <v>3365</v>
      </c>
      <c r="M675" s="429"/>
      <c r="N675" s="429"/>
      <c r="O675" s="429"/>
      <c r="P675" s="429"/>
      <c r="Q675" s="429"/>
    </row>
    <row r="676" spans="1:17" ht="30" customHeight="1" x14ac:dyDescent="0.2">
      <c r="A676" s="153"/>
      <c r="B676" s="2007" t="s">
        <v>3392</v>
      </c>
      <c r="C676" s="2002" t="s">
        <v>411</v>
      </c>
      <c r="D676" s="1992">
        <v>40000000</v>
      </c>
      <c r="E676" s="2013">
        <v>0.05</v>
      </c>
      <c r="F676" s="1992">
        <f>D676*E676</f>
        <v>2000000</v>
      </c>
      <c r="G676" s="561"/>
      <c r="H676" s="2552"/>
      <c r="I676" s="2093"/>
      <c r="J676" s="2093"/>
      <c r="K676" s="2093"/>
      <c r="L676" s="2031" t="s">
        <v>3429</v>
      </c>
      <c r="M676" s="429"/>
      <c r="N676" s="429"/>
      <c r="O676" s="429"/>
      <c r="P676" s="429"/>
      <c r="Q676" s="429"/>
    </row>
    <row r="677" spans="1:17" ht="30" customHeight="1" x14ac:dyDescent="0.2">
      <c r="A677" s="153"/>
      <c r="B677" s="2007" t="s">
        <v>3428</v>
      </c>
      <c r="C677" s="2007"/>
      <c r="D677" s="1992">
        <v>15000000</v>
      </c>
      <c r="E677" s="2013">
        <v>0.05</v>
      </c>
      <c r="F677" s="1992">
        <f>D677*E677</f>
        <v>750000</v>
      </c>
      <c r="G677" s="561">
        <v>750000</v>
      </c>
      <c r="H677" s="2552" t="s">
        <v>4330</v>
      </c>
      <c r="I677" s="2552" t="s">
        <v>4089</v>
      </c>
      <c r="J677" s="2552">
        <f>G677</f>
        <v>750000</v>
      </c>
      <c r="K677" s="2584">
        <f>F677-J677</f>
        <v>0</v>
      </c>
      <c r="L677" s="2031" t="s">
        <v>4006</v>
      </c>
      <c r="M677" s="429"/>
      <c r="N677" s="429"/>
      <c r="O677" s="429"/>
      <c r="P677" s="429"/>
      <c r="Q677" s="429"/>
    </row>
    <row r="678" spans="1:17" ht="30" customHeight="1" x14ac:dyDescent="0.2">
      <c r="A678" s="2014"/>
      <c r="B678" s="3" t="s">
        <v>3431</v>
      </c>
      <c r="C678" s="2375" t="s">
        <v>971</v>
      </c>
      <c r="D678" s="2369">
        <v>150000000</v>
      </c>
      <c r="E678" s="2379">
        <v>0.05</v>
      </c>
      <c r="F678" s="2369">
        <f>D678*E678</f>
        <v>7500000</v>
      </c>
      <c r="G678" s="561"/>
      <c r="H678" s="2552"/>
      <c r="I678" s="2552" t="s">
        <v>4025</v>
      </c>
      <c r="J678" s="2552">
        <f>G678</f>
        <v>0</v>
      </c>
      <c r="K678" s="2584"/>
      <c r="L678" s="2031"/>
      <c r="M678" s="429"/>
      <c r="N678" s="429"/>
      <c r="O678" s="429"/>
      <c r="P678" s="429"/>
      <c r="Q678" s="429"/>
    </row>
    <row r="679" spans="1:17" ht="30" customHeight="1" x14ac:dyDescent="0.2">
      <c r="A679" s="2014"/>
      <c r="B679" s="3" t="s">
        <v>3443</v>
      </c>
      <c r="C679" s="2002" t="s">
        <v>3458</v>
      </c>
      <c r="D679" s="1992">
        <v>20000000</v>
      </c>
      <c r="E679" s="2013">
        <v>0.05</v>
      </c>
      <c r="F679" s="1992">
        <f>D679*E679</f>
        <v>1000000</v>
      </c>
      <c r="G679" s="561"/>
      <c r="H679" s="2552"/>
      <c r="I679" s="2552" t="s">
        <v>4040</v>
      </c>
      <c r="J679" s="2552">
        <f>G679</f>
        <v>0</v>
      </c>
      <c r="K679" s="2584">
        <f>F679-J679</f>
        <v>1000000</v>
      </c>
      <c r="L679" s="2031" t="s">
        <v>3444</v>
      </c>
      <c r="M679" s="429"/>
      <c r="N679" s="429"/>
      <c r="O679" s="429"/>
      <c r="P679" s="429"/>
      <c r="Q679" s="429"/>
    </row>
    <row r="680" spans="1:17" ht="30" customHeight="1" x14ac:dyDescent="0.2">
      <c r="A680" s="2014"/>
      <c r="B680" s="3" t="s">
        <v>3459</v>
      </c>
      <c r="C680" s="2002" t="s">
        <v>916</v>
      </c>
      <c r="D680" s="1992">
        <v>200000000</v>
      </c>
      <c r="E680" s="2013">
        <v>0.05</v>
      </c>
      <c r="F680" s="1992">
        <f>D680*E680</f>
        <v>10000000</v>
      </c>
      <c r="G680" s="561"/>
      <c r="H680" s="2552"/>
      <c r="I680" s="2552"/>
      <c r="J680" s="2552"/>
      <c r="K680" s="2586"/>
      <c r="L680" s="2031" t="s">
        <v>3460</v>
      </c>
      <c r="M680" s="429"/>
      <c r="N680" s="429"/>
      <c r="O680" s="429"/>
      <c r="P680" s="429"/>
      <c r="Q680" s="429"/>
    </row>
    <row r="681" spans="1:17" ht="30" customHeight="1" x14ac:dyDescent="0.2">
      <c r="A681" s="2014"/>
      <c r="B681" s="3" t="s">
        <v>3467</v>
      </c>
      <c r="C681" s="2007"/>
      <c r="D681" s="2026"/>
      <c r="E681" s="44"/>
      <c r="F681" s="1997"/>
      <c r="G681" s="561"/>
      <c r="H681" s="2552"/>
      <c r="I681" s="2552"/>
      <c r="J681" s="2552">
        <f t="shared" ref="J681:J688" si="72">G681</f>
        <v>0</v>
      </c>
      <c r="K681" s="2586"/>
      <c r="L681" s="2031"/>
      <c r="M681" s="429"/>
      <c r="N681" s="429"/>
      <c r="O681" s="429"/>
      <c r="P681" s="429"/>
      <c r="Q681" s="429"/>
    </row>
    <row r="682" spans="1:17" ht="30" customHeight="1" x14ac:dyDescent="0.2">
      <c r="A682" s="3450"/>
      <c r="B682" s="3448" t="s">
        <v>3531</v>
      </c>
      <c r="C682" s="2002" t="s">
        <v>916</v>
      </c>
      <c r="D682" s="1992">
        <v>1000000000</v>
      </c>
      <c r="E682" s="2013">
        <v>0.06</v>
      </c>
      <c r="F682" s="1992">
        <f>D682*E682</f>
        <v>60000000</v>
      </c>
      <c r="G682" s="482">
        <v>61666000</v>
      </c>
      <c r="H682" s="2558" t="s">
        <v>4079</v>
      </c>
      <c r="I682" s="2572" t="s">
        <v>4080</v>
      </c>
      <c r="J682" s="2558">
        <f t="shared" si="72"/>
        <v>61666000</v>
      </c>
      <c r="K682" s="2584">
        <v>0</v>
      </c>
      <c r="L682" s="2031" t="s">
        <v>3860</v>
      </c>
      <c r="M682" s="429"/>
      <c r="N682" s="429"/>
      <c r="O682" s="429"/>
      <c r="P682" s="429"/>
      <c r="Q682" s="429"/>
    </row>
    <row r="683" spans="1:17" ht="30" customHeight="1" x14ac:dyDescent="0.2">
      <c r="A683" s="3451"/>
      <c r="B683" s="3449"/>
      <c r="C683" s="2002" t="s">
        <v>1353</v>
      </c>
      <c r="D683" s="1992">
        <v>500000000</v>
      </c>
      <c r="E683" s="2013">
        <v>6.5000000000000002E-2</v>
      </c>
      <c r="F683" s="1992">
        <f>D683*E683</f>
        <v>32500000</v>
      </c>
      <c r="G683" s="482">
        <v>32500000</v>
      </c>
      <c r="H683" s="2558" t="s">
        <v>4249</v>
      </c>
      <c r="I683" s="2572" t="s">
        <v>4080</v>
      </c>
      <c r="J683" s="2558">
        <f t="shared" si="72"/>
        <v>32500000</v>
      </c>
      <c r="K683" s="2584">
        <f>F683-J683</f>
        <v>0</v>
      </c>
      <c r="L683" s="2031"/>
      <c r="M683" s="429"/>
      <c r="N683" s="429"/>
      <c r="O683" s="429"/>
      <c r="P683" s="429"/>
      <c r="Q683" s="429"/>
    </row>
    <row r="684" spans="1:17" ht="30" customHeight="1" x14ac:dyDescent="0.2">
      <c r="A684" s="2014"/>
      <c r="B684" s="3" t="s">
        <v>3650</v>
      </c>
      <c r="C684" s="2002"/>
      <c r="D684" s="1997"/>
      <c r="E684" s="44"/>
      <c r="F684" s="1997"/>
      <c r="G684" s="482">
        <v>6000000</v>
      </c>
      <c r="H684" s="2558" t="s">
        <v>4062</v>
      </c>
      <c r="I684" s="2572" t="s">
        <v>696</v>
      </c>
      <c r="J684" s="2558">
        <f t="shared" si="72"/>
        <v>6000000</v>
      </c>
      <c r="K684" s="2586">
        <f>F684-J684</f>
        <v>-6000000</v>
      </c>
      <c r="L684" s="2031"/>
      <c r="M684" s="429"/>
      <c r="N684" s="429"/>
      <c r="O684" s="429"/>
      <c r="P684" s="429"/>
      <c r="Q684" s="429"/>
    </row>
    <row r="685" spans="1:17" ht="30" customHeight="1" x14ac:dyDescent="0.2">
      <c r="A685" s="1982"/>
      <c r="B685" s="2006" t="s">
        <v>3560</v>
      </c>
      <c r="C685" s="2010"/>
      <c r="D685" s="1998"/>
      <c r="E685" s="1999"/>
      <c r="F685" s="1998"/>
      <c r="G685" s="483"/>
      <c r="H685" s="2560"/>
      <c r="I685" s="2589" t="s">
        <v>3561</v>
      </c>
      <c r="J685" s="2560">
        <f t="shared" si="72"/>
        <v>0</v>
      </c>
      <c r="K685" s="1166"/>
      <c r="L685" s="2023"/>
      <c r="M685" s="429"/>
      <c r="N685" s="429"/>
      <c r="O685" s="429"/>
      <c r="P685" s="429"/>
      <c r="Q685" s="429"/>
    </row>
    <row r="686" spans="1:17" s="1593" customFormat="1" ht="30" customHeight="1" x14ac:dyDescent="0.2">
      <c r="A686" s="2014"/>
      <c r="B686" s="3" t="s">
        <v>3591</v>
      </c>
      <c r="C686" s="2016" t="s">
        <v>3619</v>
      </c>
      <c r="D686" s="2009">
        <v>25000000</v>
      </c>
      <c r="E686" s="2013">
        <v>0.05</v>
      </c>
      <c r="F686" s="2009">
        <f t="shared" ref="F686:F693" si="73">D686*E686</f>
        <v>1250000</v>
      </c>
      <c r="G686" s="561">
        <v>1250000</v>
      </c>
      <c r="H686" s="2552" t="s">
        <v>4105</v>
      </c>
      <c r="I686" s="2552" t="s">
        <v>4132</v>
      </c>
      <c r="J686" s="2552">
        <f t="shared" si="72"/>
        <v>1250000</v>
      </c>
      <c r="K686" s="2549">
        <f>F686-J686</f>
        <v>0</v>
      </c>
      <c r="L686" s="2083" t="s">
        <v>3592</v>
      </c>
      <c r="M686" s="430"/>
      <c r="N686" s="430"/>
      <c r="O686" s="430"/>
      <c r="P686" s="430"/>
      <c r="Q686" s="430"/>
    </row>
    <row r="687" spans="1:17" s="196" customFormat="1" ht="30" customHeight="1" x14ac:dyDescent="0.2">
      <c r="A687" s="2014"/>
      <c r="B687" s="3" t="s">
        <v>3595</v>
      </c>
      <c r="C687" s="2016"/>
      <c r="D687" s="2182">
        <v>600000000</v>
      </c>
      <c r="E687" s="44">
        <v>0.06</v>
      </c>
      <c r="F687" s="2182">
        <f t="shared" si="73"/>
        <v>36000000</v>
      </c>
      <c r="G687" s="561">
        <v>51000000</v>
      </c>
      <c r="H687" s="2570" t="s">
        <v>4156</v>
      </c>
      <c r="I687" s="2570" t="s">
        <v>1473</v>
      </c>
      <c r="J687" s="2570">
        <f t="shared" si="72"/>
        <v>51000000</v>
      </c>
      <c r="K687" s="1083">
        <f>F687-J687</f>
        <v>-15000000</v>
      </c>
      <c r="L687" s="2031"/>
      <c r="M687" s="429"/>
      <c r="N687" s="429"/>
      <c r="O687" s="429"/>
      <c r="P687" s="429"/>
      <c r="Q687" s="429"/>
    </row>
    <row r="688" spans="1:17" s="196" customFormat="1" ht="30" customHeight="1" x14ac:dyDescent="0.2">
      <c r="A688" s="3450"/>
      <c r="B688" s="3448" t="s">
        <v>3596</v>
      </c>
      <c r="C688" s="3570" t="s">
        <v>3619</v>
      </c>
      <c r="D688" s="2194">
        <v>140000000</v>
      </c>
      <c r="E688" s="2201">
        <v>0.04</v>
      </c>
      <c r="F688" s="2194">
        <f t="shared" si="73"/>
        <v>5600000</v>
      </c>
      <c r="G688" s="2780">
        <v>5067000</v>
      </c>
      <c r="H688" s="2557" t="s">
        <v>4216</v>
      </c>
      <c r="I688" s="2557" t="s">
        <v>4218</v>
      </c>
      <c r="J688" s="2557">
        <f t="shared" si="72"/>
        <v>5067000</v>
      </c>
      <c r="K688" s="2583">
        <v>0</v>
      </c>
      <c r="L688" s="2205" t="s">
        <v>4217</v>
      </c>
      <c r="M688" s="429"/>
      <c r="N688" s="429"/>
      <c r="O688" s="429"/>
      <c r="P688" s="429"/>
      <c r="Q688" s="429"/>
    </row>
    <row r="689" spans="1:17" s="196" customFormat="1" ht="30" customHeight="1" x14ac:dyDescent="0.2">
      <c r="A689" s="3451"/>
      <c r="B689" s="3449"/>
      <c r="C689" s="3571"/>
      <c r="D689" s="2194">
        <v>80000000</v>
      </c>
      <c r="E689" s="2201">
        <v>0.04</v>
      </c>
      <c r="F689" s="2194">
        <f t="shared" si="73"/>
        <v>3200000</v>
      </c>
      <c r="G689" s="2734"/>
      <c r="H689" s="2558"/>
      <c r="I689" s="2558"/>
      <c r="J689" s="2558"/>
      <c r="K689" s="2584"/>
      <c r="L689" s="2223" t="s">
        <v>3620</v>
      </c>
      <c r="M689" s="429"/>
      <c r="N689" s="429"/>
      <c r="O689" s="429"/>
      <c r="P689" s="429"/>
      <c r="Q689" s="429"/>
    </row>
    <row r="690" spans="1:17" s="196" customFormat="1" ht="30" customHeight="1" x14ac:dyDescent="0.2">
      <c r="A690" s="2014"/>
      <c r="B690" s="3" t="s">
        <v>3616</v>
      </c>
      <c r="C690" s="2016" t="s">
        <v>380</v>
      </c>
      <c r="D690" s="2009">
        <v>85000000</v>
      </c>
      <c r="E690" s="2013">
        <v>7.0000000000000007E-2</v>
      </c>
      <c r="F690" s="2009">
        <f t="shared" si="73"/>
        <v>5950000.0000000009</v>
      </c>
      <c r="G690" s="561"/>
      <c r="H690" s="2552"/>
      <c r="I690" s="2552" t="s">
        <v>3617</v>
      </c>
      <c r="J690" s="2552">
        <f>G690</f>
        <v>0</v>
      </c>
      <c r="K690" s="2549">
        <f>F690-J690</f>
        <v>5950000.0000000009</v>
      </c>
      <c r="L690" s="2031"/>
      <c r="M690" s="429"/>
      <c r="N690" s="429"/>
      <c r="O690" s="429"/>
      <c r="P690" s="429"/>
      <c r="Q690" s="429"/>
    </row>
    <row r="691" spans="1:17" s="196" customFormat="1" ht="30" customHeight="1" x14ac:dyDescent="0.2">
      <c r="A691" s="2014"/>
      <c r="B691" s="3" t="s">
        <v>3618</v>
      </c>
      <c r="C691" s="2016" t="s">
        <v>3619</v>
      </c>
      <c r="D691" s="2009">
        <v>70000000</v>
      </c>
      <c r="E691" s="2013">
        <v>0.05</v>
      </c>
      <c r="F691" s="2009">
        <f t="shared" si="73"/>
        <v>3500000</v>
      </c>
      <c r="G691" s="561">
        <v>3500000</v>
      </c>
      <c r="H691" s="2552" t="s">
        <v>4201</v>
      </c>
      <c r="I691" s="2552" t="s">
        <v>4210</v>
      </c>
      <c r="J691" s="2552">
        <f>G691</f>
        <v>3500000</v>
      </c>
      <c r="K691" s="2549">
        <f>F691-J691</f>
        <v>0</v>
      </c>
      <c r="L691" s="2083" t="s">
        <v>3620</v>
      </c>
      <c r="M691" s="429"/>
      <c r="N691" s="429"/>
      <c r="O691" s="429"/>
      <c r="P691" s="429"/>
      <c r="Q691" s="429"/>
    </row>
    <row r="692" spans="1:17" s="196" customFormat="1" ht="30" customHeight="1" x14ac:dyDescent="0.2">
      <c r="A692" s="2014"/>
      <c r="B692" s="3" t="s">
        <v>4119</v>
      </c>
      <c r="C692" s="2016" t="s">
        <v>916</v>
      </c>
      <c r="D692" s="2121">
        <v>20000000</v>
      </c>
      <c r="E692" s="2126">
        <v>0.05</v>
      </c>
      <c r="F692" s="2121">
        <f t="shared" si="73"/>
        <v>1000000</v>
      </c>
      <c r="G692" s="561">
        <v>1000000</v>
      </c>
      <c r="H692" s="2552" t="s">
        <v>4105</v>
      </c>
      <c r="I692" s="2552" t="s">
        <v>4120</v>
      </c>
      <c r="J692" s="2552">
        <f>G692</f>
        <v>1000000</v>
      </c>
      <c r="K692" s="2549">
        <f>F692-J692</f>
        <v>0</v>
      </c>
      <c r="L692" s="2031" t="s">
        <v>4121</v>
      </c>
      <c r="M692" s="429"/>
      <c r="N692" s="429"/>
      <c r="O692" s="429"/>
      <c r="P692" s="429"/>
      <c r="Q692" s="429"/>
    </row>
    <row r="693" spans="1:17" s="196" customFormat="1" ht="30" customHeight="1" x14ac:dyDescent="0.2">
      <c r="A693" s="2014"/>
      <c r="B693" s="3" t="s">
        <v>3087</v>
      </c>
      <c r="C693" s="2016" t="s">
        <v>411</v>
      </c>
      <c r="D693" s="2009">
        <v>150000000</v>
      </c>
      <c r="E693" s="2013">
        <v>0.06</v>
      </c>
      <c r="F693" s="2009">
        <f t="shared" si="73"/>
        <v>9000000</v>
      </c>
      <c r="G693" s="561">
        <v>9000000</v>
      </c>
      <c r="H693" s="2552" t="s">
        <v>3944</v>
      </c>
      <c r="I693" s="2552" t="s">
        <v>4103</v>
      </c>
      <c r="J693" s="2552">
        <f>G693</f>
        <v>9000000</v>
      </c>
      <c r="K693" s="2552">
        <f>F693-J693</f>
        <v>0</v>
      </c>
      <c r="L693" s="2031"/>
      <c r="M693" s="429"/>
      <c r="N693" s="429"/>
      <c r="O693" s="429"/>
      <c r="P693" s="429"/>
      <c r="Q693" s="429"/>
    </row>
    <row r="694" spans="1:17" s="196" customFormat="1" ht="30" customHeight="1" x14ac:dyDescent="0.2">
      <c r="A694" s="1982"/>
      <c r="B694" s="2003" t="s">
        <v>3667</v>
      </c>
      <c r="C694" s="2025"/>
      <c r="D694" s="1996"/>
      <c r="E694" s="1999"/>
      <c r="F694" s="1996"/>
      <c r="G694" s="2738"/>
      <c r="H694" s="2561"/>
      <c r="I694" s="2561" t="s">
        <v>3669</v>
      </c>
      <c r="J694" s="2561">
        <f>G694</f>
        <v>0</v>
      </c>
      <c r="K694" s="2557"/>
      <c r="L694" s="2023"/>
      <c r="M694" s="429"/>
      <c r="N694" s="429"/>
      <c r="O694" s="429"/>
      <c r="P694" s="429"/>
      <c r="Q694" s="429"/>
    </row>
    <row r="695" spans="1:17" s="9" customFormat="1" ht="30" customHeight="1" x14ac:dyDescent="0.2">
      <c r="A695" s="2032"/>
      <c r="B695" s="2017" t="s">
        <v>156</v>
      </c>
      <c r="C695" s="2016"/>
      <c r="D695" s="2009">
        <v>10000000</v>
      </c>
      <c r="E695" s="2013">
        <v>0.05</v>
      </c>
      <c r="F695" s="2009">
        <f>D695*E695</f>
        <v>500000</v>
      </c>
      <c r="G695" s="561"/>
      <c r="H695" s="2552"/>
      <c r="I695" s="2552"/>
      <c r="J695" s="2552"/>
      <c r="K695" s="2552"/>
      <c r="L695" s="2031" t="s">
        <v>3682</v>
      </c>
      <c r="M695" s="430"/>
      <c r="N695" s="430"/>
      <c r="O695" s="430"/>
      <c r="P695" s="430"/>
      <c r="Q695" s="430"/>
    </row>
    <row r="696" spans="1:17" s="1713" customFormat="1" ht="30" customHeight="1" x14ac:dyDescent="0.2">
      <c r="A696" s="2032"/>
      <c r="B696" s="2145" t="s">
        <v>3691</v>
      </c>
      <c r="C696" s="2142" t="s">
        <v>380</v>
      </c>
      <c r="D696" s="2140">
        <v>10000000</v>
      </c>
      <c r="E696" s="2144">
        <v>0.05</v>
      </c>
      <c r="F696" s="2140">
        <f>D696*E696</f>
        <v>500000</v>
      </c>
      <c r="G696" s="482">
        <v>500000</v>
      </c>
      <c r="H696" s="2558" t="s">
        <v>4156</v>
      </c>
      <c r="I696" s="2572" t="s">
        <v>3692</v>
      </c>
      <c r="J696" s="2558">
        <f>G696</f>
        <v>500000</v>
      </c>
      <c r="K696" s="2558">
        <f>F696-J696</f>
        <v>0</v>
      </c>
      <c r="L696" s="2024"/>
      <c r="M696" s="429"/>
      <c r="N696" s="429"/>
      <c r="O696" s="429"/>
      <c r="P696" s="429"/>
      <c r="Q696" s="429"/>
    </row>
    <row r="697" spans="1:17" s="1713" customFormat="1" ht="30" customHeight="1" x14ac:dyDescent="0.2">
      <c r="A697" s="3525"/>
      <c r="B697" s="3513" t="s">
        <v>3694</v>
      </c>
      <c r="C697" s="3622"/>
      <c r="D697" s="3428"/>
      <c r="E697" s="3428"/>
      <c r="F697" s="3428"/>
      <c r="G697" s="561"/>
      <c r="H697" s="2570"/>
      <c r="I697" s="2570" t="s">
        <v>2922</v>
      </c>
      <c r="J697" s="2561">
        <f>G697+G698</f>
        <v>0</v>
      </c>
      <c r="K697" s="2561">
        <f>F697-J697</f>
        <v>0</v>
      </c>
      <c r="L697" s="3625"/>
      <c r="M697" s="429"/>
      <c r="N697" s="429"/>
      <c r="O697" s="429"/>
      <c r="P697" s="429"/>
      <c r="Q697" s="429"/>
    </row>
    <row r="698" spans="1:17" s="1713" customFormat="1" ht="30" customHeight="1" x14ac:dyDescent="0.2">
      <c r="A698" s="3526"/>
      <c r="B698" s="3514"/>
      <c r="C698" s="3624"/>
      <c r="D698" s="3428"/>
      <c r="E698" s="3428"/>
      <c r="F698" s="3428"/>
      <c r="G698" s="561"/>
      <c r="H698" s="2570"/>
      <c r="I698" s="2570" t="s">
        <v>2922</v>
      </c>
      <c r="J698" s="2562"/>
      <c r="K698" s="2562"/>
      <c r="L698" s="3626"/>
      <c r="M698" s="429"/>
      <c r="N698" s="429"/>
      <c r="O698" s="429"/>
      <c r="P698" s="429"/>
      <c r="Q698" s="429"/>
    </row>
    <row r="699" spans="1:17" s="1713" customFormat="1" ht="30" customHeight="1" x14ac:dyDescent="0.2">
      <c r="A699" s="2032"/>
      <c r="B699" s="2017" t="s">
        <v>3704</v>
      </c>
      <c r="C699" s="2016"/>
      <c r="D699" s="2009">
        <v>6000000</v>
      </c>
      <c r="E699" s="2013">
        <f>F699/D699</f>
        <v>0.05</v>
      </c>
      <c r="F699" s="2009">
        <v>300000</v>
      </c>
      <c r="G699" s="561">
        <v>1000000</v>
      </c>
      <c r="H699" s="2552" t="s">
        <v>4216</v>
      </c>
      <c r="I699" s="2552" t="s">
        <v>3705</v>
      </c>
      <c r="J699" s="2552">
        <f>G699</f>
        <v>1000000</v>
      </c>
      <c r="K699" s="2552">
        <f>F699-J699</f>
        <v>-700000</v>
      </c>
      <c r="L699" s="1714" t="s">
        <v>3706</v>
      </c>
      <c r="M699" s="429"/>
      <c r="N699" s="429"/>
      <c r="O699" s="429"/>
      <c r="P699" s="429"/>
      <c r="Q699" s="429"/>
    </row>
    <row r="700" spans="1:17" s="1713" customFormat="1" ht="30" customHeight="1" x14ac:dyDescent="0.2">
      <c r="A700" s="2032"/>
      <c r="B700" s="2017" t="s">
        <v>3728</v>
      </c>
      <c r="C700" s="2016"/>
      <c r="D700" s="2009">
        <v>870000000</v>
      </c>
      <c r="E700" s="2013">
        <v>7.0999999999999994E-2</v>
      </c>
      <c r="F700" s="2009">
        <v>62000000</v>
      </c>
      <c r="G700" s="561">
        <v>61000000</v>
      </c>
      <c r="H700" s="2552" t="s">
        <v>4216</v>
      </c>
      <c r="I700" s="2552" t="s">
        <v>1703</v>
      </c>
      <c r="J700" s="2552">
        <f>G700</f>
        <v>61000000</v>
      </c>
      <c r="K700" s="2552">
        <f>F700-J700</f>
        <v>1000000</v>
      </c>
      <c r="L700" s="2024" t="s">
        <v>4238</v>
      </c>
      <c r="M700" s="429"/>
      <c r="N700" s="429"/>
      <c r="O700" s="429"/>
      <c r="P700" s="429"/>
      <c r="Q700" s="429"/>
    </row>
    <row r="701" spans="1:17" s="1713" customFormat="1" ht="30" customHeight="1" x14ac:dyDescent="0.2">
      <c r="A701" s="3525"/>
      <c r="B701" s="3457" t="s">
        <v>3735</v>
      </c>
      <c r="C701" s="3570" t="s">
        <v>916</v>
      </c>
      <c r="D701" s="3442">
        <v>200000000</v>
      </c>
      <c r="E701" s="3444">
        <v>0.05</v>
      </c>
      <c r="F701" s="3442">
        <f>D701*E701</f>
        <v>10000000</v>
      </c>
      <c r="G701" s="2780">
        <v>10000000</v>
      </c>
      <c r="H701" s="2557" t="s">
        <v>4062</v>
      </c>
      <c r="I701" s="2557" t="s">
        <v>3736</v>
      </c>
      <c r="J701" s="2557">
        <f>G701</f>
        <v>10000000</v>
      </c>
      <c r="K701" s="2557">
        <f>F701-J701</f>
        <v>0</v>
      </c>
      <c r="L701" s="2024" t="s">
        <v>3985</v>
      </c>
      <c r="M701" s="429"/>
      <c r="N701" s="429"/>
      <c r="O701" s="429"/>
      <c r="P701" s="429"/>
      <c r="Q701" s="429"/>
    </row>
    <row r="702" spans="1:17" s="1713" customFormat="1" ht="30" customHeight="1" x14ac:dyDescent="0.2">
      <c r="A702" s="3526"/>
      <c r="B702" s="3458"/>
      <c r="C702" s="3571"/>
      <c r="D702" s="3443"/>
      <c r="E702" s="3445"/>
      <c r="F702" s="3443"/>
      <c r="G702" s="2734"/>
      <c r="H702" s="2558"/>
      <c r="I702" s="2558"/>
      <c r="J702" s="2558"/>
      <c r="K702" s="2558"/>
      <c r="L702" s="2072" t="s">
        <v>3737</v>
      </c>
      <c r="M702" s="429"/>
      <c r="N702" s="429"/>
      <c r="O702" s="429"/>
      <c r="P702" s="429"/>
      <c r="Q702" s="429"/>
    </row>
    <row r="703" spans="1:17" s="1713" customFormat="1" ht="30" customHeight="1" x14ac:dyDescent="0.2">
      <c r="A703" s="2032"/>
      <c r="B703" s="2017" t="s">
        <v>3750</v>
      </c>
      <c r="C703" s="2016" t="s">
        <v>2408</v>
      </c>
      <c r="D703" s="2009">
        <v>100000000</v>
      </c>
      <c r="E703" s="2013">
        <v>0.05</v>
      </c>
      <c r="F703" s="2009">
        <f>D703*E703</f>
        <v>5000000</v>
      </c>
      <c r="G703" s="561">
        <v>5000000</v>
      </c>
      <c r="H703" s="2552" t="s">
        <v>4249</v>
      </c>
      <c r="I703" s="2552" t="s">
        <v>4267</v>
      </c>
      <c r="J703" s="2552">
        <f>G703</f>
        <v>5000000</v>
      </c>
      <c r="K703" s="2552">
        <f>F703-J703</f>
        <v>0</v>
      </c>
      <c r="L703" s="2072" t="s">
        <v>3352</v>
      </c>
      <c r="M703" s="429"/>
      <c r="N703" s="429"/>
      <c r="O703" s="429"/>
      <c r="P703" s="429"/>
      <c r="Q703" s="429"/>
    </row>
    <row r="704" spans="1:17" s="1713" customFormat="1" ht="30" customHeight="1" x14ac:dyDescent="0.2">
      <c r="A704" s="2032"/>
      <c r="B704" s="2017" t="s">
        <v>4196</v>
      </c>
      <c r="C704" s="2016" t="s">
        <v>2408</v>
      </c>
      <c r="D704" s="2009">
        <v>130000000</v>
      </c>
      <c r="E704" s="2013">
        <v>0.05</v>
      </c>
      <c r="F704" s="2009">
        <f>D704*E704</f>
        <v>6500000</v>
      </c>
      <c r="G704" s="561">
        <v>6500000</v>
      </c>
      <c r="H704" s="2552" t="s">
        <v>4249</v>
      </c>
      <c r="I704" s="2552" t="s">
        <v>3914</v>
      </c>
      <c r="J704" s="2552">
        <f>G704</f>
        <v>6500000</v>
      </c>
      <c r="K704" s="2552">
        <f>F704-J704</f>
        <v>0</v>
      </c>
      <c r="L704" s="2072" t="s">
        <v>3352</v>
      </c>
      <c r="M704" s="429"/>
      <c r="N704" s="429"/>
      <c r="O704" s="429"/>
      <c r="P704" s="429"/>
      <c r="Q704" s="429"/>
    </row>
    <row r="705" spans="1:17" s="1713" customFormat="1" ht="30" customHeight="1" x14ac:dyDescent="0.2">
      <c r="A705" s="3525"/>
      <c r="B705" s="3457" t="s">
        <v>3812</v>
      </c>
      <c r="C705" s="3570"/>
      <c r="D705" s="2009">
        <v>1140000000</v>
      </c>
      <c r="E705" s="2013">
        <v>7.0000000000000007E-2</v>
      </c>
      <c r="F705" s="2009">
        <f>D705*E705</f>
        <v>79800000.000000015</v>
      </c>
      <c r="G705" s="561">
        <v>50000000</v>
      </c>
      <c r="H705" s="2552" t="s">
        <v>4286</v>
      </c>
      <c r="I705" s="2552" t="s">
        <v>1706</v>
      </c>
      <c r="J705" s="2557">
        <f>G705+G706</f>
        <v>91000000</v>
      </c>
      <c r="K705" s="2557">
        <f>F706-J705</f>
        <v>0</v>
      </c>
      <c r="L705" s="2024" t="s">
        <v>4058</v>
      </c>
      <c r="M705" s="429"/>
      <c r="N705" s="429"/>
      <c r="O705" s="429"/>
      <c r="P705" s="429"/>
      <c r="Q705" s="429"/>
    </row>
    <row r="706" spans="1:17" s="1713" customFormat="1" ht="30" customHeight="1" x14ac:dyDescent="0.2">
      <c r="A706" s="3526"/>
      <c r="B706" s="3458"/>
      <c r="C706" s="3571"/>
      <c r="D706" s="2281">
        <v>1300000000</v>
      </c>
      <c r="E706" s="479">
        <v>7.0000000000000007E-2</v>
      </c>
      <c r="F706" s="2281">
        <f>D706*E706</f>
        <v>91000000.000000015</v>
      </c>
      <c r="G706" s="561">
        <v>41000000</v>
      </c>
      <c r="H706" s="2552" t="s">
        <v>4306</v>
      </c>
      <c r="I706" s="2552" t="s">
        <v>1706</v>
      </c>
      <c r="J706" s="2558"/>
      <c r="K706" s="2558"/>
      <c r="L706" s="2024" t="s">
        <v>3847</v>
      </c>
      <c r="M706" s="429"/>
      <c r="N706" s="429"/>
      <c r="O706" s="429"/>
      <c r="P706" s="429"/>
      <c r="Q706" s="429"/>
    </row>
    <row r="707" spans="1:17" s="1713" customFormat="1" ht="30" customHeight="1" x14ac:dyDescent="0.2">
      <c r="A707" s="2032"/>
      <c r="B707" s="2017" t="s">
        <v>3845</v>
      </c>
      <c r="C707" s="2016" t="s">
        <v>3526</v>
      </c>
      <c r="D707" s="2009">
        <v>10000000</v>
      </c>
      <c r="E707" s="2292">
        <v>0.05</v>
      </c>
      <c r="F707" s="2282">
        <f>D707*E707</f>
        <v>500000</v>
      </c>
      <c r="G707" s="561">
        <v>500000</v>
      </c>
      <c r="H707" s="2552" t="s">
        <v>4286</v>
      </c>
      <c r="I707" s="2552" t="s">
        <v>4296</v>
      </c>
      <c r="J707" s="2552">
        <f>G707</f>
        <v>500000</v>
      </c>
      <c r="K707" s="2552">
        <f>F707-J707</f>
        <v>0</v>
      </c>
      <c r="L707" s="2024" t="s">
        <v>3846</v>
      </c>
      <c r="M707" s="429"/>
      <c r="N707" s="429"/>
      <c r="O707" s="429"/>
      <c r="P707" s="429"/>
      <c r="Q707" s="429"/>
    </row>
    <row r="708" spans="1:17" s="1713" customFormat="1" ht="30" customHeight="1" x14ac:dyDescent="0.2">
      <c r="A708" s="2032"/>
      <c r="B708" s="2017" t="s">
        <v>3848</v>
      </c>
      <c r="C708" s="2016" t="s">
        <v>1746</v>
      </c>
      <c r="D708" s="2009">
        <v>58000000</v>
      </c>
      <c r="E708" s="2013"/>
      <c r="F708" s="2009"/>
      <c r="G708" s="561"/>
      <c r="H708" s="2552"/>
      <c r="I708" s="2552"/>
      <c r="J708" s="2552"/>
      <c r="K708" s="2552"/>
      <c r="L708" s="2024" t="s">
        <v>3849</v>
      </c>
      <c r="M708" s="429"/>
      <c r="N708" s="429"/>
      <c r="O708" s="429"/>
      <c r="P708" s="429"/>
      <c r="Q708" s="429"/>
    </row>
    <row r="709" spans="1:17" s="1713" customFormat="1" ht="30" customHeight="1" x14ac:dyDescent="0.2">
      <c r="A709" s="2032"/>
      <c r="B709" s="2017" t="s">
        <v>3880</v>
      </c>
      <c r="C709" s="2016" t="s">
        <v>1355</v>
      </c>
      <c r="D709" s="2009">
        <v>100000000</v>
      </c>
      <c r="E709" s="2013">
        <v>0.05</v>
      </c>
      <c r="F709" s="2009">
        <f>D709*E709</f>
        <v>5000000</v>
      </c>
      <c r="G709" s="561">
        <v>5000000</v>
      </c>
      <c r="H709" s="2552" t="s">
        <v>3213</v>
      </c>
      <c r="I709" s="2552" t="s">
        <v>4193</v>
      </c>
      <c r="J709" s="2552">
        <f>G709</f>
        <v>5000000</v>
      </c>
      <c r="K709" s="2552">
        <f>F709-J709</f>
        <v>0</v>
      </c>
      <c r="L709" s="2072" t="s">
        <v>4195</v>
      </c>
      <c r="M709" s="429"/>
      <c r="N709" s="429"/>
      <c r="O709" s="429"/>
      <c r="P709" s="429"/>
      <c r="Q709" s="429"/>
    </row>
    <row r="710" spans="1:17" s="1713" customFormat="1" ht="30" customHeight="1" x14ac:dyDescent="0.2">
      <c r="A710" s="2032"/>
      <c r="B710" s="2017" t="s">
        <v>3881</v>
      </c>
      <c r="C710" s="2002"/>
      <c r="D710" s="1992">
        <v>96000000</v>
      </c>
      <c r="E710" s="1989">
        <v>0.05</v>
      </c>
      <c r="F710" s="1992">
        <v>5000000</v>
      </c>
      <c r="G710" s="561">
        <v>5000000</v>
      </c>
      <c r="H710" s="2552" t="s">
        <v>3213</v>
      </c>
      <c r="I710" s="2552" t="s">
        <v>4194</v>
      </c>
      <c r="J710" s="2552">
        <f>G710</f>
        <v>5000000</v>
      </c>
      <c r="K710" s="2552">
        <f>F710-J710</f>
        <v>0</v>
      </c>
      <c r="L710" s="2205" t="s">
        <v>4195</v>
      </c>
      <c r="M710" s="429"/>
      <c r="N710" s="429"/>
      <c r="O710" s="429"/>
      <c r="P710" s="429"/>
      <c r="Q710" s="429"/>
    </row>
    <row r="711" spans="1:17" s="1713" customFormat="1" ht="30" customHeight="1" x14ac:dyDescent="0.2">
      <c r="A711" s="2032"/>
      <c r="B711" s="2017" t="s">
        <v>4007</v>
      </c>
      <c r="C711" s="2016" t="s">
        <v>3354</v>
      </c>
      <c r="D711" s="1992">
        <v>100000000</v>
      </c>
      <c r="E711" s="1989">
        <v>0.06</v>
      </c>
      <c r="F711" s="1992">
        <f>D711*E711</f>
        <v>6000000</v>
      </c>
      <c r="G711" s="482"/>
      <c r="H711" s="2558"/>
      <c r="I711" s="2572"/>
      <c r="J711" s="2558"/>
      <c r="K711" s="2558"/>
      <c r="L711" s="2024" t="s">
        <v>4010</v>
      </c>
      <c r="M711" s="429"/>
      <c r="N711" s="429"/>
      <c r="O711" s="429"/>
      <c r="P711" s="429"/>
      <c r="Q711" s="429"/>
    </row>
    <row r="712" spans="1:17" s="1713" customFormat="1" ht="30" customHeight="1" x14ac:dyDescent="0.2">
      <c r="A712" s="2032"/>
      <c r="B712" s="2017" t="s">
        <v>4009</v>
      </c>
      <c r="C712" s="2016" t="s">
        <v>3526</v>
      </c>
      <c r="D712" s="2009">
        <v>50000000</v>
      </c>
      <c r="E712" s="1989">
        <v>0.05</v>
      </c>
      <c r="F712" s="1992">
        <f>D712*E712</f>
        <v>2500000</v>
      </c>
      <c r="G712" s="482"/>
      <c r="H712" s="2558"/>
      <c r="I712" s="2572"/>
      <c r="J712" s="2558"/>
      <c r="K712" s="2558"/>
      <c r="L712" s="2024"/>
      <c r="M712" s="429"/>
      <c r="N712" s="429"/>
      <c r="O712" s="429"/>
      <c r="P712" s="429"/>
      <c r="Q712" s="429"/>
    </row>
    <row r="713" spans="1:17" s="1713" customFormat="1" ht="30" customHeight="1" x14ac:dyDescent="0.2">
      <c r="A713" s="2032"/>
      <c r="B713" s="2017" t="s">
        <v>4028</v>
      </c>
      <c r="C713" s="2016"/>
      <c r="D713" s="2008"/>
      <c r="E713" s="2008"/>
      <c r="F713" s="2008"/>
      <c r="G713" s="482"/>
      <c r="H713" s="2558"/>
      <c r="I713" s="2572" t="s">
        <v>4029</v>
      </c>
      <c r="J713" s="2558">
        <f>G713</f>
        <v>0</v>
      </c>
      <c r="K713" s="2558">
        <f>F713-J713</f>
        <v>0</v>
      </c>
      <c r="L713" s="2024"/>
      <c r="M713" s="429"/>
      <c r="N713" s="429"/>
      <c r="O713" s="429"/>
      <c r="P713" s="429"/>
      <c r="Q713" s="429"/>
    </row>
    <row r="714" spans="1:17" s="1713" customFormat="1" ht="30" customHeight="1" x14ac:dyDescent="0.2">
      <c r="A714" s="3525"/>
      <c r="B714" s="3457" t="s">
        <v>4034</v>
      </c>
      <c r="C714" s="2016" t="s">
        <v>4247</v>
      </c>
      <c r="D714" s="2009">
        <v>120000000</v>
      </c>
      <c r="E714" s="1989">
        <v>0.05</v>
      </c>
      <c r="F714" s="1992">
        <f>D714*E714</f>
        <v>6000000</v>
      </c>
      <c r="G714" s="2728"/>
      <c r="H714" s="247"/>
      <c r="I714" s="247"/>
      <c r="J714" s="247"/>
      <c r="K714" s="2558"/>
      <c r="L714" s="2024" t="s">
        <v>4036</v>
      </c>
      <c r="M714" s="429"/>
      <c r="N714" s="429"/>
      <c r="O714" s="429"/>
      <c r="P714" s="429"/>
      <c r="Q714" s="429"/>
    </row>
    <row r="715" spans="1:17" s="1713" customFormat="1" ht="30" customHeight="1" x14ac:dyDescent="0.2">
      <c r="A715" s="3526"/>
      <c r="B715" s="3458"/>
      <c r="C715" s="2291"/>
      <c r="D715" s="2286">
        <v>50000000</v>
      </c>
      <c r="E715" s="2284">
        <v>7.0000000000000007E-2</v>
      </c>
      <c r="F715" s="2286">
        <f>D715*E715</f>
        <v>3500000.0000000005</v>
      </c>
      <c r="G715" s="2734"/>
      <c r="H715" s="7"/>
      <c r="I715" s="2150"/>
      <c r="J715" s="7"/>
      <c r="K715" s="2558"/>
      <c r="L715" s="2349" t="s">
        <v>4358</v>
      </c>
      <c r="M715" s="429"/>
      <c r="N715" s="429"/>
      <c r="O715" s="429"/>
      <c r="P715" s="429"/>
      <c r="Q715" s="429"/>
    </row>
    <row r="716" spans="1:17" s="1713" customFormat="1" ht="30" customHeight="1" x14ac:dyDescent="0.2">
      <c r="A716" s="2109"/>
      <c r="B716" s="117" t="s">
        <v>4070</v>
      </c>
      <c r="C716" s="2103"/>
      <c r="D716" s="2099"/>
      <c r="E716" s="2100"/>
      <c r="F716" s="2099"/>
      <c r="G716" s="482">
        <v>1105000</v>
      </c>
      <c r="H716" s="2558" t="s">
        <v>4071</v>
      </c>
      <c r="I716" s="2572" t="s">
        <v>4072</v>
      </c>
      <c r="J716" s="2558">
        <f>G716</f>
        <v>1105000</v>
      </c>
      <c r="K716" s="2558"/>
      <c r="L716" s="2104"/>
      <c r="M716" s="429"/>
      <c r="N716" s="429"/>
      <c r="O716" s="429"/>
      <c r="P716" s="429"/>
      <c r="Q716" s="429"/>
    </row>
    <row r="717" spans="1:17" s="1713" customFormat="1" ht="30" customHeight="1" x14ac:dyDescent="0.2">
      <c r="A717" s="2109"/>
      <c r="B717" s="117" t="s">
        <v>4074</v>
      </c>
      <c r="C717" s="2103"/>
      <c r="D717" s="2099"/>
      <c r="E717" s="2100"/>
      <c r="F717" s="2099"/>
      <c r="G717" s="482">
        <v>1100000</v>
      </c>
      <c r="H717" s="2558" t="s">
        <v>1263</v>
      </c>
      <c r="I717" s="2572" t="s">
        <v>4075</v>
      </c>
      <c r="J717" s="2558">
        <f>G717</f>
        <v>1100000</v>
      </c>
      <c r="K717" s="2558"/>
      <c r="L717" s="2104"/>
      <c r="M717" s="429"/>
      <c r="N717" s="429"/>
      <c r="O717" s="429"/>
      <c r="P717" s="429"/>
      <c r="Q717" s="429"/>
    </row>
    <row r="718" spans="1:17" s="1713" customFormat="1" ht="30" customHeight="1" x14ac:dyDescent="0.2">
      <c r="A718" s="2109"/>
      <c r="B718" s="2240" t="s">
        <v>4096</v>
      </c>
      <c r="C718" s="2238"/>
      <c r="D718" s="2237">
        <v>50000000</v>
      </c>
      <c r="E718" s="2236">
        <v>0.05</v>
      </c>
      <c r="F718" s="2237">
        <f>D718*E718</f>
        <v>2500000</v>
      </c>
      <c r="G718" s="482">
        <v>2500000</v>
      </c>
      <c r="H718" s="2558" t="s">
        <v>4249</v>
      </c>
      <c r="I718" s="2572" t="s">
        <v>4263</v>
      </c>
      <c r="J718" s="2558">
        <f>G718</f>
        <v>2500000</v>
      </c>
      <c r="K718" s="2558"/>
      <c r="L718" s="2104"/>
      <c r="M718" s="429"/>
      <c r="N718" s="429"/>
      <c r="O718" s="429"/>
      <c r="P718" s="429"/>
      <c r="Q718" s="429"/>
    </row>
    <row r="719" spans="1:17" s="1713" customFormat="1" ht="30" customHeight="1" x14ac:dyDescent="0.2">
      <c r="A719" s="2109"/>
      <c r="B719" s="2120" t="s">
        <v>4101</v>
      </c>
      <c r="C719" s="2119"/>
      <c r="D719" s="2118">
        <f>25000000+10000000+10000000+250000+2500000+1500000+500000</f>
        <v>49750000</v>
      </c>
      <c r="E719" s="2117"/>
      <c r="F719" s="2118"/>
      <c r="G719" s="482"/>
      <c r="H719" s="2558"/>
      <c r="I719" s="2572"/>
      <c r="J719" s="2558"/>
      <c r="K719" s="2558"/>
      <c r="L719" s="2104" t="s">
        <v>4102</v>
      </c>
      <c r="M719" s="429"/>
      <c r="N719" s="429"/>
      <c r="O719" s="429"/>
      <c r="P719" s="429"/>
      <c r="Q719" s="429"/>
    </row>
    <row r="720" spans="1:17" s="1713" customFormat="1" ht="30" customHeight="1" x14ac:dyDescent="0.2">
      <c r="A720" s="2109"/>
      <c r="B720" s="2127" t="s">
        <v>4104</v>
      </c>
      <c r="C720" s="2125" t="s">
        <v>1746</v>
      </c>
      <c r="D720" s="2123">
        <v>58000000</v>
      </c>
      <c r="E720" s="2122">
        <v>0.05</v>
      </c>
      <c r="F720" s="2123">
        <f>D720*E720</f>
        <v>2900000</v>
      </c>
      <c r="G720" s="482">
        <v>2900000</v>
      </c>
      <c r="H720" s="2558" t="s">
        <v>4133</v>
      </c>
      <c r="I720" s="2572" t="s">
        <v>4136</v>
      </c>
      <c r="J720" s="2558">
        <f>G720</f>
        <v>2900000</v>
      </c>
      <c r="K720" s="2558">
        <f>F720-J720</f>
        <v>0</v>
      </c>
      <c r="L720" s="2104"/>
      <c r="M720" s="429"/>
      <c r="N720" s="429"/>
      <c r="O720" s="429"/>
      <c r="P720" s="429"/>
      <c r="Q720" s="429"/>
    </row>
    <row r="721" spans="1:17" s="1713" customFormat="1" ht="30" customHeight="1" x14ac:dyDescent="0.2">
      <c r="A721" s="2176"/>
      <c r="B721" s="2173" t="s">
        <v>925</v>
      </c>
      <c r="C721" s="2167"/>
      <c r="D721" s="2309">
        <v>130000000</v>
      </c>
      <c r="E721" s="2306">
        <v>0.05</v>
      </c>
      <c r="F721" s="2309">
        <f>D721*E721</f>
        <v>6500000</v>
      </c>
      <c r="G721" s="482">
        <v>6500000</v>
      </c>
      <c r="H721" s="2558" t="s">
        <v>4105</v>
      </c>
      <c r="I721" s="2572" t="s">
        <v>4127</v>
      </c>
      <c r="J721" s="2558">
        <f>G721</f>
        <v>6500000</v>
      </c>
      <c r="K721" s="2558">
        <f>F721-J721</f>
        <v>0</v>
      </c>
      <c r="L721" s="2169"/>
      <c r="M721" s="429"/>
      <c r="N721" s="429"/>
      <c r="O721" s="429"/>
      <c r="P721" s="429"/>
      <c r="Q721" s="429"/>
    </row>
    <row r="722" spans="1:17" s="1713" customFormat="1" ht="30" customHeight="1" x14ac:dyDescent="0.2">
      <c r="A722" s="2176"/>
      <c r="B722" s="2173" t="s">
        <v>2435</v>
      </c>
      <c r="C722" s="2167"/>
      <c r="D722" s="2164"/>
      <c r="E722" s="2165"/>
      <c r="F722" s="2164"/>
      <c r="G722" s="482">
        <v>5000000</v>
      </c>
      <c r="H722" s="2558" t="s">
        <v>4105</v>
      </c>
      <c r="I722" s="2572" t="s">
        <v>4134</v>
      </c>
      <c r="J722" s="2558">
        <f>G722</f>
        <v>5000000</v>
      </c>
      <c r="K722" s="2558"/>
      <c r="L722" s="2169"/>
      <c r="M722" s="429"/>
      <c r="N722" s="429"/>
      <c r="O722" s="429"/>
      <c r="P722" s="429"/>
      <c r="Q722" s="429"/>
    </row>
    <row r="723" spans="1:17" s="1713" customFormat="1" ht="30" customHeight="1" x14ac:dyDescent="0.2">
      <c r="A723" s="2176"/>
      <c r="B723" s="2173" t="s">
        <v>4154</v>
      </c>
      <c r="C723" s="2167"/>
      <c r="D723" s="2164"/>
      <c r="E723" s="2165"/>
      <c r="F723" s="2164"/>
      <c r="G723" s="1452"/>
      <c r="H723" s="1716"/>
      <c r="I723" s="1716"/>
      <c r="J723" s="1658"/>
      <c r="K723" s="2558"/>
      <c r="L723" s="2169"/>
      <c r="M723" s="429"/>
      <c r="N723" s="429"/>
      <c r="O723" s="429"/>
      <c r="P723" s="429"/>
      <c r="Q723" s="429"/>
    </row>
    <row r="724" spans="1:17" s="1713" customFormat="1" ht="30" customHeight="1" x14ac:dyDescent="0.2">
      <c r="A724" s="2176"/>
      <c r="B724" s="2173" t="s">
        <v>4165</v>
      </c>
      <c r="C724" s="2167"/>
      <c r="D724" s="2180">
        <v>110000000</v>
      </c>
      <c r="E724" s="2179">
        <v>0.04</v>
      </c>
      <c r="F724" s="2180">
        <f>D724*E724</f>
        <v>4400000</v>
      </c>
      <c r="G724" s="482">
        <v>4400000</v>
      </c>
      <c r="H724" s="2558" t="s">
        <v>4156</v>
      </c>
      <c r="I724" s="2572" t="s">
        <v>3605</v>
      </c>
      <c r="J724" s="2558">
        <f>G724</f>
        <v>4400000</v>
      </c>
      <c r="K724" s="2558">
        <f>F724-J724</f>
        <v>0</v>
      </c>
      <c r="L724" s="2169" t="s">
        <v>4166</v>
      </c>
      <c r="M724" s="429"/>
      <c r="N724" s="429"/>
      <c r="O724" s="429"/>
      <c r="P724" s="429"/>
      <c r="Q724" s="429"/>
    </row>
    <row r="725" spans="1:17" s="1713" customFormat="1" ht="30" customHeight="1" x14ac:dyDescent="0.2">
      <c r="A725" s="2176"/>
      <c r="B725" s="2202" t="s">
        <v>1543</v>
      </c>
      <c r="C725" s="2198"/>
      <c r="D725" s="2197">
        <v>50000000</v>
      </c>
      <c r="E725" s="2196">
        <v>0.05</v>
      </c>
      <c r="F725" s="2197">
        <f>D725*E725</f>
        <v>2500000</v>
      </c>
      <c r="G725" s="1452"/>
      <c r="H725" s="1716"/>
      <c r="I725" s="1716"/>
      <c r="J725" s="1658"/>
      <c r="K725" s="2558"/>
      <c r="L725" s="2169"/>
      <c r="M725" s="429"/>
      <c r="N725" s="429"/>
      <c r="O725" s="429"/>
      <c r="P725" s="429"/>
      <c r="Q725" s="429"/>
    </row>
    <row r="726" spans="1:17" s="1713" customFormat="1" ht="30" customHeight="1" x14ac:dyDescent="0.2">
      <c r="A726" s="3525"/>
      <c r="B726" s="3457" t="s">
        <v>4178</v>
      </c>
      <c r="C726" s="3570"/>
      <c r="D726" s="1452"/>
      <c r="E726" s="1716"/>
      <c r="F726" s="1658"/>
      <c r="G726" s="561">
        <v>14000000</v>
      </c>
      <c r="H726" s="2552" t="s">
        <v>4177</v>
      </c>
      <c r="I726" s="2552" t="s">
        <v>4179</v>
      </c>
      <c r="J726" s="2552">
        <f>G726</f>
        <v>14000000</v>
      </c>
      <c r="K726" s="2558"/>
      <c r="L726" s="2169"/>
      <c r="M726" s="429"/>
      <c r="N726" s="429"/>
      <c r="O726" s="429"/>
      <c r="P726" s="429"/>
      <c r="Q726" s="429"/>
    </row>
    <row r="727" spans="1:17" s="1713" customFormat="1" ht="30" customHeight="1" x14ac:dyDescent="0.2">
      <c r="A727" s="3526"/>
      <c r="B727" s="3459"/>
      <c r="C727" s="3576"/>
      <c r="D727" s="2341">
        <v>21000000</v>
      </c>
      <c r="E727" s="2341"/>
      <c r="F727" s="2341"/>
      <c r="G727" s="483"/>
      <c r="H727" s="2563"/>
      <c r="I727" s="2359"/>
      <c r="J727" s="2561"/>
      <c r="K727" s="2563"/>
      <c r="L727" s="2350" t="s">
        <v>4362</v>
      </c>
      <c r="M727" s="429"/>
      <c r="N727" s="429"/>
      <c r="O727" s="429"/>
      <c r="P727" s="429"/>
      <c r="Q727" s="429"/>
    </row>
    <row r="728" spans="1:17" s="1713" customFormat="1" ht="30" customHeight="1" x14ac:dyDescent="0.2">
      <c r="A728" s="2342"/>
      <c r="B728" s="2345" t="s">
        <v>4369</v>
      </c>
      <c r="C728" s="2344" t="s">
        <v>4247</v>
      </c>
      <c r="D728" s="2334">
        <v>470000000</v>
      </c>
      <c r="E728" s="2343">
        <f>F728/D728</f>
        <v>5.9574468085106386E-2</v>
      </c>
      <c r="F728" s="2334">
        <v>28000000</v>
      </c>
      <c r="G728" s="1452"/>
      <c r="H728" s="1716"/>
      <c r="I728" s="1716"/>
      <c r="J728" s="1658"/>
      <c r="K728" s="2552"/>
      <c r="L728" s="2346" t="s">
        <v>4370</v>
      </c>
      <c r="M728" s="429"/>
      <c r="N728" s="429"/>
      <c r="O728" s="429"/>
      <c r="P728" s="429"/>
      <c r="Q728" s="429"/>
    </row>
    <row r="729" spans="1:17" s="1713" customFormat="1" ht="30" customHeight="1" x14ac:dyDescent="0.2">
      <c r="A729" s="3525"/>
      <c r="B729" s="3457" t="s">
        <v>4185</v>
      </c>
      <c r="C729" s="3570"/>
      <c r="D729" s="2724"/>
      <c r="E729" s="2412"/>
      <c r="F729" s="2088"/>
      <c r="G729" s="482">
        <v>50000000</v>
      </c>
      <c r="H729" s="2558" t="s">
        <v>4184</v>
      </c>
      <c r="I729" s="2572" t="s">
        <v>4186</v>
      </c>
      <c r="J729" s="2557">
        <f>G729+G730</f>
        <v>87000000</v>
      </c>
      <c r="K729" s="2557">
        <f>87000000-J729</f>
        <v>0</v>
      </c>
      <c r="L729" s="3625"/>
      <c r="M729" s="429"/>
      <c r="N729" s="429"/>
      <c r="O729" s="429"/>
      <c r="P729" s="429"/>
      <c r="Q729" s="429"/>
    </row>
    <row r="730" spans="1:17" s="1713" customFormat="1" ht="30" customHeight="1" x14ac:dyDescent="0.2">
      <c r="A730" s="3526"/>
      <c r="B730" s="3458"/>
      <c r="C730" s="3571"/>
      <c r="D730" s="2150"/>
      <c r="E730" s="2726"/>
      <c r="F730" s="2090"/>
      <c r="G730" s="482">
        <v>37000000</v>
      </c>
      <c r="H730" s="2558" t="s">
        <v>4201</v>
      </c>
      <c r="I730" s="2572" t="s">
        <v>4186</v>
      </c>
      <c r="J730" s="2558"/>
      <c r="K730" s="2558"/>
      <c r="L730" s="3626"/>
      <c r="M730" s="429"/>
      <c r="N730" s="429"/>
      <c r="O730" s="429"/>
      <c r="P730" s="429"/>
      <c r="Q730" s="429"/>
    </row>
    <row r="731" spans="1:17" s="1713" customFormat="1" ht="30" customHeight="1" x14ac:dyDescent="0.2">
      <c r="A731" s="3525"/>
      <c r="B731" s="3457" t="s">
        <v>4187</v>
      </c>
      <c r="C731" s="3570" t="s">
        <v>2778</v>
      </c>
      <c r="D731" s="1452"/>
      <c r="E731" s="1716"/>
      <c r="F731" s="1658"/>
      <c r="G731" s="482">
        <v>3000000</v>
      </c>
      <c r="H731" s="2558" t="s">
        <v>4184</v>
      </c>
      <c r="I731" s="2572" t="s">
        <v>4188</v>
      </c>
      <c r="J731" s="2558">
        <f>G731</f>
        <v>3000000</v>
      </c>
      <c r="K731" s="2558"/>
      <c r="L731" s="2205" t="s">
        <v>4363</v>
      </c>
      <c r="M731" s="429"/>
      <c r="N731" s="429"/>
      <c r="O731" s="429"/>
      <c r="P731" s="429"/>
      <c r="Q731" s="429"/>
    </row>
    <row r="732" spans="1:17" s="1713" customFormat="1" ht="30" customHeight="1" x14ac:dyDescent="0.2">
      <c r="A732" s="3526"/>
      <c r="B732" s="3458"/>
      <c r="C732" s="3571"/>
      <c r="D732" s="2194">
        <v>47000000</v>
      </c>
      <c r="E732" s="2194"/>
      <c r="F732" s="2194"/>
      <c r="G732" s="482"/>
      <c r="H732" s="2558"/>
      <c r="I732" s="2572"/>
      <c r="J732" s="2558"/>
      <c r="K732" s="2558"/>
      <c r="L732" s="2205" t="s">
        <v>4189</v>
      </c>
      <c r="M732" s="429"/>
      <c r="N732" s="429"/>
      <c r="O732" s="429"/>
      <c r="P732" s="429"/>
      <c r="Q732" s="429"/>
    </row>
    <row r="733" spans="1:17" s="1713" customFormat="1" ht="30" customHeight="1" x14ac:dyDescent="0.2">
      <c r="A733" s="2206"/>
      <c r="B733" s="2202" t="s">
        <v>4221</v>
      </c>
      <c r="C733" s="2198" t="s">
        <v>1342</v>
      </c>
      <c r="D733" s="2199">
        <v>100000000</v>
      </c>
      <c r="E733" s="2224">
        <v>0.05</v>
      </c>
      <c r="F733" s="2200">
        <f>D733*E733</f>
        <v>5000000</v>
      </c>
      <c r="G733" s="482">
        <v>5000000</v>
      </c>
      <c r="H733" s="2558" t="s">
        <v>4216</v>
      </c>
      <c r="I733" s="2572" t="s">
        <v>4222</v>
      </c>
      <c r="J733" s="2558">
        <f>G733</f>
        <v>5000000</v>
      </c>
      <c r="K733" s="2558">
        <f>F733-J733</f>
        <v>0</v>
      </c>
      <c r="L733" s="2205"/>
      <c r="M733" s="429"/>
      <c r="N733" s="429"/>
      <c r="O733" s="429"/>
      <c r="P733" s="429"/>
      <c r="Q733" s="429"/>
    </row>
    <row r="734" spans="1:17" s="1713" customFormat="1" ht="30" customHeight="1" x14ac:dyDescent="0.2">
      <c r="A734" s="2228"/>
      <c r="B734" s="2225" t="s">
        <v>4225</v>
      </c>
      <c r="C734" s="2221"/>
      <c r="D734" s="496"/>
      <c r="E734" s="2218"/>
      <c r="F734" s="643"/>
      <c r="G734" s="482">
        <v>2000000</v>
      </c>
      <c r="H734" s="2558" t="s">
        <v>4216</v>
      </c>
      <c r="I734" s="990">
        <v>5423044873</v>
      </c>
      <c r="J734" s="2558">
        <f>G734</f>
        <v>2000000</v>
      </c>
      <c r="K734" s="2562"/>
      <c r="L734" s="2223"/>
      <c r="M734" s="429"/>
      <c r="N734" s="429"/>
      <c r="O734" s="429"/>
      <c r="P734" s="429"/>
      <c r="Q734" s="429"/>
    </row>
    <row r="735" spans="1:17" s="1713" customFormat="1" ht="30" customHeight="1" x14ac:dyDescent="0.2">
      <c r="A735" s="2228"/>
      <c r="B735" s="2225" t="s">
        <v>4227</v>
      </c>
      <c r="C735" s="2221"/>
      <c r="D735" s="496"/>
      <c r="E735" s="2218"/>
      <c r="F735" s="643"/>
      <c r="G735" s="482">
        <v>1100000</v>
      </c>
      <c r="H735" s="2558" t="s">
        <v>3160</v>
      </c>
      <c r="I735" s="2572" t="s">
        <v>4228</v>
      </c>
      <c r="J735" s="2558">
        <f>G735</f>
        <v>1100000</v>
      </c>
      <c r="K735" s="2562"/>
      <c r="L735" s="2223"/>
      <c r="M735" s="429"/>
      <c r="N735" s="429"/>
      <c r="O735" s="429"/>
      <c r="P735" s="429"/>
      <c r="Q735" s="429"/>
    </row>
    <row r="736" spans="1:17" s="1713" customFormat="1" ht="30" customHeight="1" x14ac:dyDescent="0.2">
      <c r="A736" s="2228"/>
      <c r="B736" s="2225" t="s">
        <v>4242</v>
      </c>
      <c r="C736" s="2221" t="s">
        <v>1909</v>
      </c>
      <c r="D736" s="2219">
        <v>11000000</v>
      </c>
      <c r="E736" s="2211">
        <v>0.05</v>
      </c>
      <c r="F736" s="2220">
        <f>D736*E736</f>
        <v>550000</v>
      </c>
      <c r="G736" s="482"/>
      <c r="H736" s="2558"/>
      <c r="I736" s="2572"/>
      <c r="J736" s="2558"/>
      <c r="K736" s="2558"/>
      <c r="L736" s="2223"/>
      <c r="M736" s="429"/>
      <c r="N736" s="429"/>
      <c r="O736" s="429"/>
      <c r="P736" s="429"/>
      <c r="Q736" s="429"/>
    </row>
    <row r="737" spans="1:17" s="1713" customFormat="1" ht="30" customHeight="1" x14ac:dyDescent="0.2">
      <c r="A737" s="2228"/>
      <c r="B737" s="2225" t="s">
        <v>4256</v>
      </c>
      <c r="C737" s="2221" t="s">
        <v>1215</v>
      </c>
      <c r="D737" s="2219">
        <v>50000000</v>
      </c>
      <c r="E737" s="2211">
        <v>0.05</v>
      </c>
      <c r="F737" s="2253">
        <f>D737*E737</f>
        <v>2500000</v>
      </c>
      <c r="G737" s="482"/>
      <c r="H737" s="2558"/>
      <c r="I737" s="2572"/>
      <c r="J737" s="2558"/>
      <c r="K737" s="2558"/>
      <c r="L737" s="2223"/>
      <c r="M737" s="429"/>
      <c r="N737" s="429"/>
      <c r="O737" s="429"/>
      <c r="P737" s="429"/>
      <c r="Q737" s="429"/>
    </row>
    <row r="738" spans="1:17" s="1713" customFormat="1" ht="30" customHeight="1" x14ac:dyDescent="0.2">
      <c r="A738" s="2258"/>
      <c r="B738" s="2257" t="s">
        <v>4257</v>
      </c>
      <c r="C738" s="2255"/>
      <c r="D738" s="2252">
        <v>5000000</v>
      </c>
      <c r="E738" s="2251"/>
      <c r="F738" s="2253"/>
      <c r="G738" s="482"/>
      <c r="H738" s="2558"/>
      <c r="I738" s="2572"/>
      <c r="J738" s="2558"/>
      <c r="K738" s="2558"/>
      <c r="L738" s="2256"/>
      <c r="M738" s="429"/>
      <c r="N738" s="429"/>
      <c r="O738" s="429"/>
      <c r="P738" s="429"/>
      <c r="Q738" s="429"/>
    </row>
    <row r="739" spans="1:17" s="1713" customFormat="1" ht="30" customHeight="1" x14ac:dyDescent="0.2">
      <c r="A739" s="2258"/>
      <c r="B739" s="2257" t="s">
        <v>4258</v>
      </c>
      <c r="C739" s="2255" t="s">
        <v>1215</v>
      </c>
      <c r="D739" s="2252">
        <v>70000000</v>
      </c>
      <c r="E739" s="2251">
        <v>0.06</v>
      </c>
      <c r="F739" s="2253">
        <f>D739*E739</f>
        <v>4200000</v>
      </c>
      <c r="G739" s="482"/>
      <c r="H739" s="2558"/>
      <c r="I739" s="2572"/>
      <c r="J739" s="2558"/>
      <c r="K739" s="2558"/>
      <c r="L739" s="2256"/>
      <c r="M739" s="429"/>
      <c r="N739" s="429"/>
      <c r="O739" s="429"/>
      <c r="P739" s="429"/>
      <c r="Q739" s="429"/>
    </row>
    <row r="740" spans="1:17" s="1713" customFormat="1" ht="30" customHeight="1" x14ac:dyDescent="0.2">
      <c r="A740" s="2258"/>
      <c r="B740" s="2269" t="s">
        <v>4273</v>
      </c>
      <c r="C740" s="2265"/>
      <c r="D740" s="2266">
        <v>45000000</v>
      </c>
      <c r="E740" s="2263">
        <v>0.05</v>
      </c>
      <c r="F740" s="2267">
        <f>D740*E740</f>
        <v>2250000</v>
      </c>
      <c r="G740" s="1452"/>
      <c r="H740" s="1716"/>
      <c r="I740" s="1716"/>
      <c r="J740" s="1658"/>
      <c r="K740" s="2558"/>
      <c r="L740" s="2256"/>
      <c r="M740" s="429"/>
      <c r="N740" s="429"/>
      <c r="O740" s="429"/>
      <c r="P740" s="429"/>
      <c r="Q740" s="429"/>
    </row>
    <row r="741" spans="1:17" s="1713" customFormat="1" ht="30" customHeight="1" x14ac:dyDescent="0.2">
      <c r="A741" s="2258"/>
      <c r="B741" s="2257" t="s">
        <v>4385</v>
      </c>
      <c r="C741" s="2255"/>
      <c r="D741" s="2252">
        <v>60000000</v>
      </c>
      <c r="E741" s="2251"/>
      <c r="F741" s="2253"/>
      <c r="G741" s="482"/>
      <c r="H741" s="2558"/>
      <c r="I741" s="2572"/>
      <c r="J741" s="2558"/>
      <c r="K741" s="2558"/>
      <c r="L741" s="2256" t="s">
        <v>4275</v>
      </c>
      <c r="M741" s="429"/>
      <c r="N741" s="429"/>
      <c r="O741" s="429"/>
      <c r="P741" s="429"/>
      <c r="Q741" s="429"/>
    </row>
    <row r="742" spans="1:17" s="1713" customFormat="1" ht="30" customHeight="1" x14ac:dyDescent="0.2">
      <c r="A742" s="2383"/>
      <c r="B742" s="2381" t="s">
        <v>4386</v>
      </c>
      <c r="C742" s="2375"/>
      <c r="D742" s="2372">
        <v>10000000</v>
      </c>
      <c r="E742" s="2367"/>
      <c r="F742" s="2373"/>
      <c r="G742" s="482"/>
      <c r="H742" s="2558"/>
      <c r="I742" s="2572"/>
      <c r="J742" s="2558"/>
      <c r="K742" s="2558"/>
      <c r="L742" s="2376" t="s">
        <v>4387</v>
      </c>
      <c r="M742" s="429"/>
      <c r="N742" s="429"/>
      <c r="O742" s="429"/>
      <c r="P742" s="429"/>
      <c r="Q742" s="429"/>
    </row>
    <row r="743" spans="1:17" s="1713" customFormat="1" ht="30" customHeight="1" x14ac:dyDescent="0.2">
      <c r="A743" s="2258"/>
      <c r="B743" s="2257" t="s">
        <v>4281</v>
      </c>
      <c r="C743" s="2255"/>
      <c r="D743" s="2252">
        <v>10000000</v>
      </c>
      <c r="E743" s="2251"/>
      <c r="F743" s="2253"/>
      <c r="G743" s="482"/>
      <c r="H743" s="2558"/>
      <c r="I743" s="2572"/>
      <c r="J743" s="2558"/>
      <c r="K743" s="2558"/>
      <c r="L743" s="3478" t="s">
        <v>4282</v>
      </c>
      <c r="M743" s="3479"/>
      <c r="N743" s="3479"/>
      <c r="O743" s="3480"/>
      <c r="P743" s="429"/>
      <c r="Q743" s="429"/>
    </row>
    <row r="744" spans="1:17" s="1713" customFormat="1" ht="30" customHeight="1" x14ac:dyDescent="0.2">
      <c r="A744" s="2279"/>
      <c r="B744" s="2277" t="s">
        <v>4284</v>
      </c>
      <c r="C744" s="2276"/>
      <c r="D744" s="2274">
        <v>200000000</v>
      </c>
      <c r="E744" s="2273">
        <v>7.0000000000000007E-2</v>
      </c>
      <c r="F744" s="2275">
        <f>D744*E744</f>
        <v>14000000.000000002</v>
      </c>
      <c r="G744" s="2736"/>
      <c r="H744" s="2559"/>
      <c r="I744" s="2573"/>
      <c r="J744" s="2572"/>
      <c r="K744" s="2559"/>
      <c r="L744" s="3478" t="s">
        <v>4285</v>
      </c>
      <c r="M744" s="3479"/>
      <c r="N744" s="3479"/>
      <c r="O744" s="3480"/>
      <c r="P744" s="429"/>
      <c r="Q744" s="429"/>
    </row>
    <row r="745" spans="1:17" s="1713" customFormat="1" ht="30" customHeight="1" x14ac:dyDescent="0.2">
      <c r="A745" s="2279"/>
      <c r="B745" s="117" t="s">
        <v>4297</v>
      </c>
      <c r="C745" s="2276"/>
      <c r="D745" s="496"/>
      <c r="E745" s="2290"/>
      <c r="F745" s="643"/>
      <c r="G745" s="482">
        <v>2000000</v>
      </c>
      <c r="H745" s="2558" t="s">
        <v>4286</v>
      </c>
      <c r="I745" s="2572" t="s">
        <v>4298</v>
      </c>
      <c r="J745" s="2558">
        <f>G745</f>
        <v>2000000</v>
      </c>
      <c r="K745" s="2558"/>
      <c r="L745" s="2324"/>
      <c r="M745" s="2280"/>
      <c r="N745" s="2280"/>
      <c r="O745" s="2280"/>
      <c r="P745" s="429"/>
      <c r="Q745" s="429"/>
    </row>
    <row r="746" spans="1:17" s="1713" customFormat="1" ht="30" customHeight="1" x14ac:dyDescent="0.2">
      <c r="A746" s="2279"/>
      <c r="B746" s="117" t="s">
        <v>4299</v>
      </c>
      <c r="C746" s="2276"/>
      <c r="D746" s="496"/>
      <c r="E746" s="2290"/>
      <c r="F746" s="643"/>
      <c r="G746" s="482">
        <v>10000000</v>
      </c>
      <c r="H746" s="2558" t="s">
        <v>4286</v>
      </c>
      <c r="I746" s="2572" t="s">
        <v>4300</v>
      </c>
      <c r="J746" s="2558">
        <f>G746</f>
        <v>10000000</v>
      </c>
      <c r="K746" s="2558"/>
      <c r="L746" s="2324"/>
      <c r="M746" s="2280"/>
      <c r="N746" s="2280"/>
      <c r="O746" s="2280"/>
      <c r="P746" s="429"/>
      <c r="Q746" s="429"/>
    </row>
    <row r="747" spans="1:17" s="1713" customFormat="1" ht="30" customHeight="1" x14ac:dyDescent="0.2">
      <c r="A747" s="2279"/>
      <c r="B747" s="117" t="s">
        <v>4302</v>
      </c>
      <c r="C747" s="2291"/>
      <c r="D747" s="496"/>
      <c r="E747" s="2290"/>
      <c r="F747" s="643"/>
      <c r="G747" s="482">
        <v>40000</v>
      </c>
      <c r="H747" s="2558" t="s">
        <v>4301</v>
      </c>
      <c r="I747" s="2572" t="s">
        <v>4303</v>
      </c>
      <c r="J747" s="2558">
        <f>G747</f>
        <v>40000</v>
      </c>
      <c r="K747" s="2558"/>
      <c r="L747" s="2324"/>
      <c r="M747" s="2280"/>
      <c r="N747" s="2280"/>
      <c r="O747" s="2280"/>
      <c r="P747" s="429"/>
      <c r="Q747" s="429"/>
    </row>
    <row r="748" spans="1:17" s="1713" customFormat="1" ht="30" customHeight="1" x14ac:dyDescent="0.2">
      <c r="A748" s="3525"/>
      <c r="B748" s="3457" t="s">
        <v>4304</v>
      </c>
      <c r="C748" s="3570"/>
      <c r="D748" s="3442">
        <v>70000000</v>
      </c>
      <c r="E748" s="3444">
        <v>0.05</v>
      </c>
      <c r="F748" s="3442">
        <f>D748*E748</f>
        <v>3500000</v>
      </c>
      <c r="G748" s="2780">
        <v>3500000</v>
      </c>
      <c r="H748" s="2557" t="s">
        <v>4301</v>
      </c>
      <c r="I748" s="2557" t="s">
        <v>4305</v>
      </c>
      <c r="J748" s="2557">
        <f>G748</f>
        <v>3500000</v>
      </c>
      <c r="K748" s="2557">
        <f>F748-J748</f>
        <v>0</v>
      </c>
      <c r="L748" s="2325" t="s">
        <v>4351</v>
      </c>
      <c r="M748" s="2280"/>
      <c r="N748" s="2280"/>
      <c r="O748" s="2280"/>
      <c r="P748" s="429"/>
      <c r="Q748" s="429"/>
    </row>
    <row r="749" spans="1:17" s="1713" customFormat="1" ht="30" customHeight="1" x14ac:dyDescent="0.2">
      <c r="A749" s="3643"/>
      <c r="B749" s="3459"/>
      <c r="C749" s="3571"/>
      <c r="D749" s="3443"/>
      <c r="E749" s="3445"/>
      <c r="F749" s="3443"/>
      <c r="G749" s="2734"/>
      <c r="H749" s="2558"/>
      <c r="I749" s="2558"/>
      <c r="J749" s="2558"/>
      <c r="K749" s="2558"/>
      <c r="L749" s="2324" t="s">
        <v>4352</v>
      </c>
      <c r="M749" s="2329"/>
      <c r="N749" s="2329"/>
      <c r="O749" s="2329"/>
      <c r="P749" s="429"/>
      <c r="Q749" s="429"/>
    </row>
    <row r="750" spans="1:17" s="1713" customFormat="1" ht="30" customHeight="1" x14ac:dyDescent="0.2">
      <c r="A750" s="3526"/>
      <c r="B750" s="3458"/>
      <c r="C750" s="2416"/>
      <c r="D750" s="2415">
        <v>10000000</v>
      </c>
      <c r="E750" s="2414">
        <v>0.05</v>
      </c>
      <c r="F750" s="2415"/>
      <c r="G750" s="482"/>
      <c r="H750" s="2558"/>
      <c r="I750" s="2572"/>
      <c r="J750" s="2560"/>
      <c r="K750" s="2560"/>
      <c r="L750" s="2417" t="s">
        <v>4415</v>
      </c>
      <c r="M750" s="2418"/>
      <c r="N750" s="2418"/>
      <c r="O750" s="2418"/>
      <c r="P750" s="429"/>
      <c r="Q750" s="429"/>
    </row>
    <row r="751" spans="1:17" s="1713" customFormat="1" ht="30" customHeight="1" x14ac:dyDescent="0.2">
      <c r="A751" s="3525"/>
      <c r="B751" s="3513" t="s">
        <v>4308</v>
      </c>
      <c r="C751" s="3570"/>
      <c r="D751" s="3505"/>
      <c r="E751" s="3507"/>
      <c r="F751" s="3505"/>
      <c r="G751" s="482">
        <v>15000000</v>
      </c>
      <c r="H751" s="2558" t="s">
        <v>4306</v>
      </c>
      <c r="I751" s="2572" t="s">
        <v>4309</v>
      </c>
      <c r="J751" s="2557">
        <f>G751+G752</f>
        <v>65000000</v>
      </c>
      <c r="K751" s="2557"/>
      <c r="L751" s="2323"/>
      <c r="M751" s="2280"/>
      <c r="N751" s="2280"/>
      <c r="O751" s="2280"/>
      <c r="P751" s="429"/>
      <c r="Q751" s="429"/>
    </row>
    <row r="752" spans="1:17" s="1713" customFormat="1" ht="30" customHeight="1" x14ac:dyDescent="0.2">
      <c r="A752" s="3526"/>
      <c r="B752" s="3514"/>
      <c r="C752" s="3571"/>
      <c r="D752" s="3506"/>
      <c r="E752" s="3508"/>
      <c r="F752" s="3506"/>
      <c r="G752" s="482">
        <v>50000000</v>
      </c>
      <c r="H752" s="2558" t="s">
        <v>4306</v>
      </c>
      <c r="I752" s="2572" t="s">
        <v>4309</v>
      </c>
      <c r="J752" s="2558"/>
      <c r="K752" s="2558"/>
      <c r="L752" s="2324"/>
      <c r="M752" s="2296"/>
      <c r="N752" s="2296"/>
      <c r="O752" s="2296"/>
      <c r="P752" s="429"/>
      <c r="Q752" s="429"/>
    </row>
    <row r="753" spans="1:17" s="1713" customFormat="1" ht="30" customHeight="1" x14ac:dyDescent="0.2">
      <c r="A753" s="2295"/>
      <c r="B753" s="2294" t="s">
        <v>4328</v>
      </c>
      <c r="C753" s="2293"/>
      <c r="D753" s="2282">
        <v>120000000</v>
      </c>
      <c r="E753" s="2292"/>
      <c r="F753" s="2282"/>
      <c r="G753" s="482"/>
      <c r="H753" s="2558"/>
      <c r="I753" s="2572"/>
      <c r="J753" s="2558"/>
      <c r="K753" s="2558"/>
      <c r="L753" s="2324" t="s">
        <v>4329</v>
      </c>
      <c r="M753" s="2296"/>
      <c r="N753" s="2296"/>
      <c r="O753" s="2296"/>
      <c r="P753" s="429"/>
      <c r="Q753" s="429"/>
    </row>
    <row r="754" spans="1:17" s="1713" customFormat="1" ht="30" customHeight="1" x14ac:dyDescent="0.2">
      <c r="A754" s="2295"/>
      <c r="B754" s="2294" t="s">
        <v>4339</v>
      </c>
      <c r="C754" s="2293"/>
      <c r="D754" s="2282">
        <v>100000000</v>
      </c>
      <c r="E754" s="2292"/>
      <c r="F754" s="2282"/>
      <c r="G754" s="482"/>
      <c r="H754" s="2558"/>
      <c r="I754" s="2572"/>
      <c r="J754" s="2558"/>
      <c r="K754" s="2558"/>
      <c r="L754" s="2324" t="s">
        <v>4340</v>
      </c>
      <c r="M754" s="2296"/>
      <c r="N754" s="2296"/>
      <c r="O754" s="2296"/>
      <c r="P754" s="429"/>
      <c r="Q754" s="429"/>
    </row>
    <row r="755" spans="1:17" s="1713" customFormat="1" ht="30" customHeight="1" x14ac:dyDescent="0.2">
      <c r="A755" s="2295"/>
      <c r="B755" s="2294" t="s">
        <v>4356</v>
      </c>
      <c r="C755" s="2293"/>
      <c r="D755" s="2282">
        <v>100000000</v>
      </c>
      <c r="E755" s="2292"/>
      <c r="F755" s="2282"/>
      <c r="G755" s="482"/>
      <c r="H755" s="2558"/>
      <c r="I755" s="2572"/>
      <c r="J755" s="2558"/>
      <c r="K755" s="2558"/>
      <c r="L755" s="2348" t="s">
        <v>4357</v>
      </c>
      <c r="M755" s="2296"/>
      <c r="N755" s="2296"/>
      <c r="O755" s="2296"/>
      <c r="P755" s="429"/>
      <c r="Q755" s="429"/>
    </row>
    <row r="756" spans="1:17" ht="30" customHeight="1" x14ac:dyDescent="0.2">
      <c r="A756" s="3833" t="s">
        <v>4426</v>
      </c>
      <c r="B756" s="3834"/>
      <c r="C756" s="1084"/>
      <c r="D756" s="311">
        <v>110561703000</v>
      </c>
      <c r="E756" s="1989"/>
      <c r="F756" s="1992">
        <f>SUM(F2:F755)</f>
        <v>9300577620</v>
      </c>
      <c r="G756" s="482">
        <f>SUM(G2:G755)</f>
        <v>6346102870</v>
      </c>
      <c r="H756" s="2558"/>
      <c r="I756" s="24"/>
      <c r="J756" s="2558"/>
      <c r="K756" s="2558"/>
      <c r="L756" s="1987"/>
    </row>
  </sheetData>
  <mergeCells count="619">
    <mergeCell ref="A107:A108"/>
    <mergeCell ref="B107:B108"/>
    <mergeCell ref="A167:A168"/>
    <mergeCell ref="C167:C168"/>
    <mergeCell ref="D167:D168"/>
    <mergeCell ref="D198:D199"/>
    <mergeCell ref="B371:B372"/>
    <mergeCell ref="C371:C372"/>
    <mergeCell ref="A374:A375"/>
    <mergeCell ref="B324:B327"/>
    <mergeCell ref="C324:C327"/>
    <mergeCell ref="A333:A334"/>
    <mergeCell ref="D333:D334"/>
    <mergeCell ref="A309:A310"/>
    <mergeCell ref="D172:D175"/>
    <mergeCell ref="A164:A166"/>
    <mergeCell ref="A137:A139"/>
    <mergeCell ref="A207:A216"/>
    <mergeCell ref="B207:B216"/>
    <mergeCell ref="C207:C216"/>
    <mergeCell ref="D207:D216"/>
    <mergeCell ref="A179:A180"/>
    <mergeCell ref="C339:C340"/>
    <mergeCell ref="D277:D282"/>
    <mergeCell ref="A526:A528"/>
    <mergeCell ref="B551:B552"/>
    <mergeCell ref="C551:C552"/>
    <mergeCell ref="A591:A594"/>
    <mergeCell ref="A562:A563"/>
    <mergeCell ref="B516:B525"/>
    <mergeCell ref="C490:C491"/>
    <mergeCell ref="B471:B486"/>
    <mergeCell ref="A498:A501"/>
    <mergeCell ref="B490:B491"/>
    <mergeCell ref="B498:B501"/>
    <mergeCell ref="C498:C501"/>
    <mergeCell ref="B505:B506"/>
    <mergeCell ref="C593:C594"/>
    <mergeCell ref="B514:B515"/>
    <mergeCell ref="C579:C580"/>
    <mergeCell ref="B535:B536"/>
    <mergeCell ref="B565:B566"/>
    <mergeCell ref="C565:C566"/>
    <mergeCell ref="A490:A491"/>
    <mergeCell ref="B714:B715"/>
    <mergeCell ref="A714:A715"/>
    <mergeCell ref="A620:A622"/>
    <mergeCell ref="B726:B727"/>
    <mergeCell ref="C726:C727"/>
    <mergeCell ref="A726:A727"/>
    <mergeCell ref="A705:A706"/>
    <mergeCell ref="B705:B706"/>
    <mergeCell ref="C705:C706"/>
    <mergeCell ref="A682:A683"/>
    <mergeCell ref="B682:B683"/>
    <mergeCell ref="B620:B622"/>
    <mergeCell ref="C620:C622"/>
    <mergeCell ref="A670:A671"/>
    <mergeCell ref="B670:B671"/>
    <mergeCell ref="C701:C702"/>
    <mergeCell ref="B697:B698"/>
    <mergeCell ref="C697:C698"/>
    <mergeCell ref="A626:A627"/>
    <mergeCell ref="C626:C627"/>
    <mergeCell ref="B653:B660"/>
    <mergeCell ref="C653:C660"/>
    <mergeCell ref="A642:A643"/>
    <mergeCell ref="B642:B643"/>
    <mergeCell ref="B633:B634"/>
    <mergeCell ref="F593:F594"/>
    <mergeCell ref="D562:D563"/>
    <mergeCell ref="E562:E563"/>
    <mergeCell ref="F562:F563"/>
    <mergeCell ref="D593:D594"/>
    <mergeCell ref="E593:E594"/>
    <mergeCell ref="A382:A387"/>
    <mergeCell ref="E395:E396"/>
    <mergeCell ref="B382:B387"/>
    <mergeCell ref="C382:C387"/>
    <mergeCell ref="C395:C398"/>
    <mergeCell ref="D395:D396"/>
    <mergeCell ref="A392:A393"/>
    <mergeCell ref="F395:F396"/>
    <mergeCell ref="A395:A398"/>
    <mergeCell ref="A505:A506"/>
    <mergeCell ref="A471:A486"/>
    <mergeCell ref="B605:B610"/>
    <mergeCell ref="A605:A610"/>
    <mergeCell ref="C605:C610"/>
    <mergeCell ref="A597:A599"/>
    <mergeCell ref="B597:B599"/>
    <mergeCell ref="A551:A552"/>
    <mergeCell ref="L729:L730"/>
    <mergeCell ref="L663:P663"/>
    <mergeCell ref="L633:L634"/>
    <mergeCell ref="L697:L698"/>
    <mergeCell ref="E605:E607"/>
    <mergeCell ref="F605:F607"/>
    <mergeCell ref="E626:E627"/>
    <mergeCell ref="F565:F566"/>
    <mergeCell ref="D626:D627"/>
    <mergeCell ref="D605:D607"/>
    <mergeCell ref="L579:L580"/>
    <mergeCell ref="L664:L665"/>
    <mergeCell ref="D633:D634"/>
    <mergeCell ref="E633:E634"/>
    <mergeCell ref="F633:F634"/>
    <mergeCell ref="D664:D665"/>
    <mergeCell ref="E664:E665"/>
    <mergeCell ref="F664:F665"/>
    <mergeCell ref="D653:D655"/>
    <mergeCell ref="E653:E655"/>
    <mergeCell ref="F653:F655"/>
    <mergeCell ref="F650:F651"/>
    <mergeCell ref="L656:L660"/>
    <mergeCell ref="D639:D641"/>
    <mergeCell ref="D371:D372"/>
    <mergeCell ref="E371:E372"/>
    <mergeCell ref="B353:B354"/>
    <mergeCell ref="B379:B381"/>
    <mergeCell ref="C380:C381"/>
    <mergeCell ref="F371:F372"/>
    <mergeCell ref="D551:D552"/>
    <mergeCell ref="E551:E552"/>
    <mergeCell ref="C471:C486"/>
    <mergeCell ref="D477:E477"/>
    <mergeCell ref="C374:C375"/>
    <mergeCell ref="D374:D375"/>
    <mergeCell ref="E374:E375"/>
    <mergeCell ref="F374:F375"/>
    <mergeCell ref="C535:C536"/>
    <mergeCell ref="D535:D536"/>
    <mergeCell ref="E535:E536"/>
    <mergeCell ref="F535:F536"/>
    <mergeCell ref="C514:C515"/>
    <mergeCell ref="B357:B358"/>
    <mergeCell ref="C357:C358"/>
    <mergeCell ref="C353:C354"/>
    <mergeCell ref="A633:A634"/>
    <mergeCell ref="A731:A732"/>
    <mergeCell ref="C731:C732"/>
    <mergeCell ref="A275:A276"/>
    <mergeCell ref="B275:B276"/>
    <mergeCell ref="C275:C276"/>
    <mergeCell ref="D275:D276"/>
    <mergeCell ref="E275:E276"/>
    <mergeCell ref="F275:F276"/>
    <mergeCell ref="D386:D387"/>
    <mergeCell ref="E386:E387"/>
    <mergeCell ref="F386:F387"/>
    <mergeCell ref="B626:B627"/>
    <mergeCell ref="A542:A543"/>
    <mergeCell ref="A516:A525"/>
    <mergeCell ref="E516:E525"/>
    <mergeCell ref="F516:F525"/>
    <mergeCell ref="E650:E651"/>
    <mergeCell ref="D516:D525"/>
    <mergeCell ref="A365:A368"/>
    <mergeCell ref="B365:B368"/>
    <mergeCell ref="A339:A340"/>
    <mergeCell ref="A336:A338"/>
    <mergeCell ref="F626:F627"/>
    <mergeCell ref="A756:B756"/>
    <mergeCell ref="B37:B39"/>
    <mergeCell ref="C37:C39"/>
    <mergeCell ref="A37:A39"/>
    <mergeCell ref="C57:C61"/>
    <mergeCell ref="A650:A651"/>
    <mergeCell ref="B650:B651"/>
    <mergeCell ref="C650:C651"/>
    <mergeCell ref="A688:A689"/>
    <mergeCell ref="A697:A698"/>
    <mergeCell ref="B729:B730"/>
    <mergeCell ref="A729:A730"/>
    <mergeCell ref="C729:C730"/>
    <mergeCell ref="B688:B689"/>
    <mergeCell ref="C688:C689"/>
    <mergeCell ref="B374:B375"/>
    <mergeCell ref="B562:B563"/>
    <mergeCell ref="C562:C563"/>
    <mergeCell ref="B591:B594"/>
    <mergeCell ref="C591:C592"/>
    <mergeCell ref="B526:B528"/>
    <mergeCell ref="C526:C528"/>
    <mergeCell ref="C633:C634"/>
    <mergeCell ref="C664:C665"/>
    <mergeCell ref="E639:E641"/>
    <mergeCell ref="F639:F641"/>
    <mergeCell ref="D650:D651"/>
    <mergeCell ref="C642:C643"/>
    <mergeCell ref="E701:E702"/>
    <mergeCell ref="F701:F702"/>
    <mergeCell ref="F697:F698"/>
    <mergeCell ref="A664:A665"/>
    <mergeCell ref="B664:B665"/>
    <mergeCell ref="A653:A660"/>
    <mergeCell ref="D701:D702"/>
    <mergeCell ref="A639:A641"/>
    <mergeCell ref="C639:C641"/>
    <mergeCell ref="B600:B602"/>
    <mergeCell ref="C600:C602"/>
    <mergeCell ref="D600:D602"/>
    <mergeCell ref="E600:E602"/>
    <mergeCell ref="F600:F602"/>
    <mergeCell ref="A613:A619"/>
    <mergeCell ref="B613:B619"/>
    <mergeCell ref="C613:C619"/>
    <mergeCell ref="D569:D572"/>
    <mergeCell ref="E569:E572"/>
    <mergeCell ref="D579:D580"/>
    <mergeCell ref="E579:E580"/>
    <mergeCell ref="F579:F580"/>
    <mergeCell ref="B568:B573"/>
    <mergeCell ref="C569:C573"/>
    <mergeCell ref="C574:C578"/>
    <mergeCell ref="B579:B580"/>
    <mergeCell ref="D565:D566"/>
    <mergeCell ref="E565:E566"/>
    <mergeCell ref="L565:L566"/>
    <mergeCell ref="L465:L466"/>
    <mergeCell ref="A465:A466"/>
    <mergeCell ref="B465:B466"/>
    <mergeCell ref="A454:A455"/>
    <mergeCell ref="B454:B455"/>
    <mergeCell ref="C454:C455"/>
    <mergeCell ref="L551:L552"/>
    <mergeCell ref="F551:F552"/>
    <mergeCell ref="L514:L515"/>
    <mergeCell ref="L508:L509"/>
    <mergeCell ref="A512:A513"/>
    <mergeCell ref="B512:B513"/>
    <mergeCell ref="C512:C513"/>
    <mergeCell ref="D512:D513"/>
    <mergeCell ref="E512:E513"/>
    <mergeCell ref="F512:F513"/>
    <mergeCell ref="L512:L513"/>
    <mergeCell ref="A514:A515"/>
    <mergeCell ref="A508:A509"/>
    <mergeCell ref="B508:B509"/>
    <mergeCell ref="C508:C509"/>
    <mergeCell ref="L535:L536"/>
    <mergeCell ref="B537:B540"/>
    <mergeCell ref="L345:L346"/>
    <mergeCell ref="A345:A346"/>
    <mergeCell ref="B345:B346"/>
    <mergeCell ref="C392:C393"/>
    <mergeCell ref="B336:B338"/>
    <mergeCell ref="C336:C338"/>
    <mergeCell ref="C537:C540"/>
    <mergeCell ref="L454:L455"/>
    <mergeCell ref="A456:A457"/>
    <mergeCell ref="B456:B457"/>
    <mergeCell ref="C456:C457"/>
    <mergeCell ref="D456:D457"/>
    <mergeCell ref="E456:E457"/>
    <mergeCell ref="F456:F457"/>
    <mergeCell ref="A357:A358"/>
    <mergeCell ref="D526:D528"/>
    <mergeCell ref="E526:E528"/>
    <mergeCell ref="F526:F528"/>
    <mergeCell ref="C516:C525"/>
    <mergeCell ref="A353:A354"/>
    <mergeCell ref="A371:A372"/>
    <mergeCell ref="A535:A536"/>
    <mergeCell ref="L420:L421"/>
    <mergeCell ref="A420:A421"/>
    <mergeCell ref="C420:C421"/>
    <mergeCell ref="L413:L414"/>
    <mergeCell ref="A413:A414"/>
    <mergeCell ref="B413:B414"/>
    <mergeCell ref="C413:C414"/>
    <mergeCell ref="L395:L396"/>
    <mergeCell ref="L382:L387"/>
    <mergeCell ref="D385:E385"/>
    <mergeCell ref="A389:A390"/>
    <mergeCell ref="L392:L393"/>
    <mergeCell ref="D392:D393"/>
    <mergeCell ref="E392:E393"/>
    <mergeCell ref="F392:F393"/>
    <mergeCell ref="L397:L398"/>
    <mergeCell ref="B395:B398"/>
    <mergeCell ref="L207:L216"/>
    <mergeCell ref="L200:L201"/>
    <mergeCell ref="D318:D319"/>
    <mergeCell ref="E318:E319"/>
    <mergeCell ref="F318:F319"/>
    <mergeCell ref="F263:F264"/>
    <mergeCell ref="F277:F282"/>
    <mergeCell ref="B392:B393"/>
    <mergeCell ref="F205:F206"/>
    <mergeCell ref="F251:F255"/>
    <mergeCell ref="F333:F334"/>
    <mergeCell ref="C345:C346"/>
    <mergeCell ref="L380:L381"/>
    <mergeCell ref="D314:D316"/>
    <mergeCell ref="E314:E316"/>
    <mergeCell ref="F314:F316"/>
    <mergeCell ref="L286:L287"/>
    <mergeCell ref="B288:B289"/>
    <mergeCell ref="C288:C289"/>
    <mergeCell ref="B309:B310"/>
    <mergeCell ref="C309:C310"/>
    <mergeCell ref="D309:D310"/>
    <mergeCell ref="E309:E310"/>
    <mergeCell ref="F309:F310"/>
    <mergeCell ref="L298:L299"/>
    <mergeCell ref="C298:C299"/>
    <mergeCell ref="L170:L171"/>
    <mergeCell ref="A148:A149"/>
    <mergeCell ref="B148:B149"/>
    <mergeCell ref="C148:C149"/>
    <mergeCell ref="A152:A153"/>
    <mergeCell ref="B152:B153"/>
    <mergeCell ref="C152:C153"/>
    <mergeCell ref="D152:D153"/>
    <mergeCell ref="E152:E153"/>
    <mergeCell ref="F152:F153"/>
    <mergeCell ref="L167:L168"/>
    <mergeCell ref="B167:B168"/>
    <mergeCell ref="D148:D149"/>
    <mergeCell ref="E167:E168"/>
    <mergeCell ref="F167:F168"/>
    <mergeCell ref="C170:C175"/>
    <mergeCell ref="L196:L197"/>
    <mergeCell ref="L179:L180"/>
    <mergeCell ref="L198:L199"/>
    <mergeCell ref="L190:L191"/>
    <mergeCell ref="D179:D180"/>
    <mergeCell ref="E179:E180"/>
    <mergeCell ref="L129:P129"/>
    <mergeCell ref="A131:A132"/>
    <mergeCell ref="B131:B132"/>
    <mergeCell ref="C131:C132"/>
    <mergeCell ref="A133:A134"/>
    <mergeCell ref="B133:B134"/>
    <mergeCell ref="C133:C134"/>
    <mergeCell ref="L133:L134"/>
    <mergeCell ref="A112:A113"/>
    <mergeCell ref="L126:L127"/>
    <mergeCell ref="A126:A127"/>
    <mergeCell ref="B126:B127"/>
    <mergeCell ref="C126:C127"/>
    <mergeCell ref="D126:D127"/>
    <mergeCell ref="E126:E127"/>
    <mergeCell ref="F126:F127"/>
    <mergeCell ref="B112:B113"/>
    <mergeCell ref="L109:L110"/>
    <mergeCell ref="A117:A118"/>
    <mergeCell ref="B117:B118"/>
    <mergeCell ref="C117:C118"/>
    <mergeCell ref="L117:L118"/>
    <mergeCell ref="A109:A110"/>
    <mergeCell ref="B109:B110"/>
    <mergeCell ref="C109:C110"/>
    <mergeCell ref="D109:D110"/>
    <mergeCell ref="E109:E110"/>
    <mergeCell ref="F109:F110"/>
    <mergeCell ref="A97:A98"/>
    <mergeCell ref="B97:B98"/>
    <mergeCell ref="A52:A53"/>
    <mergeCell ref="D52:D53"/>
    <mergeCell ref="E52:E53"/>
    <mergeCell ref="F52:F53"/>
    <mergeCell ref="B52:B56"/>
    <mergeCell ref="C52:C56"/>
    <mergeCell ref="A75:A77"/>
    <mergeCell ref="A91:A93"/>
    <mergeCell ref="B91:B93"/>
    <mergeCell ref="C91:C93"/>
    <mergeCell ref="A86:A87"/>
    <mergeCell ref="B86:B87"/>
    <mergeCell ref="C86:C87"/>
    <mergeCell ref="D86:D87"/>
    <mergeCell ref="E86:E87"/>
    <mergeCell ref="F86:F87"/>
    <mergeCell ref="C78:C79"/>
    <mergeCell ref="D78:D79"/>
    <mergeCell ref="E78:E79"/>
    <mergeCell ref="A67:A68"/>
    <mergeCell ref="B67:B68"/>
    <mergeCell ref="C67:C68"/>
    <mergeCell ref="L73:L74"/>
    <mergeCell ref="A73:A74"/>
    <mergeCell ref="B73:B74"/>
    <mergeCell ref="C73:C74"/>
    <mergeCell ref="L52:L53"/>
    <mergeCell ref="C70:C71"/>
    <mergeCell ref="A70:A71"/>
    <mergeCell ref="L49:L50"/>
    <mergeCell ref="L37:L38"/>
    <mergeCell ref="L39:N39"/>
    <mergeCell ref="D67:D68"/>
    <mergeCell ref="E67:E68"/>
    <mergeCell ref="F67:F68"/>
    <mergeCell ref="F57:F60"/>
    <mergeCell ref="B70:B71"/>
    <mergeCell ref="A64:A66"/>
    <mergeCell ref="A57:A61"/>
    <mergeCell ref="L86:L87"/>
    <mergeCell ref="F172:F175"/>
    <mergeCell ref="B190:B191"/>
    <mergeCell ref="B179:B180"/>
    <mergeCell ref="C179:C180"/>
    <mergeCell ref="A12:A13"/>
    <mergeCell ref="B12:B13"/>
    <mergeCell ref="L12:L13"/>
    <mergeCell ref="B170:B175"/>
    <mergeCell ref="A170:A175"/>
    <mergeCell ref="L15:L16"/>
    <mergeCell ref="A22:A23"/>
    <mergeCell ref="B22:B23"/>
    <mergeCell ref="C22:C23"/>
    <mergeCell ref="E22:E23"/>
    <mergeCell ref="F22:F23"/>
    <mergeCell ref="A15:A16"/>
    <mergeCell ref="B15:B16"/>
    <mergeCell ref="C15:C16"/>
    <mergeCell ref="A184:A185"/>
    <mergeCell ref="A190:A191"/>
    <mergeCell ref="A186:A187"/>
    <mergeCell ref="A135:A136"/>
    <mergeCell ref="A31:A32"/>
    <mergeCell ref="B184:B185"/>
    <mergeCell ref="C184:C185"/>
    <mergeCell ref="B186:B187"/>
    <mergeCell ref="B137:B139"/>
    <mergeCell ref="C138:C139"/>
    <mergeCell ref="B135:B136"/>
    <mergeCell ref="E148:E149"/>
    <mergeCell ref="C104:C105"/>
    <mergeCell ref="D104:D105"/>
    <mergeCell ref="E104:E105"/>
    <mergeCell ref="E186:E187"/>
    <mergeCell ref="F179:F180"/>
    <mergeCell ref="C80:C85"/>
    <mergeCell ref="L75:L77"/>
    <mergeCell ref="B75:B77"/>
    <mergeCell ref="C75:C77"/>
    <mergeCell ref="B31:B32"/>
    <mergeCell ref="C31:C32"/>
    <mergeCell ref="D31:D32"/>
    <mergeCell ref="E31:E32"/>
    <mergeCell ref="F31:F32"/>
    <mergeCell ref="C164:C165"/>
    <mergeCell ref="B164:B166"/>
    <mergeCell ref="B33:B34"/>
    <mergeCell ref="B64:B66"/>
    <mergeCell ref="C64:C66"/>
    <mergeCell ref="D64:D65"/>
    <mergeCell ref="E64:E65"/>
    <mergeCell ref="F64:F65"/>
    <mergeCell ref="C135:C136"/>
    <mergeCell ref="B57:B61"/>
    <mergeCell ref="D57:D60"/>
    <mergeCell ref="E57:E60"/>
    <mergeCell ref="B104:B105"/>
    <mergeCell ref="C101:C102"/>
    <mergeCell ref="A104:A105"/>
    <mergeCell ref="A78:A85"/>
    <mergeCell ref="D84:E84"/>
    <mergeCell ref="L529:O529"/>
    <mergeCell ref="L434:L435"/>
    <mergeCell ref="A429:A432"/>
    <mergeCell ref="L456:L457"/>
    <mergeCell ref="L272:L273"/>
    <mergeCell ref="A227:A228"/>
    <mergeCell ref="C227:C228"/>
    <mergeCell ref="L227:L228"/>
    <mergeCell ref="L246:P246"/>
    <mergeCell ref="A263:A264"/>
    <mergeCell ref="A234:A235"/>
    <mergeCell ref="A251:A255"/>
    <mergeCell ref="D251:D255"/>
    <mergeCell ref="E251:E255"/>
    <mergeCell ref="B263:B264"/>
    <mergeCell ref="C263:C264"/>
    <mergeCell ref="B447:B448"/>
    <mergeCell ref="C447:C448"/>
    <mergeCell ref="L254:L255"/>
    <mergeCell ref="A379:A381"/>
    <mergeCell ref="L363:L364"/>
    <mergeCell ref="L743:O743"/>
    <mergeCell ref="L744:O744"/>
    <mergeCell ref="A553:A554"/>
    <mergeCell ref="B553:B554"/>
    <mergeCell ref="C553:C554"/>
    <mergeCell ref="D553:D554"/>
    <mergeCell ref="E553:E554"/>
    <mergeCell ref="F553:F554"/>
    <mergeCell ref="A537:A540"/>
    <mergeCell ref="L591:L592"/>
    <mergeCell ref="B542:B543"/>
    <mergeCell ref="C542:C543"/>
    <mergeCell ref="D542:D543"/>
    <mergeCell ref="E542:E543"/>
    <mergeCell ref="F542:F543"/>
    <mergeCell ref="A565:A566"/>
    <mergeCell ref="A568:A573"/>
    <mergeCell ref="A574:A580"/>
    <mergeCell ref="L613:L614"/>
    <mergeCell ref="L600:L602"/>
    <mergeCell ref="A603:A604"/>
    <mergeCell ref="B603:B604"/>
    <mergeCell ref="C603:C604"/>
    <mergeCell ref="A600:A602"/>
    <mergeCell ref="F104:F105"/>
    <mergeCell ref="F78:F79"/>
    <mergeCell ref="B88:B90"/>
    <mergeCell ref="C88:C90"/>
    <mergeCell ref="E172:E175"/>
    <mergeCell ref="B78:B85"/>
    <mergeCell ref="D83:E83"/>
    <mergeCell ref="C107:C108"/>
    <mergeCell ref="C97:C98"/>
    <mergeCell ref="F148:F149"/>
    <mergeCell ref="B101:B102"/>
    <mergeCell ref="A205:A206"/>
    <mergeCell ref="F207:F216"/>
    <mergeCell ref="C192:C194"/>
    <mergeCell ref="D192:D194"/>
    <mergeCell ref="B192:B194"/>
    <mergeCell ref="C186:C187"/>
    <mergeCell ref="D186:D187"/>
    <mergeCell ref="E192:E194"/>
    <mergeCell ref="F192:F194"/>
    <mergeCell ref="A196:A197"/>
    <mergeCell ref="B196:B197"/>
    <mergeCell ref="C196:C197"/>
    <mergeCell ref="B205:B206"/>
    <mergeCell ref="C205:C206"/>
    <mergeCell ref="D205:D206"/>
    <mergeCell ref="E205:E206"/>
    <mergeCell ref="E198:E199"/>
    <mergeCell ref="F198:F199"/>
    <mergeCell ref="E207:E216"/>
    <mergeCell ref="C318:C319"/>
    <mergeCell ref="B234:B235"/>
    <mergeCell ref="C251:C255"/>
    <mergeCell ref="B298:B299"/>
    <mergeCell ref="E333:E334"/>
    <mergeCell ref="F186:F187"/>
    <mergeCell ref="C198:C201"/>
    <mergeCell ref="B328:B329"/>
    <mergeCell ref="C328:C329"/>
    <mergeCell ref="E277:E282"/>
    <mergeCell ref="D263:D264"/>
    <mergeCell ref="E263:E264"/>
    <mergeCell ref="A222:A223"/>
    <mergeCell ref="C222:C223"/>
    <mergeCell ref="C286:C287"/>
    <mergeCell ref="B333:B334"/>
    <mergeCell ref="C333:C334"/>
    <mergeCell ref="A272:A274"/>
    <mergeCell ref="B272:B274"/>
    <mergeCell ref="A277:A282"/>
    <mergeCell ref="B277:B282"/>
    <mergeCell ref="C277:C282"/>
    <mergeCell ref="A286:A287"/>
    <mergeCell ref="B286:B287"/>
    <mergeCell ref="B251:B255"/>
    <mergeCell ref="A298:A299"/>
    <mergeCell ref="A288:A289"/>
    <mergeCell ref="A318:A319"/>
    <mergeCell ref="B222:B223"/>
    <mergeCell ref="A324:A327"/>
    <mergeCell ref="A328:A329"/>
    <mergeCell ref="A314:A316"/>
    <mergeCell ref="B314:B316"/>
    <mergeCell ref="C314:C316"/>
    <mergeCell ref="B227:B228"/>
    <mergeCell ref="B318:B319"/>
    <mergeCell ref="B751:B752"/>
    <mergeCell ref="A751:A752"/>
    <mergeCell ref="F427:F428"/>
    <mergeCell ref="B427:B428"/>
    <mergeCell ref="C427:C428"/>
    <mergeCell ref="D485:E485"/>
    <mergeCell ref="D482:E482"/>
    <mergeCell ref="B731:B732"/>
    <mergeCell ref="A701:A702"/>
    <mergeCell ref="B701:B702"/>
    <mergeCell ref="D697:D698"/>
    <mergeCell ref="E697:E698"/>
    <mergeCell ref="B437:B438"/>
    <mergeCell ref="B450:B451"/>
    <mergeCell ref="C450:C451"/>
    <mergeCell ref="C437:C438"/>
    <mergeCell ref="A437:A438"/>
    <mergeCell ref="A427:A428"/>
    <mergeCell ref="D427:D428"/>
    <mergeCell ref="E427:E428"/>
    <mergeCell ref="B429:B432"/>
    <mergeCell ref="C751:C752"/>
    <mergeCell ref="D751:D752"/>
    <mergeCell ref="E751:E752"/>
    <mergeCell ref="F751:F752"/>
    <mergeCell ref="C748:C749"/>
    <mergeCell ref="D748:D749"/>
    <mergeCell ref="E748:E749"/>
    <mergeCell ref="F748:F749"/>
    <mergeCell ref="A748:A750"/>
    <mergeCell ref="B748:B750"/>
    <mergeCell ref="A101:A102"/>
    <mergeCell ref="A403:A404"/>
    <mergeCell ref="B403:B404"/>
    <mergeCell ref="E429:E432"/>
    <mergeCell ref="F429:F432"/>
    <mergeCell ref="A443:A444"/>
    <mergeCell ref="B443:B444"/>
    <mergeCell ref="A450:A451"/>
    <mergeCell ref="C465:C466"/>
    <mergeCell ref="A406:A410"/>
    <mergeCell ref="B406:B410"/>
    <mergeCell ref="C406:C410"/>
    <mergeCell ref="C429:C432"/>
    <mergeCell ref="D429:D432"/>
    <mergeCell ref="A198:A201"/>
    <mergeCell ref="B198:B201"/>
    <mergeCell ref="A447:A44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7"/>
  <sheetViews>
    <sheetView rightToLeft="1" topLeftCell="B589" zoomScale="60" zoomScaleNormal="60" workbookViewId="0">
      <selection activeCell="B603" sqref="B603:B607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2623">
        <v>1</v>
      </c>
      <c r="B2" s="22" t="s">
        <v>1589</v>
      </c>
      <c r="C2" s="2689" t="s">
        <v>380</v>
      </c>
      <c r="D2" s="2622">
        <v>600000000</v>
      </c>
      <c r="E2" s="2688">
        <v>0.06</v>
      </c>
      <c r="F2" s="2622">
        <f>D2*E2</f>
        <v>36000000</v>
      </c>
      <c r="G2" s="2622">
        <v>36000000</v>
      </c>
      <c r="H2" s="2622" t="s">
        <v>4184</v>
      </c>
      <c r="I2" s="2685" t="s">
        <v>1923</v>
      </c>
      <c r="J2" s="2622">
        <f>G2</f>
        <v>36000000</v>
      </c>
      <c r="K2" s="2622">
        <f>F2-J2</f>
        <v>0</v>
      </c>
      <c r="L2" s="2656"/>
    </row>
    <row r="3" spans="1:12" ht="30" customHeight="1" x14ac:dyDescent="0.2">
      <c r="A3" s="2692">
        <v>2</v>
      </c>
      <c r="B3" s="2687" t="s">
        <v>287</v>
      </c>
      <c r="C3" s="2660"/>
      <c r="D3" s="2634">
        <v>300000000</v>
      </c>
      <c r="E3" s="2631">
        <v>0.05</v>
      </c>
      <c r="F3" s="2634">
        <f>D3*E3</f>
        <v>15000000</v>
      </c>
      <c r="G3" s="2634">
        <v>15000000</v>
      </c>
      <c r="H3" s="2634" t="s">
        <v>4184</v>
      </c>
      <c r="I3" s="24" t="s">
        <v>4240</v>
      </c>
      <c r="J3" s="2634">
        <f>G3</f>
        <v>15000000</v>
      </c>
      <c r="K3" s="2634">
        <f>F3-J3</f>
        <v>0</v>
      </c>
      <c r="L3" s="2687"/>
    </row>
    <row r="4" spans="1:12" ht="30" customHeight="1" x14ac:dyDescent="0.2">
      <c r="A4" s="2692">
        <v>3</v>
      </c>
      <c r="B4" s="22" t="s">
        <v>290</v>
      </c>
      <c r="C4" s="2660" t="s">
        <v>367</v>
      </c>
      <c r="D4" s="2634">
        <v>36000000</v>
      </c>
      <c r="E4" s="2688">
        <v>7.0000000000000007E-2</v>
      </c>
      <c r="F4" s="2634">
        <v>2500000</v>
      </c>
      <c r="G4" s="2634">
        <v>2500000</v>
      </c>
      <c r="H4" s="2634" t="s">
        <v>4156</v>
      </c>
      <c r="I4" s="28" t="s">
        <v>2152</v>
      </c>
      <c r="J4" s="2634">
        <f>G4</f>
        <v>2500000</v>
      </c>
      <c r="K4" s="2634">
        <f>F4-J4</f>
        <v>0</v>
      </c>
      <c r="L4" s="2687"/>
    </row>
    <row r="5" spans="1:12" ht="30" customHeight="1" x14ac:dyDescent="0.2">
      <c r="A5" s="2623">
        <v>4</v>
      </c>
      <c r="B5" s="2686" t="s">
        <v>315</v>
      </c>
      <c r="C5" s="2689" t="s">
        <v>2778</v>
      </c>
      <c r="D5" s="2634">
        <v>700000000</v>
      </c>
      <c r="E5" s="2688">
        <v>6.3E-2</v>
      </c>
      <c r="F5" s="2634">
        <f>D5*E5</f>
        <v>44100000</v>
      </c>
      <c r="G5" s="2634">
        <v>29000000</v>
      </c>
      <c r="H5" s="2634" t="s">
        <v>2141</v>
      </c>
      <c r="I5" s="28" t="s">
        <v>1636</v>
      </c>
      <c r="J5" s="2634">
        <f>15000000+G5</f>
        <v>44000000</v>
      </c>
      <c r="K5" s="2634">
        <f>F5-J5</f>
        <v>100000</v>
      </c>
      <c r="L5" s="33" t="s">
        <v>4049</v>
      </c>
    </row>
    <row r="6" spans="1:12" ht="30" customHeight="1" x14ac:dyDescent="0.2">
      <c r="A6" s="2692">
        <v>5</v>
      </c>
      <c r="B6" s="22" t="s">
        <v>323</v>
      </c>
      <c r="C6" s="2660" t="s">
        <v>380</v>
      </c>
      <c r="D6" s="2634">
        <v>20000000</v>
      </c>
      <c r="E6" s="2688">
        <v>7.0000000000000007E-2</v>
      </c>
      <c r="F6" s="2634">
        <v>1400000</v>
      </c>
      <c r="G6" s="2634">
        <v>1400000</v>
      </c>
      <c r="H6" s="2634" t="s">
        <v>4156</v>
      </c>
      <c r="I6" s="28" t="s">
        <v>1952</v>
      </c>
      <c r="J6" s="2634">
        <f t="shared" ref="J6:J11" si="0">G6</f>
        <v>1400000</v>
      </c>
      <c r="K6" s="2634">
        <f t="shared" ref="K6:K11" si="1">F6-J6</f>
        <v>0</v>
      </c>
      <c r="L6" s="33" t="s">
        <v>326</v>
      </c>
    </row>
    <row r="7" spans="1:12" ht="30" customHeight="1" x14ac:dyDescent="0.2">
      <c r="A7" s="2623">
        <v>6</v>
      </c>
      <c r="B7" s="2686" t="s">
        <v>416</v>
      </c>
      <c r="C7" s="2659"/>
      <c r="D7" s="2634">
        <v>15000000</v>
      </c>
      <c r="E7" s="2688">
        <v>0.05</v>
      </c>
      <c r="F7" s="2634">
        <f t="shared" ref="F7:F13" si="2">D7*E7</f>
        <v>750000</v>
      </c>
      <c r="G7" s="2634"/>
      <c r="H7" s="2634"/>
      <c r="I7" s="28"/>
      <c r="J7" s="2634">
        <f t="shared" si="0"/>
        <v>0</v>
      </c>
      <c r="K7" s="2634">
        <f t="shared" si="1"/>
        <v>750000</v>
      </c>
      <c r="L7" s="683"/>
    </row>
    <row r="8" spans="1:12" ht="30" customHeight="1" x14ac:dyDescent="0.2">
      <c r="A8" s="2623">
        <v>7</v>
      </c>
      <c r="B8" s="2686" t="s">
        <v>104</v>
      </c>
      <c r="C8" s="2659" t="s">
        <v>916</v>
      </c>
      <c r="D8" s="2634">
        <v>45000000</v>
      </c>
      <c r="E8" s="2688">
        <v>0.05</v>
      </c>
      <c r="F8" s="2634">
        <f t="shared" si="2"/>
        <v>2250000</v>
      </c>
      <c r="G8" s="2634">
        <v>2250000</v>
      </c>
      <c r="H8" s="2634" t="s">
        <v>4062</v>
      </c>
      <c r="I8" s="30" t="s">
        <v>3556</v>
      </c>
      <c r="J8" s="2634">
        <f t="shared" si="0"/>
        <v>2250000</v>
      </c>
      <c r="K8" s="2634">
        <f t="shared" si="1"/>
        <v>0</v>
      </c>
      <c r="L8" s="786"/>
    </row>
    <row r="9" spans="1:12" ht="30" customHeight="1" x14ac:dyDescent="0.2">
      <c r="A9" s="2623">
        <v>8</v>
      </c>
      <c r="B9" s="22" t="s">
        <v>356</v>
      </c>
      <c r="C9" s="2689" t="s">
        <v>1346</v>
      </c>
      <c r="D9" s="2622">
        <v>400000000</v>
      </c>
      <c r="E9" s="2688">
        <v>4.4999999999999998E-2</v>
      </c>
      <c r="F9" s="2622">
        <f t="shared" si="2"/>
        <v>18000000</v>
      </c>
      <c r="G9" s="2622">
        <v>18000000</v>
      </c>
      <c r="H9" s="2634" t="s">
        <v>4201</v>
      </c>
      <c r="I9" s="28" t="s">
        <v>3877</v>
      </c>
      <c r="J9" s="2634">
        <f t="shared" si="0"/>
        <v>18000000</v>
      </c>
      <c r="K9" s="2622">
        <f t="shared" si="1"/>
        <v>0</v>
      </c>
      <c r="L9" s="2641" t="s">
        <v>4207</v>
      </c>
    </row>
    <row r="10" spans="1:12" ht="30" customHeight="1" x14ac:dyDescent="0.2">
      <c r="A10" s="2692">
        <v>9</v>
      </c>
      <c r="B10" s="2687" t="s">
        <v>387</v>
      </c>
      <c r="C10" s="2660" t="s">
        <v>379</v>
      </c>
      <c r="D10" s="2634">
        <v>10000000</v>
      </c>
      <c r="E10" s="2631">
        <v>0.05</v>
      </c>
      <c r="F10" s="2634">
        <f t="shared" si="2"/>
        <v>500000</v>
      </c>
      <c r="G10" s="2634">
        <v>500000</v>
      </c>
      <c r="H10" s="2634" t="s">
        <v>1045</v>
      </c>
      <c r="I10" s="28" t="s">
        <v>1031</v>
      </c>
      <c r="J10" s="2634">
        <f t="shared" si="0"/>
        <v>500000</v>
      </c>
      <c r="K10" s="2634">
        <f t="shared" si="1"/>
        <v>0</v>
      </c>
      <c r="L10" s="33"/>
    </row>
    <row r="11" spans="1:12" ht="30" customHeight="1" x14ac:dyDescent="0.2">
      <c r="A11" s="2692">
        <v>10</v>
      </c>
      <c r="B11" s="2686" t="s">
        <v>1029</v>
      </c>
      <c r="C11" s="2689" t="s">
        <v>1909</v>
      </c>
      <c r="D11" s="2634">
        <v>180000000</v>
      </c>
      <c r="E11" s="2688">
        <v>7.0000000000000007E-2</v>
      </c>
      <c r="F11" s="2634">
        <f t="shared" si="2"/>
        <v>12600000.000000002</v>
      </c>
      <c r="G11" s="2634">
        <v>12600000</v>
      </c>
      <c r="H11" s="2634" t="s">
        <v>4276</v>
      </c>
      <c r="I11" s="28" t="s">
        <v>2502</v>
      </c>
      <c r="J11" s="2634">
        <f t="shared" si="0"/>
        <v>12600000</v>
      </c>
      <c r="K11" s="2634">
        <f t="shared" si="1"/>
        <v>0</v>
      </c>
      <c r="L11" s="192" t="s">
        <v>3332</v>
      </c>
    </row>
    <row r="12" spans="1:12" ht="30" customHeight="1" x14ac:dyDescent="0.2">
      <c r="A12" s="3450">
        <v>11</v>
      </c>
      <c r="B12" s="3687" t="s">
        <v>402</v>
      </c>
      <c r="C12" s="2660" t="s">
        <v>367</v>
      </c>
      <c r="D12" s="2622">
        <v>15000000</v>
      </c>
      <c r="E12" s="2688">
        <v>7.0000000000000007E-2</v>
      </c>
      <c r="F12" s="2622">
        <f t="shared" si="2"/>
        <v>1050000</v>
      </c>
      <c r="G12" s="3442">
        <v>1383000</v>
      </c>
      <c r="H12" s="3442" t="s">
        <v>4164</v>
      </c>
      <c r="I12" s="3925" t="s">
        <v>403</v>
      </c>
      <c r="J12" s="3442">
        <f>G12+G13</f>
        <v>1383000</v>
      </c>
      <c r="K12" s="3442">
        <v>0</v>
      </c>
      <c r="L12" s="3468" t="s">
        <v>4163</v>
      </c>
    </row>
    <row r="13" spans="1:12" ht="30" customHeight="1" x14ac:dyDescent="0.2">
      <c r="A13" s="3456"/>
      <c r="B13" s="3687"/>
      <c r="C13" s="2660" t="s">
        <v>1110</v>
      </c>
      <c r="D13" s="2622">
        <v>5000000</v>
      </c>
      <c r="E13" s="2688">
        <v>0.05</v>
      </c>
      <c r="F13" s="2622">
        <f t="shared" si="2"/>
        <v>250000</v>
      </c>
      <c r="G13" s="3443"/>
      <c r="H13" s="3443"/>
      <c r="I13" s="3926"/>
      <c r="J13" s="3443"/>
      <c r="K13" s="3443"/>
      <c r="L13" s="3469"/>
    </row>
    <row r="14" spans="1:12" ht="30" customHeight="1" x14ac:dyDescent="0.2">
      <c r="A14" s="1081">
        <v>12</v>
      </c>
      <c r="B14" s="2686" t="s">
        <v>408</v>
      </c>
      <c r="C14" s="2660" t="s">
        <v>1215</v>
      </c>
      <c r="D14" s="2634">
        <v>75000000</v>
      </c>
      <c r="E14" s="2631">
        <f>F14/D14</f>
        <v>5.3333333333333337E-2</v>
      </c>
      <c r="F14" s="2634">
        <v>4000000</v>
      </c>
      <c r="G14" s="2634">
        <v>4000000</v>
      </c>
      <c r="H14" s="2634" t="s">
        <v>2141</v>
      </c>
      <c r="I14" s="57" t="s">
        <v>410</v>
      </c>
      <c r="J14" s="2634">
        <f>G14</f>
        <v>4000000</v>
      </c>
      <c r="K14" s="2634">
        <f>F14-J14</f>
        <v>0</v>
      </c>
      <c r="L14" s="2642" t="s">
        <v>3852</v>
      </c>
    </row>
    <row r="15" spans="1:12" ht="30" customHeight="1" x14ac:dyDescent="0.2">
      <c r="A15" s="3456"/>
      <c r="B15" s="3457" t="s">
        <v>429</v>
      </c>
      <c r="C15" s="3576" t="s">
        <v>367</v>
      </c>
      <c r="D15" s="2634">
        <v>80000000</v>
      </c>
      <c r="E15" s="2631">
        <v>0.06</v>
      </c>
      <c r="F15" s="2634">
        <f t="shared" ref="F15:F21" si="3">D15*E15</f>
        <v>4800000</v>
      </c>
      <c r="G15" s="3927" t="s">
        <v>4606</v>
      </c>
      <c r="H15" s="3928"/>
      <c r="I15" s="3928"/>
      <c r="J15" s="3929"/>
      <c r="K15" s="3442">
        <f>(F15+F16)-J15</f>
        <v>11800000</v>
      </c>
      <c r="L15" s="3468"/>
    </row>
    <row r="16" spans="1:12" ht="30" customHeight="1" x14ac:dyDescent="0.2">
      <c r="A16" s="3451"/>
      <c r="B16" s="3458"/>
      <c r="C16" s="3571"/>
      <c r="D16" s="2634">
        <v>100000000</v>
      </c>
      <c r="E16" s="2631">
        <v>7.0000000000000007E-2</v>
      </c>
      <c r="F16" s="2634">
        <f t="shared" si="3"/>
        <v>7000000.0000000009</v>
      </c>
      <c r="G16" s="3930"/>
      <c r="H16" s="3931"/>
      <c r="I16" s="3931"/>
      <c r="J16" s="3932"/>
      <c r="K16" s="3443"/>
      <c r="L16" s="3469"/>
    </row>
    <row r="17" spans="1:14" ht="30" customHeight="1" x14ac:dyDescent="0.2">
      <c r="A17" s="2625">
        <v>14</v>
      </c>
      <c r="B17" s="2627" t="s">
        <v>437</v>
      </c>
      <c r="C17" s="2660" t="s">
        <v>1355</v>
      </c>
      <c r="D17" s="2634">
        <v>150000000</v>
      </c>
      <c r="E17" s="2631">
        <v>0.04</v>
      </c>
      <c r="F17" s="2634">
        <f t="shared" si="3"/>
        <v>6000000</v>
      </c>
      <c r="G17" s="2634">
        <v>6000000</v>
      </c>
      <c r="H17" s="2634" t="s">
        <v>4201</v>
      </c>
      <c r="I17" s="69" t="s">
        <v>4202</v>
      </c>
      <c r="J17" s="2634">
        <f t="shared" ref="J17:J22" si="4">G17</f>
        <v>6000000</v>
      </c>
      <c r="K17" s="2634">
        <f t="shared" ref="K17:K22" si="5">F17-J17</f>
        <v>0</v>
      </c>
      <c r="L17" s="2636"/>
    </row>
    <row r="18" spans="1:14" ht="30" customHeight="1" x14ac:dyDescent="0.2">
      <c r="A18" s="2625">
        <v>15</v>
      </c>
      <c r="B18" s="2627" t="s">
        <v>445</v>
      </c>
      <c r="C18" s="2660"/>
      <c r="D18" s="2634">
        <v>13000000</v>
      </c>
      <c r="E18" s="2631">
        <v>0.05</v>
      </c>
      <c r="F18" s="2634">
        <f t="shared" si="3"/>
        <v>650000</v>
      </c>
      <c r="G18" s="2634">
        <v>650000</v>
      </c>
      <c r="H18" s="2634" t="s">
        <v>4216</v>
      </c>
      <c r="I18" s="69" t="s">
        <v>3746</v>
      </c>
      <c r="J18" s="2634">
        <f t="shared" si="4"/>
        <v>650000</v>
      </c>
      <c r="K18" s="2634">
        <f t="shared" si="5"/>
        <v>0</v>
      </c>
      <c r="L18" s="2636"/>
    </row>
    <row r="19" spans="1:14" ht="30" customHeight="1" x14ac:dyDescent="0.2">
      <c r="A19" s="2692">
        <v>16</v>
      </c>
      <c r="B19" s="22" t="s">
        <v>498</v>
      </c>
      <c r="C19" s="2689" t="s">
        <v>1817</v>
      </c>
      <c r="D19" s="2622">
        <v>80000000</v>
      </c>
      <c r="E19" s="2688">
        <v>0.04</v>
      </c>
      <c r="F19" s="2622">
        <f t="shared" si="3"/>
        <v>3200000</v>
      </c>
      <c r="G19" s="2622">
        <v>3200000</v>
      </c>
      <c r="H19" s="2622" t="s">
        <v>4133</v>
      </c>
      <c r="I19" s="2710" t="s">
        <v>4140</v>
      </c>
      <c r="J19" s="2622">
        <f t="shared" si="4"/>
        <v>3200000</v>
      </c>
      <c r="K19" s="2622">
        <f t="shared" si="5"/>
        <v>0</v>
      </c>
      <c r="L19" s="53"/>
    </row>
    <row r="20" spans="1:14" ht="30" customHeight="1" x14ac:dyDescent="0.2">
      <c r="A20" s="2625">
        <v>17</v>
      </c>
      <c r="B20" s="2627" t="s">
        <v>768</v>
      </c>
      <c r="C20" s="2660" t="s">
        <v>1344</v>
      </c>
      <c r="D20" s="2634">
        <v>100000000</v>
      </c>
      <c r="E20" s="2631">
        <v>0.06</v>
      </c>
      <c r="F20" s="2634">
        <f t="shared" si="3"/>
        <v>6000000</v>
      </c>
      <c r="G20" s="2634">
        <v>6000000</v>
      </c>
      <c r="H20" s="2634" t="s">
        <v>4286</v>
      </c>
      <c r="I20" s="69" t="s">
        <v>3343</v>
      </c>
      <c r="J20" s="2634">
        <f t="shared" si="4"/>
        <v>6000000</v>
      </c>
      <c r="K20" s="2634">
        <f t="shared" si="5"/>
        <v>0</v>
      </c>
      <c r="L20" s="2636"/>
    </row>
    <row r="21" spans="1:14" ht="30" customHeight="1" x14ac:dyDescent="0.2">
      <c r="A21" s="2625">
        <v>18</v>
      </c>
      <c r="B21" s="2627" t="s">
        <v>567</v>
      </c>
      <c r="C21" s="2660" t="s">
        <v>1355</v>
      </c>
      <c r="D21" s="2634">
        <v>50000000</v>
      </c>
      <c r="E21" s="2631">
        <v>0.05</v>
      </c>
      <c r="F21" s="2634">
        <f t="shared" si="3"/>
        <v>2500000</v>
      </c>
      <c r="G21" s="2634">
        <v>2500000</v>
      </c>
      <c r="H21" s="2634" t="s">
        <v>4216</v>
      </c>
      <c r="I21" s="69" t="s">
        <v>3109</v>
      </c>
      <c r="J21" s="2634">
        <f t="shared" si="4"/>
        <v>2500000</v>
      </c>
      <c r="K21" s="2634">
        <f t="shared" si="5"/>
        <v>0</v>
      </c>
      <c r="L21" s="2636"/>
    </row>
    <row r="22" spans="1:14" ht="30" customHeight="1" x14ac:dyDescent="0.2">
      <c r="A22" s="3450">
        <v>19</v>
      </c>
      <c r="B22" s="3687" t="s">
        <v>574</v>
      </c>
      <c r="C22" s="3686"/>
      <c r="D22" s="2634">
        <v>50000000</v>
      </c>
      <c r="E22" s="3444">
        <f>F22/(D22+D23)</f>
        <v>0.05</v>
      </c>
      <c r="F22" s="3442">
        <v>3250000</v>
      </c>
      <c r="G22" s="3442">
        <v>3250000</v>
      </c>
      <c r="H22" s="3442" t="s">
        <v>4184</v>
      </c>
      <c r="I22" s="3582" t="s">
        <v>576</v>
      </c>
      <c r="J22" s="3442">
        <f t="shared" si="4"/>
        <v>3250000</v>
      </c>
      <c r="K22" s="3442">
        <f t="shared" si="5"/>
        <v>0</v>
      </c>
      <c r="L22" s="2666" t="s">
        <v>2121</v>
      </c>
    </row>
    <row r="23" spans="1:14" ht="30" customHeight="1" x14ac:dyDescent="0.2">
      <c r="A23" s="3456"/>
      <c r="B23" s="3687"/>
      <c r="C23" s="3686"/>
      <c r="D23" s="2634">
        <v>15000000</v>
      </c>
      <c r="E23" s="3445"/>
      <c r="F23" s="3443"/>
      <c r="G23" s="3443"/>
      <c r="H23" s="3443"/>
      <c r="I23" s="3583"/>
      <c r="J23" s="3443"/>
      <c r="K23" s="3443"/>
      <c r="L23" s="2666" t="s">
        <v>3047</v>
      </c>
    </row>
    <row r="24" spans="1:14" ht="30" customHeight="1" x14ac:dyDescent="0.2">
      <c r="A24" s="2625">
        <v>22</v>
      </c>
      <c r="B24" s="22" t="s">
        <v>674</v>
      </c>
      <c r="C24" s="2689" t="s">
        <v>1342</v>
      </c>
      <c r="D24" s="2634">
        <v>300000000</v>
      </c>
      <c r="E24" s="2631">
        <v>0.05</v>
      </c>
      <c r="F24" s="2634">
        <f>D24*E24</f>
        <v>15000000</v>
      </c>
      <c r="G24" s="2634">
        <v>15000000</v>
      </c>
      <c r="H24" s="2634" t="s">
        <v>4201</v>
      </c>
      <c r="I24" s="69" t="s">
        <v>2294</v>
      </c>
      <c r="J24" s="2622">
        <f>G24</f>
        <v>15000000</v>
      </c>
      <c r="K24" s="2622">
        <f>F24-J24</f>
        <v>0</v>
      </c>
      <c r="L24" s="53"/>
    </row>
    <row r="25" spans="1:14" ht="30" customHeight="1" x14ac:dyDescent="0.2">
      <c r="A25" s="1081">
        <v>23</v>
      </c>
      <c r="B25" s="22" t="s">
        <v>2247</v>
      </c>
      <c r="C25" s="2689" t="s">
        <v>2130</v>
      </c>
      <c r="D25" s="2634">
        <v>150000000</v>
      </c>
      <c r="E25" s="2631">
        <v>7.0000000000000007E-2</v>
      </c>
      <c r="F25" s="2634">
        <f>D25*E25</f>
        <v>10500000.000000002</v>
      </c>
      <c r="G25" s="2634">
        <v>10500000</v>
      </c>
      <c r="H25" s="3442" t="s">
        <v>4270</v>
      </c>
      <c r="I25" s="3582" t="s">
        <v>3843</v>
      </c>
      <c r="J25" s="2622">
        <f>G25</f>
        <v>10500000</v>
      </c>
      <c r="K25" s="2622">
        <f>F25-G25</f>
        <v>0</v>
      </c>
      <c r="L25" s="683" t="s">
        <v>4745</v>
      </c>
    </row>
    <row r="26" spans="1:14" ht="30" customHeight="1" x14ac:dyDescent="0.2">
      <c r="A26" s="1081"/>
      <c r="B26" s="22" t="s">
        <v>3756</v>
      </c>
      <c r="C26" s="2689" t="s">
        <v>2130</v>
      </c>
      <c r="D26" s="2634">
        <v>70000000</v>
      </c>
      <c r="E26" s="2631">
        <v>0.06</v>
      </c>
      <c r="F26" s="2634">
        <f>D26*E26</f>
        <v>4200000</v>
      </c>
      <c r="G26" s="2634">
        <v>42000000</v>
      </c>
      <c r="H26" s="3443"/>
      <c r="I26" s="3583"/>
      <c r="J26" s="2622">
        <f>G26</f>
        <v>42000000</v>
      </c>
      <c r="K26" s="2634">
        <v>0</v>
      </c>
      <c r="L26" s="33" t="s">
        <v>3844</v>
      </c>
    </row>
    <row r="27" spans="1:14" ht="30" customHeight="1" x14ac:dyDescent="0.2">
      <c r="A27" s="2625">
        <v>25</v>
      </c>
      <c r="B27" s="2627" t="s">
        <v>738</v>
      </c>
      <c r="C27" s="2660" t="s">
        <v>1351</v>
      </c>
      <c r="D27" s="2634">
        <v>35000000</v>
      </c>
      <c r="E27" s="2631">
        <v>5.8000000000000003E-2</v>
      </c>
      <c r="F27" s="2634">
        <v>2000000</v>
      </c>
      <c r="G27" s="2634">
        <v>2000000</v>
      </c>
      <c r="H27" s="2654" t="s">
        <v>4276</v>
      </c>
      <c r="I27" s="69" t="s">
        <v>4277</v>
      </c>
      <c r="J27" s="2634">
        <f>G27</f>
        <v>2000000</v>
      </c>
      <c r="K27" s="2634">
        <f>F27-G27</f>
        <v>0</v>
      </c>
      <c r="L27" s="2642"/>
      <c r="M27" s="406"/>
      <c r="N27" s="406"/>
    </row>
    <row r="28" spans="1:14" ht="30" customHeight="1" x14ac:dyDescent="0.2">
      <c r="A28" s="2624"/>
      <c r="B28" s="2628" t="s">
        <v>828</v>
      </c>
      <c r="C28" s="2661" t="s">
        <v>367</v>
      </c>
      <c r="D28" s="2633">
        <v>700000000</v>
      </c>
      <c r="E28" s="2630">
        <v>0.05</v>
      </c>
      <c r="F28" s="2633">
        <f t="shared" ref="F28:F43" si="6">D28*E28</f>
        <v>35000000</v>
      </c>
      <c r="G28" s="2622">
        <v>35000000</v>
      </c>
      <c r="H28" s="2622" t="s">
        <v>4156</v>
      </c>
      <c r="I28" s="2622" t="s">
        <v>3198</v>
      </c>
      <c r="J28" s="2622">
        <f>G28</f>
        <v>35000000</v>
      </c>
      <c r="K28" s="2633">
        <f>F28-J28</f>
        <v>0</v>
      </c>
      <c r="L28" s="192" t="s">
        <v>3824</v>
      </c>
      <c r="M28" s="406"/>
      <c r="N28" s="406"/>
    </row>
    <row r="29" spans="1:14" ht="30" customHeight="1" x14ac:dyDescent="0.2">
      <c r="A29" s="3450">
        <v>27</v>
      </c>
      <c r="B29" s="3525" t="s">
        <v>832</v>
      </c>
      <c r="C29" s="3570" t="s">
        <v>1354</v>
      </c>
      <c r="D29" s="2632">
        <v>500000000</v>
      </c>
      <c r="E29" s="2629">
        <v>7.0000000000000007E-2</v>
      </c>
      <c r="F29" s="2632">
        <f t="shared" si="6"/>
        <v>35000000</v>
      </c>
      <c r="G29" s="3933" t="s">
        <v>4432</v>
      </c>
      <c r="H29" s="3933"/>
      <c r="I29" s="3933"/>
      <c r="J29" s="3933"/>
      <c r="K29" s="2632">
        <f t="shared" ref="K29:K40" si="7">F29-J29</f>
        <v>35000000</v>
      </c>
      <c r="L29" s="3890" t="s">
        <v>4888</v>
      </c>
      <c r="M29" s="406"/>
      <c r="N29" s="406"/>
    </row>
    <row r="30" spans="1:14" ht="30" customHeight="1" x14ac:dyDescent="0.2">
      <c r="A30" s="3456"/>
      <c r="B30" s="3643"/>
      <c r="C30" s="3576"/>
      <c r="D30" s="3442">
        <v>500000000</v>
      </c>
      <c r="E30" s="3444">
        <v>0.05</v>
      </c>
      <c r="F30" s="3442">
        <f t="shared" si="6"/>
        <v>25000000</v>
      </c>
      <c r="G30" s="3933" t="s">
        <v>4886</v>
      </c>
      <c r="H30" s="3933"/>
      <c r="I30" s="3933"/>
      <c r="J30" s="3933"/>
      <c r="K30" s="3203"/>
      <c r="L30" s="3890"/>
      <c r="M30" s="406"/>
      <c r="N30" s="406"/>
    </row>
    <row r="31" spans="1:14" ht="30" customHeight="1" x14ac:dyDescent="0.2">
      <c r="A31" s="3456"/>
      <c r="B31" s="3643"/>
      <c r="C31" s="3576"/>
      <c r="D31" s="3443"/>
      <c r="E31" s="3445"/>
      <c r="F31" s="3443"/>
      <c r="G31" s="3936" t="s">
        <v>4887</v>
      </c>
      <c r="H31" s="3937"/>
      <c r="I31" s="3937"/>
      <c r="J31" s="3938"/>
      <c r="K31" s="3203"/>
      <c r="L31" s="3890"/>
      <c r="M31" s="406"/>
      <c r="N31" s="406"/>
    </row>
    <row r="32" spans="1:14" ht="30" customHeight="1" x14ac:dyDescent="0.2">
      <c r="A32" s="3456"/>
      <c r="B32" s="3643"/>
      <c r="C32" s="3576"/>
      <c r="D32" s="3203">
        <v>150000000</v>
      </c>
      <c r="E32" s="3205">
        <v>7.0000000000000007E-2</v>
      </c>
      <c r="F32" s="3203">
        <f t="shared" si="6"/>
        <v>10500000.000000002</v>
      </c>
      <c r="G32" s="3933" t="s">
        <v>4885</v>
      </c>
      <c r="H32" s="3933"/>
      <c r="I32" s="3933"/>
      <c r="J32" s="3933"/>
      <c r="K32" s="3203"/>
      <c r="L32" s="3890"/>
      <c r="M32" s="406"/>
      <c r="N32" s="406"/>
    </row>
    <row r="33" spans="1:14" ht="30" customHeight="1" x14ac:dyDescent="0.2">
      <c r="A33" s="3456"/>
      <c r="B33" s="3643"/>
      <c r="C33" s="3576"/>
      <c r="D33" s="3209">
        <v>650000000</v>
      </c>
      <c r="E33" s="3210">
        <v>7.0000000000000007E-2</v>
      </c>
      <c r="F33" s="3209">
        <f t="shared" si="6"/>
        <v>45500000.000000007</v>
      </c>
      <c r="G33" s="3454"/>
      <c r="H33" s="3454"/>
      <c r="I33" s="3934"/>
      <c r="J33" s="3454"/>
      <c r="K33" s="3454"/>
      <c r="L33" s="3890"/>
      <c r="M33" s="406"/>
      <c r="N33" s="406"/>
    </row>
    <row r="34" spans="1:14" ht="30" customHeight="1" x14ac:dyDescent="0.2">
      <c r="A34" s="3451"/>
      <c r="B34" s="3526"/>
      <c r="C34" s="3571"/>
      <c r="D34" s="3209">
        <v>500000000</v>
      </c>
      <c r="E34" s="3210">
        <v>0.05</v>
      </c>
      <c r="F34" s="3209">
        <f t="shared" si="6"/>
        <v>25000000</v>
      </c>
      <c r="G34" s="3455"/>
      <c r="H34" s="3455"/>
      <c r="I34" s="3935"/>
      <c r="J34" s="3455"/>
      <c r="K34" s="3455"/>
      <c r="L34" s="3890"/>
      <c r="M34" s="406"/>
      <c r="N34" s="406"/>
    </row>
    <row r="35" spans="1:14" ht="30" customHeight="1" x14ac:dyDescent="0.2">
      <c r="A35" s="3450"/>
      <c r="B35" s="3457" t="s">
        <v>3505</v>
      </c>
      <c r="C35" s="3570" t="s">
        <v>1354</v>
      </c>
      <c r="D35" s="3442">
        <v>700000000</v>
      </c>
      <c r="E35" s="3444">
        <v>0.06</v>
      </c>
      <c r="F35" s="3442">
        <f t="shared" si="6"/>
        <v>42000000</v>
      </c>
      <c r="G35" s="2622">
        <v>42000000</v>
      </c>
      <c r="H35" s="2622" t="s">
        <v>4201</v>
      </c>
      <c r="I35" s="2622" t="s">
        <v>846</v>
      </c>
      <c r="J35" s="2622">
        <f t="shared" ref="J35:J40" si="8">G35</f>
        <v>42000000</v>
      </c>
      <c r="K35" s="2622">
        <f t="shared" si="7"/>
        <v>0</v>
      </c>
      <c r="L35" s="2642"/>
      <c r="M35" s="406"/>
      <c r="N35" s="406"/>
    </row>
    <row r="36" spans="1:14" ht="30" customHeight="1" x14ac:dyDescent="0.2">
      <c r="A36" s="3451"/>
      <c r="B36" s="3458"/>
      <c r="C36" s="3571"/>
      <c r="D36" s="3443"/>
      <c r="E36" s="3445"/>
      <c r="F36" s="3443"/>
      <c r="G36" s="2634">
        <v>8000000</v>
      </c>
      <c r="H36" s="2654" t="s">
        <v>4201</v>
      </c>
      <c r="I36" s="2654" t="s">
        <v>846</v>
      </c>
      <c r="J36" s="2634">
        <f>G36</f>
        <v>8000000</v>
      </c>
      <c r="K36" s="2634"/>
      <c r="L36" s="2642" t="s">
        <v>4211</v>
      </c>
      <c r="M36" s="406"/>
      <c r="N36" s="406"/>
    </row>
    <row r="37" spans="1:14" ht="30" customHeight="1" x14ac:dyDescent="0.2">
      <c r="A37" s="2625">
        <v>29</v>
      </c>
      <c r="B37" s="3457" t="s">
        <v>865</v>
      </c>
      <c r="C37" s="2689" t="s">
        <v>1378</v>
      </c>
      <c r="D37" s="2634">
        <v>42000000</v>
      </c>
      <c r="E37" s="2631">
        <v>7.0000000000000007E-2</v>
      </c>
      <c r="F37" s="2634">
        <f t="shared" si="6"/>
        <v>2940000.0000000005</v>
      </c>
      <c r="G37" s="2634">
        <v>2940000</v>
      </c>
      <c r="H37" s="2654" t="s">
        <v>4270</v>
      </c>
      <c r="I37" s="69" t="s">
        <v>3325</v>
      </c>
      <c r="J37" s="2634">
        <f t="shared" si="8"/>
        <v>2940000</v>
      </c>
      <c r="K37" s="2634">
        <f t="shared" si="7"/>
        <v>0</v>
      </c>
      <c r="L37" s="2642"/>
      <c r="M37" s="406"/>
      <c r="N37" s="406"/>
    </row>
    <row r="38" spans="1:14" ht="30" customHeight="1" x14ac:dyDescent="0.2">
      <c r="A38" s="2625"/>
      <c r="B38" s="3458"/>
      <c r="C38" s="3004" t="s">
        <v>4247</v>
      </c>
      <c r="D38" s="2992">
        <v>200000000</v>
      </c>
      <c r="E38" s="2993"/>
      <c r="F38" s="2992"/>
      <c r="G38" s="2992"/>
      <c r="H38" s="496"/>
      <c r="I38" s="3038"/>
      <c r="J38" s="2992"/>
      <c r="K38" s="2992"/>
      <c r="L38" s="3039" t="s">
        <v>4248</v>
      </c>
      <c r="M38" s="406"/>
      <c r="N38" s="406"/>
    </row>
    <row r="39" spans="1:14" ht="30" customHeight="1" x14ac:dyDescent="0.2">
      <c r="A39" s="2625">
        <v>30</v>
      </c>
      <c r="B39" s="2627" t="s">
        <v>870</v>
      </c>
      <c r="C39" s="2660" t="s">
        <v>1138</v>
      </c>
      <c r="D39" s="2634">
        <v>20000000</v>
      </c>
      <c r="E39" s="2631">
        <v>0.04</v>
      </c>
      <c r="F39" s="2634">
        <f t="shared" si="6"/>
        <v>800000</v>
      </c>
      <c r="G39" s="2634">
        <v>800000</v>
      </c>
      <c r="H39" s="2654" t="s">
        <v>4276</v>
      </c>
      <c r="I39" s="69" t="s">
        <v>3240</v>
      </c>
      <c r="J39" s="2634">
        <f t="shared" si="8"/>
        <v>800000</v>
      </c>
      <c r="K39" s="2634">
        <f t="shared" si="7"/>
        <v>0</v>
      </c>
      <c r="L39" s="683"/>
      <c r="M39" s="406"/>
      <c r="N39" s="406"/>
    </row>
    <row r="40" spans="1:14" ht="30" customHeight="1" x14ac:dyDescent="0.2">
      <c r="A40" s="2623">
        <v>31</v>
      </c>
      <c r="B40" s="2686" t="s">
        <v>944</v>
      </c>
      <c r="C40" s="2659"/>
      <c r="D40" s="2622">
        <v>100000000</v>
      </c>
      <c r="E40" s="2688">
        <v>7.0000000000000007E-2</v>
      </c>
      <c r="F40" s="2622">
        <f t="shared" si="6"/>
        <v>7000000.0000000009</v>
      </c>
      <c r="G40" s="2634">
        <v>7000000</v>
      </c>
      <c r="H40" s="2654" t="s">
        <v>4276</v>
      </c>
      <c r="I40" s="69" t="s">
        <v>3330</v>
      </c>
      <c r="J40" s="2632">
        <f t="shared" si="8"/>
        <v>7000000</v>
      </c>
      <c r="K40" s="2632">
        <f t="shared" si="7"/>
        <v>0</v>
      </c>
      <c r="L40" s="2635"/>
      <c r="M40" s="406"/>
      <c r="N40" s="406"/>
    </row>
    <row r="41" spans="1:14" ht="30" customHeight="1" x14ac:dyDescent="0.2">
      <c r="A41" s="3450">
        <v>32</v>
      </c>
      <c r="B41" s="3457" t="s">
        <v>1011</v>
      </c>
      <c r="C41" s="3570" t="s">
        <v>1378</v>
      </c>
      <c r="D41" s="2634">
        <v>100000000</v>
      </c>
      <c r="E41" s="2631">
        <v>0.05</v>
      </c>
      <c r="F41" s="2634">
        <f t="shared" si="6"/>
        <v>5000000</v>
      </c>
      <c r="G41" s="3442">
        <v>8850000</v>
      </c>
      <c r="H41" s="3442" t="s">
        <v>4286</v>
      </c>
      <c r="I41" s="3582" t="s">
        <v>3121</v>
      </c>
      <c r="J41" s="3442">
        <f>G41</f>
        <v>8850000</v>
      </c>
      <c r="K41" s="3442">
        <f>(F41+F42+F43)-J41</f>
        <v>0</v>
      </c>
      <c r="L41" s="3468"/>
      <c r="M41" s="406"/>
      <c r="N41" s="406"/>
    </row>
    <row r="42" spans="1:14" ht="30" customHeight="1" x14ac:dyDescent="0.2">
      <c r="A42" s="3456"/>
      <c r="B42" s="3459"/>
      <c r="C42" s="3576"/>
      <c r="D42" s="2634">
        <v>35000000</v>
      </c>
      <c r="E42" s="2631">
        <v>7.0000000000000007E-2</v>
      </c>
      <c r="F42" s="2634">
        <f t="shared" si="6"/>
        <v>2450000.0000000005</v>
      </c>
      <c r="G42" s="3461"/>
      <c r="H42" s="3461"/>
      <c r="I42" s="3924"/>
      <c r="J42" s="3461"/>
      <c r="K42" s="3461"/>
      <c r="L42" s="3606"/>
      <c r="M42" s="406"/>
      <c r="N42" s="406"/>
    </row>
    <row r="43" spans="1:14" ht="30" customHeight="1" x14ac:dyDescent="0.2">
      <c r="A43" s="3451"/>
      <c r="B43" s="3458"/>
      <c r="C43" s="3571"/>
      <c r="D43" s="2622">
        <v>20000000</v>
      </c>
      <c r="E43" s="2688">
        <v>7.0000000000000007E-2</v>
      </c>
      <c r="F43" s="2622">
        <f t="shared" si="6"/>
        <v>1400000.0000000002</v>
      </c>
      <c r="G43" s="3443"/>
      <c r="H43" s="3443"/>
      <c r="I43" s="3583"/>
      <c r="J43" s="3443"/>
      <c r="K43" s="3443"/>
      <c r="L43" s="3812"/>
      <c r="M43" s="3479"/>
      <c r="N43" s="3480"/>
    </row>
    <row r="44" spans="1:14" ht="30" customHeight="1" x14ac:dyDescent="0.2">
      <c r="A44" s="2625">
        <v>33</v>
      </c>
      <c r="B44" s="2627" t="s">
        <v>1022</v>
      </c>
      <c r="C44" s="2660" t="s">
        <v>1342</v>
      </c>
      <c r="D44" s="2634">
        <v>63580000</v>
      </c>
      <c r="E44" s="2631">
        <v>7.0000000000000007E-2</v>
      </c>
      <c r="F44" s="2634">
        <v>4450000</v>
      </c>
      <c r="G44" s="2634">
        <v>4450000</v>
      </c>
      <c r="H44" s="2634" t="s">
        <v>4201</v>
      </c>
      <c r="I44" s="69" t="s">
        <v>495</v>
      </c>
      <c r="J44" s="2634">
        <f>G44</f>
        <v>4450000</v>
      </c>
      <c r="K44" s="2634">
        <f t="shared" ref="K44:K52" si="9">F44-J44</f>
        <v>0</v>
      </c>
      <c r="L44" s="2642"/>
      <c r="M44" s="406"/>
      <c r="N44" s="406"/>
    </row>
    <row r="45" spans="1:14" ht="30" customHeight="1" x14ac:dyDescent="0.2">
      <c r="A45" s="2625">
        <v>34</v>
      </c>
      <c r="B45" s="2628" t="s">
        <v>1141</v>
      </c>
      <c r="C45" s="2660"/>
      <c r="D45" s="2634">
        <v>20000000</v>
      </c>
      <c r="E45" s="2631">
        <v>0.04</v>
      </c>
      <c r="F45" s="2634">
        <f>D45*E45</f>
        <v>800000</v>
      </c>
      <c r="G45" s="2634">
        <v>800000</v>
      </c>
      <c r="H45" s="2634" t="s">
        <v>4249</v>
      </c>
      <c r="I45" s="69" t="s">
        <v>1143</v>
      </c>
      <c r="J45" s="2634">
        <f>G45</f>
        <v>800000</v>
      </c>
      <c r="K45" s="2634">
        <f t="shared" si="9"/>
        <v>0</v>
      </c>
      <c r="L45" s="2642"/>
      <c r="M45" s="406"/>
      <c r="N45" s="406"/>
    </row>
    <row r="46" spans="1:14" ht="30" customHeight="1" x14ac:dyDescent="0.2">
      <c r="A46" s="2692">
        <v>35</v>
      </c>
      <c r="B46" s="22" t="s">
        <v>1188</v>
      </c>
      <c r="C46" s="2689" t="s">
        <v>1175</v>
      </c>
      <c r="D46" s="2622">
        <v>175000000</v>
      </c>
      <c r="E46" s="2688">
        <v>0.06</v>
      </c>
      <c r="F46" s="2622">
        <f>D46*E46</f>
        <v>10500000</v>
      </c>
      <c r="G46" s="3442">
        <v>14500000</v>
      </c>
      <c r="H46" s="3442" t="s">
        <v>4330</v>
      </c>
      <c r="I46" s="3442" t="s">
        <v>1819</v>
      </c>
      <c r="J46" s="3442">
        <f>G46</f>
        <v>14500000</v>
      </c>
      <c r="K46" s="3442">
        <f>(F46+F47)-J46</f>
        <v>0</v>
      </c>
      <c r="L46" s="2715"/>
      <c r="M46" s="406"/>
      <c r="N46" s="406"/>
    </row>
    <row r="47" spans="1:14" ht="30" customHeight="1" x14ac:dyDescent="0.2">
      <c r="A47" s="2625"/>
      <c r="B47" s="2628" t="s">
        <v>3399</v>
      </c>
      <c r="C47" s="2660" t="s">
        <v>1175</v>
      </c>
      <c r="D47" s="2634">
        <v>100000000</v>
      </c>
      <c r="E47" s="2631">
        <v>0.04</v>
      </c>
      <c r="F47" s="2634">
        <f>D47*E47</f>
        <v>4000000</v>
      </c>
      <c r="G47" s="3443"/>
      <c r="H47" s="3443"/>
      <c r="I47" s="3443"/>
      <c r="J47" s="3443"/>
      <c r="K47" s="3443"/>
      <c r="L47" s="2642" t="s">
        <v>3400</v>
      </c>
      <c r="M47" s="406"/>
      <c r="N47" s="406"/>
    </row>
    <row r="48" spans="1:14" ht="30" customHeight="1" x14ac:dyDescent="0.2">
      <c r="A48" s="1081">
        <v>36</v>
      </c>
      <c r="B48" s="22" t="s">
        <v>3506</v>
      </c>
      <c r="C48" s="2689" t="s">
        <v>1112</v>
      </c>
      <c r="D48" s="2622">
        <v>50000000</v>
      </c>
      <c r="E48" s="2688">
        <v>7.0000000000000007E-2</v>
      </c>
      <c r="F48" s="2622">
        <f>D48*E48</f>
        <v>3500000.0000000005</v>
      </c>
      <c r="G48" s="2622">
        <v>3500000</v>
      </c>
      <c r="H48" s="2622" t="s">
        <v>4330</v>
      </c>
      <c r="I48" s="1592" t="s">
        <v>4409</v>
      </c>
      <c r="J48" s="2622">
        <f>G48</f>
        <v>3500000</v>
      </c>
      <c r="K48" s="2622">
        <f t="shared" si="9"/>
        <v>0</v>
      </c>
      <c r="L48" s="2642"/>
      <c r="M48" s="406"/>
      <c r="N48" s="406"/>
    </row>
    <row r="49" spans="1:12" ht="30" customHeight="1" x14ac:dyDescent="0.2">
      <c r="A49" s="2625">
        <v>38</v>
      </c>
      <c r="B49" s="2626" t="s">
        <v>1302</v>
      </c>
      <c r="C49" s="2660"/>
      <c r="D49" s="315"/>
      <c r="E49" s="316"/>
      <c r="F49" s="315"/>
      <c r="G49" s="2634"/>
      <c r="H49" s="2634"/>
      <c r="I49" s="69"/>
      <c r="J49" s="2634"/>
      <c r="K49" s="2647">
        <f t="shared" si="9"/>
        <v>0</v>
      </c>
      <c r="L49" s="2642"/>
    </row>
    <row r="50" spans="1:12" ht="30" customHeight="1" x14ac:dyDescent="0.2">
      <c r="A50" s="2625">
        <v>39</v>
      </c>
      <c r="B50" s="2626" t="s">
        <v>1261</v>
      </c>
      <c r="C50" s="2660"/>
      <c r="D50" s="315"/>
      <c r="E50" s="316"/>
      <c r="F50" s="315"/>
      <c r="G50" s="2634"/>
      <c r="H50" s="2634"/>
      <c r="I50" s="69"/>
      <c r="J50" s="2634"/>
      <c r="K50" s="2647">
        <f t="shared" si="9"/>
        <v>0</v>
      </c>
      <c r="L50" s="2642"/>
    </row>
    <row r="51" spans="1:12" ht="30" customHeight="1" x14ac:dyDescent="0.2">
      <c r="A51" s="2625">
        <v>40</v>
      </c>
      <c r="B51" s="2626" t="s">
        <v>1314</v>
      </c>
      <c r="C51" s="2660" t="s">
        <v>1344</v>
      </c>
      <c r="D51" s="2698">
        <v>16000000</v>
      </c>
      <c r="E51" s="317">
        <v>0.05</v>
      </c>
      <c r="F51" s="2698">
        <f>D51*E51</f>
        <v>800000</v>
      </c>
      <c r="G51" s="2634">
        <v>800000</v>
      </c>
      <c r="H51" s="2634" t="s">
        <v>4216</v>
      </c>
      <c r="I51" s="69" t="s">
        <v>1317</v>
      </c>
      <c r="J51" s="2634">
        <f>G51</f>
        <v>800000</v>
      </c>
      <c r="K51" s="2634">
        <f t="shared" si="9"/>
        <v>0</v>
      </c>
      <c r="L51" s="2642"/>
    </row>
    <row r="52" spans="1:12" ht="30" customHeight="1" x14ac:dyDescent="0.2">
      <c r="A52" s="2625">
        <v>41</v>
      </c>
      <c r="B52" s="2626" t="s">
        <v>1337</v>
      </c>
      <c r="C52" s="2660"/>
      <c r="D52" s="315"/>
      <c r="E52" s="316"/>
      <c r="F52" s="315"/>
      <c r="G52" s="2634"/>
      <c r="H52" s="2634"/>
      <c r="I52" s="69"/>
      <c r="J52" s="2634"/>
      <c r="K52" s="2647">
        <f t="shared" si="9"/>
        <v>0</v>
      </c>
      <c r="L52" s="2642"/>
    </row>
    <row r="53" spans="1:12" ht="30" customHeight="1" x14ac:dyDescent="0.2">
      <c r="A53" s="2625">
        <v>42</v>
      </c>
      <c r="B53" s="2686" t="s">
        <v>186</v>
      </c>
      <c r="C53" s="2660"/>
      <c r="D53" s="2634">
        <v>60000000</v>
      </c>
      <c r="E53" s="2688">
        <v>0.05</v>
      </c>
      <c r="F53" s="2634">
        <f t="shared" ref="F53:F154" si="10">D53*E53</f>
        <v>3000000</v>
      </c>
      <c r="G53" s="3442">
        <v>3500000</v>
      </c>
      <c r="H53" s="3442" t="s">
        <v>4068</v>
      </c>
      <c r="I53" s="3589" t="s">
        <v>263</v>
      </c>
      <c r="J53" s="3442">
        <f>G53</f>
        <v>3500000</v>
      </c>
      <c r="K53" s="3442">
        <f>(F53+F54)-J53</f>
        <v>0</v>
      </c>
      <c r="L53" s="3525"/>
    </row>
    <row r="54" spans="1:12" ht="30" customHeight="1" x14ac:dyDescent="0.2">
      <c r="A54" s="2625">
        <v>43</v>
      </c>
      <c r="B54" s="2690" t="s">
        <v>1109</v>
      </c>
      <c r="C54" s="2660"/>
      <c r="D54" s="2634">
        <v>10000000</v>
      </c>
      <c r="E54" s="2688">
        <v>0.05</v>
      </c>
      <c r="F54" s="2634">
        <f>D54*E54</f>
        <v>500000</v>
      </c>
      <c r="G54" s="3443"/>
      <c r="H54" s="3443"/>
      <c r="I54" s="3591"/>
      <c r="J54" s="3443"/>
      <c r="K54" s="3443"/>
      <c r="L54" s="3526"/>
    </row>
    <row r="55" spans="1:12" ht="30" customHeight="1" x14ac:dyDescent="0.2">
      <c r="A55" s="2625">
        <v>44</v>
      </c>
      <c r="B55" s="2690" t="s">
        <v>187</v>
      </c>
      <c r="C55" s="2660" t="s">
        <v>916</v>
      </c>
      <c r="D55" s="2634">
        <v>150000000</v>
      </c>
      <c r="E55" s="2688">
        <v>0.05</v>
      </c>
      <c r="F55" s="2634">
        <f t="shared" si="10"/>
        <v>7500000</v>
      </c>
      <c r="G55" s="2634">
        <v>7500000</v>
      </c>
      <c r="H55" s="2634" t="s">
        <v>2141</v>
      </c>
      <c r="I55" s="2622" t="s">
        <v>1411</v>
      </c>
      <c r="J55" s="2634">
        <f>G55</f>
        <v>7500000</v>
      </c>
      <c r="K55" s="2634">
        <f>F55-J55</f>
        <v>0</v>
      </c>
      <c r="L55" s="2690"/>
    </row>
    <row r="56" spans="1:12" ht="30" customHeight="1" x14ac:dyDescent="0.2">
      <c r="A56" s="3450">
        <v>45</v>
      </c>
      <c r="B56" s="3457" t="s">
        <v>188</v>
      </c>
      <c r="C56" s="3570" t="s">
        <v>1350</v>
      </c>
      <c r="D56" s="3442">
        <v>1190000000</v>
      </c>
      <c r="E56" s="3444">
        <v>7.0000000000000007E-2</v>
      </c>
      <c r="F56" s="3442">
        <f t="shared" si="10"/>
        <v>83300000.000000015</v>
      </c>
      <c r="G56" s="2634">
        <v>53300000</v>
      </c>
      <c r="H56" s="2634" t="s">
        <v>1263</v>
      </c>
      <c r="I56" s="24" t="s">
        <v>4112</v>
      </c>
      <c r="J56" s="3442">
        <f>G56+G57</f>
        <v>83300000</v>
      </c>
      <c r="K56" s="3442">
        <f>F56-J56</f>
        <v>0</v>
      </c>
      <c r="L56" s="3525"/>
    </row>
    <row r="57" spans="1:12" ht="30" customHeight="1" x14ac:dyDescent="0.2">
      <c r="A57" s="3451"/>
      <c r="B57" s="3459"/>
      <c r="C57" s="3576"/>
      <c r="D57" s="3443"/>
      <c r="E57" s="3445"/>
      <c r="F57" s="3443"/>
      <c r="G57" s="2634">
        <v>30000000</v>
      </c>
      <c r="H57" s="2634" t="s">
        <v>1964</v>
      </c>
      <c r="I57" s="24" t="s">
        <v>2830</v>
      </c>
      <c r="J57" s="3443"/>
      <c r="K57" s="3443"/>
      <c r="L57" s="3526"/>
    </row>
    <row r="58" spans="1:12" ht="30" customHeight="1" x14ac:dyDescent="0.2">
      <c r="A58" s="2624"/>
      <c r="B58" s="3459"/>
      <c r="C58" s="3576"/>
      <c r="D58" s="2633">
        <v>400000000</v>
      </c>
      <c r="E58" s="2630">
        <v>7.0000000000000007E-2</v>
      </c>
      <c r="F58" s="2633">
        <f>D58*E58</f>
        <v>28000000.000000004</v>
      </c>
      <c r="G58" s="3478" t="s">
        <v>4483</v>
      </c>
      <c r="H58" s="3479"/>
      <c r="I58" s="3479"/>
      <c r="J58" s="3480"/>
      <c r="K58" s="2634"/>
      <c r="L58" s="2681"/>
    </row>
    <row r="59" spans="1:12" ht="30" customHeight="1" x14ac:dyDescent="0.2">
      <c r="A59" s="2624"/>
      <c r="B59" s="3459"/>
      <c r="C59" s="3576"/>
      <c r="D59" s="2622">
        <f>D56+D58</f>
        <v>1590000000</v>
      </c>
      <c r="E59" s="2688">
        <v>7.0000000000000007E-2</v>
      </c>
      <c r="F59" s="2622">
        <f>D59*E59</f>
        <v>111300000.00000001</v>
      </c>
      <c r="G59" s="2622"/>
      <c r="H59" s="2634"/>
      <c r="I59" s="24"/>
      <c r="J59" s="2634"/>
      <c r="K59" s="2634"/>
      <c r="L59" s="2681"/>
    </row>
    <row r="60" spans="1:12" ht="30" customHeight="1" x14ac:dyDescent="0.2">
      <c r="A60" s="2624"/>
      <c r="B60" s="3458"/>
      <c r="C60" s="3571"/>
      <c r="D60" s="2399">
        <f>D59+100000000</f>
        <v>1690000000</v>
      </c>
      <c r="E60" s="2400">
        <v>7.0000000000000007E-2</v>
      </c>
      <c r="F60" s="2399">
        <f>D60*E60</f>
        <v>118300000.00000001</v>
      </c>
      <c r="G60" s="3478" t="s">
        <v>4393</v>
      </c>
      <c r="H60" s="3479"/>
      <c r="I60" s="3479"/>
      <c r="J60" s="3480"/>
      <c r="K60" s="2634"/>
      <c r="L60" s="2681"/>
    </row>
    <row r="61" spans="1:12" ht="30" customHeight="1" x14ac:dyDescent="0.2">
      <c r="A61" s="3450">
        <v>46</v>
      </c>
      <c r="B61" s="3457" t="s">
        <v>189</v>
      </c>
      <c r="C61" s="3570" t="s">
        <v>1112</v>
      </c>
      <c r="D61" s="3442">
        <v>1200000000</v>
      </c>
      <c r="E61" s="3444">
        <v>0.08</v>
      </c>
      <c r="F61" s="3442">
        <f>D61*E61</f>
        <v>96000000</v>
      </c>
      <c r="G61" s="2634"/>
      <c r="H61" s="2634"/>
      <c r="I61" s="24"/>
      <c r="J61" s="247"/>
      <c r="K61" s="247"/>
      <c r="L61" s="2667"/>
    </row>
    <row r="62" spans="1:12" ht="30" customHeight="1" x14ac:dyDescent="0.2">
      <c r="A62" s="3456"/>
      <c r="B62" s="3459"/>
      <c r="C62" s="3576"/>
      <c r="D62" s="3461"/>
      <c r="E62" s="3474"/>
      <c r="F62" s="3461"/>
      <c r="G62" s="2634"/>
      <c r="H62" s="2634"/>
      <c r="I62" s="24"/>
      <c r="J62" s="247"/>
      <c r="K62" s="247"/>
      <c r="L62" s="2668"/>
    </row>
    <row r="63" spans="1:12" ht="30" customHeight="1" x14ac:dyDescent="0.2">
      <c r="A63" s="3456"/>
      <c r="B63" s="3459"/>
      <c r="C63" s="3576"/>
      <c r="D63" s="3461"/>
      <c r="E63" s="3474"/>
      <c r="F63" s="3461"/>
      <c r="G63" s="247"/>
      <c r="H63" s="247"/>
      <c r="I63" s="247"/>
      <c r="J63" s="247"/>
      <c r="K63" s="247"/>
      <c r="L63" s="2668"/>
    </row>
    <row r="64" spans="1:12" ht="30" customHeight="1" x14ac:dyDescent="0.2">
      <c r="A64" s="3456"/>
      <c r="B64" s="3459"/>
      <c r="C64" s="3576"/>
      <c r="D64" s="3443"/>
      <c r="E64" s="3445"/>
      <c r="F64" s="3443"/>
      <c r="G64" s="2634"/>
      <c r="H64" s="2634"/>
      <c r="I64" s="24"/>
      <c r="J64" s="2634"/>
      <c r="K64" s="2634"/>
      <c r="L64" s="2668"/>
    </row>
    <row r="65" spans="1:12" ht="30" customHeight="1" x14ac:dyDescent="0.2">
      <c r="A65" s="3451"/>
      <c r="B65" s="3458"/>
      <c r="C65" s="3571"/>
      <c r="D65" s="2634">
        <v>1000000000</v>
      </c>
      <c r="E65" s="2631"/>
      <c r="F65" s="2634"/>
      <c r="G65" s="3478" t="s">
        <v>4033</v>
      </c>
      <c r="H65" s="3479"/>
      <c r="I65" s="3479"/>
      <c r="J65" s="3480"/>
      <c r="K65" s="2634"/>
      <c r="L65" s="2669"/>
    </row>
    <row r="66" spans="1:12" ht="30" customHeight="1" x14ac:dyDescent="0.2">
      <c r="A66" s="2623">
        <v>47</v>
      </c>
      <c r="B66" s="2686" t="s">
        <v>190</v>
      </c>
      <c r="C66" s="2689" t="s">
        <v>1110</v>
      </c>
      <c r="D66" s="2634">
        <v>20000000</v>
      </c>
      <c r="E66" s="2631">
        <v>0.05</v>
      </c>
      <c r="F66" s="2634">
        <f t="shared" si="10"/>
        <v>1000000</v>
      </c>
      <c r="G66" s="2634">
        <v>1000000</v>
      </c>
      <c r="H66" s="2634" t="s">
        <v>4068</v>
      </c>
      <c r="I66" s="2662" t="s">
        <v>1627</v>
      </c>
      <c r="J66" s="2634">
        <f>G66</f>
        <v>1000000</v>
      </c>
      <c r="K66" s="2634">
        <f>F66-J66</f>
        <v>0</v>
      </c>
      <c r="L66" s="2656"/>
    </row>
    <row r="67" spans="1:12" ht="30" customHeight="1" x14ac:dyDescent="0.2">
      <c r="A67" s="2692">
        <v>48</v>
      </c>
      <c r="B67" s="2690" t="s">
        <v>1708</v>
      </c>
      <c r="C67" s="2689" t="s">
        <v>1112</v>
      </c>
      <c r="D67" s="2622">
        <v>100000000</v>
      </c>
      <c r="E67" s="2688">
        <v>0.05</v>
      </c>
      <c r="F67" s="2622">
        <f t="shared" si="10"/>
        <v>5000000</v>
      </c>
      <c r="G67" s="2634"/>
      <c r="H67" s="2634"/>
      <c r="I67" s="24" t="s">
        <v>4048</v>
      </c>
      <c r="J67" s="2634">
        <f>G67</f>
        <v>0</v>
      </c>
      <c r="K67" s="2634">
        <f>F67-J67</f>
        <v>5000000</v>
      </c>
      <c r="L67" s="2715"/>
    </row>
    <row r="68" spans="1:12" ht="30" customHeight="1" x14ac:dyDescent="0.2">
      <c r="A68" s="3450">
        <v>49</v>
      </c>
      <c r="B68" s="3525" t="s">
        <v>192</v>
      </c>
      <c r="C68" s="3570" t="s">
        <v>1350</v>
      </c>
      <c r="D68" s="3442">
        <v>230000000</v>
      </c>
      <c r="E68" s="3444">
        <v>0.05</v>
      </c>
      <c r="F68" s="3442">
        <f t="shared" si="10"/>
        <v>11500000</v>
      </c>
      <c r="G68" s="2634">
        <v>11500000</v>
      </c>
      <c r="H68" s="3442" t="s">
        <v>4249</v>
      </c>
      <c r="I68" s="3452" t="s">
        <v>1082</v>
      </c>
      <c r="J68" s="2634">
        <f>G68</f>
        <v>11500000</v>
      </c>
      <c r="K68" s="2634">
        <f>F68-J68</f>
        <v>0</v>
      </c>
      <c r="L68" s="813" t="s">
        <v>4251</v>
      </c>
    </row>
    <row r="69" spans="1:12" ht="30" customHeight="1" x14ac:dyDescent="0.2">
      <c r="A69" s="3456"/>
      <c r="B69" s="3643"/>
      <c r="C69" s="3576"/>
      <c r="D69" s="3443"/>
      <c r="E69" s="3445"/>
      <c r="F69" s="3443"/>
      <c r="G69" s="2622">
        <v>11500000</v>
      </c>
      <c r="H69" s="3461"/>
      <c r="I69" s="3653"/>
      <c r="J69" s="2622">
        <f>G69</f>
        <v>11500000</v>
      </c>
      <c r="K69" s="2655">
        <f>F68-J69</f>
        <v>0</v>
      </c>
      <c r="L69" s="1389" t="s">
        <v>4252</v>
      </c>
    </row>
    <row r="70" spans="1:12" ht="30" customHeight="1" x14ac:dyDescent="0.2">
      <c r="A70" s="3451"/>
      <c r="B70" s="3526"/>
      <c r="C70" s="3571"/>
      <c r="D70" s="3325" t="s">
        <v>4484</v>
      </c>
      <c r="E70" s="3340"/>
      <c r="F70" s="3341"/>
      <c r="G70" s="2622">
        <v>80000000</v>
      </c>
      <c r="H70" s="3443"/>
      <c r="I70" s="3453"/>
      <c r="J70" s="2622">
        <f>G70</f>
        <v>80000000</v>
      </c>
      <c r="K70" s="2655">
        <v>0</v>
      </c>
      <c r="L70" s="2627"/>
    </row>
    <row r="71" spans="1:12" ht="30" customHeight="1" x14ac:dyDescent="0.2">
      <c r="A71" s="3450">
        <v>50</v>
      </c>
      <c r="B71" s="3457" t="s">
        <v>193</v>
      </c>
      <c r="C71" s="3570" t="s">
        <v>916</v>
      </c>
      <c r="D71" s="3442">
        <v>350000000</v>
      </c>
      <c r="E71" s="3444">
        <v>0.05</v>
      </c>
      <c r="F71" s="3442">
        <f t="shared" si="10"/>
        <v>17500000</v>
      </c>
      <c r="G71" s="3325" t="s">
        <v>4050</v>
      </c>
      <c r="H71" s="3340"/>
      <c r="I71" s="3340"/>
      <c r="J71" s="3340"/>
      <c r="K71" s="3341"/>
      <c r="L71" s="2715"/>
    </row>
    <row r="72" spans="1:12" ht="30" customHeight="1" x14ac:dyDescent="0.2">
      <c r="A72" s="3451"/>
      <c r="B72" s="3458"/>
      <c r="C72" s="3571"/>
      <c r="D72" s="3443"/>
      <c r="E72" s="3445"/>
      <c r="F72" s="3443"/>
      <c r="G72" s="2622">
        <v>17000000</v>
      </c>
      <c r="H72" s="2622" t="s">
        <v>4330</v>
      </c>
      <c r="I72" s="2622" t="s">
        <v>1084</v>
      </c>
      <c r="J72" s="2622">
        <f>G72</f>
        <v>17000000</v>
      </c>
      <c r="K72" s="2622"/>
      <c r="L72" s="2641" t="s">
        <v>4403</v>
      </c>
    </row>
    <row r="73" spans="1:12" ht="30" customHeight="1" x14ac:dyDescent="0.2">
      <c r="A73" s="2704">
        <v>51</v>
      </c>
      <c r="B73" s="22" t="s">
        <v>194</v>
      </c>
      <c r="C73" s="2689" t="s">
        <v>916</v>
      </c>
      <c r="D73" s="2622">
        <v>260000000</v>
      </c>
      <c r="E73" s="2688">
        <f>F73/D73</f>
        <v>5.5769230769230772E-2</v>
      </c>
      <c r="F73" s="2622">
        <v>14500000</v>
      </c>
      <c r="G73" s="2622">
        <v>14500000</v>
      </c>
      <c r="H73" s="2622" t="s">
        <v>2141</v>
      </c>
      <c r="I73" s="2622" t="s">
        <v>3636</v>
      </c>
      <c r="J73" s="2622">
        <f>G73</f>
        <v>14500000</v>
      </c>
      <c r="K73" s="2622">
        <f>F73-J73</f>
        <v>0</v>
      </c>
      <c r="L73" s="2626"/>
    </row>
    <row r="74" spans="1:12" ht="30" customHeight="1" x14ac:dyDescent="0.2">
      <c r="A74" s="3901"/>
      <c r="B74" s="3459" t="s">
        <v>195</v>
      </c>
      <c r="C74" s="3570" t="s">
        <v>916</v>
      </c>
      <c r="D74" s="2633">
        <v>100000000</v>
      </c>
      <c r="E74" s="2630">
        <v>7.0000000000000007E-2</v>
      </c>
      <c r="F74" s="2633">
        <f>D74*E74</f>
        <v>7000000.0000000009</v>
      </c>
      <c r="G74" s="3442">
        <v>7500000</v>
      </c>
      <c r="H74" s="3442" t="s">
        <v>1964</v>
      </c>
      <c r="I74" s="3442" t="s">
        <v>2674</v>
      </c>
      <c r="J74" s="3442">
        <f>G74</f>
        <v>7500000</v>
      </c>
      <c r="K74" s="3442">
        <f>(F74+F75)-J74</f>
        <v>0</v>
      </c>
      <c r="L74" s="813" t="s">
        <v>2845</v>
      </c>
    </row>
    <row r="75" spans="1:12" ht="30" customHeight="1" x14ac:dyDescent="0.2">
      <c r="A75" s="3902"/>
      <c r="B75" s="3458"/>
      <c r="C75" s="3571"/>
      <c r="D75" s="2632">
        <v>10000000</v>
      </c>
      <c r="E75" s="2629">
        <v>0.05</v>
      </c>
      <c r="F75" s="2632">
        <f>D75*E75</f>
        <v>500000</v>
      </c>
      <c r="G75" s="3443"/>
      <c r="H75" s="3443"/>
      <c r="I75" s="3443"/>
      <c r="J75" s="3443"/>
      <c r="K75" s="3443"/>
      <c r="L75" s="813" t="s">
        <v>4051</v>
      </c>
    </row>
    <row r="76" spans="1:12" ht="30" customHeight="1" x14ac:dyDescent="0.2">
      <c r="A76" s="2704"/>
      <c r="B76" s="22" t="s">
        <v>196</v>
      </c>
      <c r="C76" s="2689" t="s">
        <v>1349</v>
      </c>
      <c r="D76" s="2622">
        <v>500000000</v>
      </c>
      <c r="E76" s="2688">
        <v>7.0000000000000007E-2</v>
      </c>
      <c r="F76" s="2622">
        <f>D76*E76</f>
        <v>35000000</v>
      </c>
      <c r="G76" s="2622">
        <v>37000000</v>
      </c>
      <c r="H76" s="2622" t="s">
        <v>4216</v>
      </c>
      <c r="I76" s="2622" t="s">
        <v>1923</v>
      </c>
      <c r="J76" s="2622">
        <f>G76</f>
        <v>37000000</v>
      </c>
      <c r="K76" s="2622">
        <v>0</v>
      </c>
      <c r="L76" s="1441" t="s">
        <v>3863</v>
      </c>
    </row>
    <row r="77" spans="1:12" ht="30" customHeight="1" x14ac:dyDescent="0.2">
      <c r="A77" s="3450">
        <v>54</v>
      </c>
      <c r="B77" s="3457" t="s">
        <v>1090</v>
      </c>
      <c r="C77" s="3570"/>
      <c r="D77" s="2634">
        <v>35000000</v>
      </c>
      <c r="E77" s="2631">
        <v>7.1999999999999995E-2</v>
      </c>
      <c r="F77" s="2634">
        <v>2500000</v>
      </c>
      <c r="G77" s="3738">
        <v>3500000</v>
      </c>
      <c r="H77" s="3738" t="s">
        <v>4059</v>
      </c>
      <c r="I77" s="3740" t="s">
        <v>4115</v>
      </c>
      <c r="J77" s="3738">
        <f>G77</f>
        <v>3500000</v>
      </c>
      <c r="K77" s="3738">
        <f>(F77+F78)-J77</f>
        <v>0</v>
      </c>
      <c r="L77" s="3525"/>
    </row>
    <row r="78" spans="1:12" ht="30" customHeight="1" x14ac:dyDescent="0.2">
      <c r="A78" s="3456"/>
      <c r="B78" s="3458"/>
      <c r="C78" s="3571"/>
      <c r="D78" s="2634">
        <v>13000000</v>
      </c>
      <c r="E78" s="2688">
        <v>7.6999999999999999E-2</v>
      </c>
      <c r="F78" s="2634">
        <v>1000000</v>
      </c>
      <c r="G78" s="3739"/>
      <c r="H78" s="3739"/>
      <c r="I78" s="3741"/>
      <c r="J78" s="3739"/>
      <c r="K78" s="3739"/>
      <c r="L78" s="3526"/>
    </row>
    <row r="79" spans="1:12" ht="30" customHeight="1" x14ac:dyDescent="0.2">
      <c r="A79" s="3450">
        <v>55</v>
      </c>
      <c r="B79" s="3457" t="s">
        <v>1295</v>
      </c>
      <c r="C79" s="3570" t="s">
        <v>1350</v>
      </c>
      <c r="D79" s="2622">
        <v>175000000</v>
      </c>
      <c r="E79" s="2688">
        <v>0.52</v>
      </c>
      <c r="F79" s="2622">
        <v>9000000</v>
      </c>
      <c r="G79" s="3915" t="s">
        <v>4485</v>
      </c>
      <c r="H79" s="3916"/>
      <c r="I79" s="3916"/>
      <c r="J79" s="3917"/>
      <c r="K79" s="3575">
        <f>(F79+F80+F81)-J79</f>
        <v>18250000</v>
      </c>
      <c r="L79" s="3468" t="s">
        <v>4092</v>
      </c>
    </row>
    <row r="80" spans="1:12" ht="30" customHeight="1" x14ac:dyDescent="0.2">
      <c r="A80" s="3456"/>
      <c r="B80" s="3459"/>
      <c r="C80" s="3576"/>
      <c r="D80" s="2632">
        <f>85000000+20000000</f>
        <v>105000000</v>
      </c>
      <c r="E80" s="2629">
        <v>7.0000000000000007E-2</v>
      </c>
      <c r="F80" s="2632">
        <v>7500000</v>
      </c>
      <c r="G80" s="3918"/>
      <c r="H80" s="3919"/>
      <c r="I80" s="3919"/>
      <c r="J80" s="3920"/>
      <c r="K80" s="3575"/>
      <c r="L80" s="3606"/>
    </row>
    <row r="81" spans="1:12" ht="30" customHeight="1" x14ac:dyDescent="0.2">
      <c r="A81" s="3451"/>
      <c r="B81" s="3458"/>
      <c r="C81" s="3571"/>
      <c r="D81" s="2622">
        <v>35000000</v>
      </c>
      <c r="E81" s="2688">
        <v>0.05</v>
      </c>
      <c r="F81" s="2622">
        <f>D81*E81</f>
        <v>1750000</v>
      </c>
      <c r="G81" s="3921"/>
      <c r="H81" s="3922"/>
      <c r="I81" s="3922"/>
      <c r="J81" s="3923"/>
      <c r="K81" s="3575"/>
      <c r="L81" s="3469"/>
    </row>
    <row r="82" spans="1:12" ht="30" customHeight="1" x14ac:dyDescent="0.2">
      <c r="A82" s="3450">
        <v>56</v>
      </c>
      <c r="B82" s="3457" t="s">
        <v>36</v>
      </c>
      <c r="C82" s="3570" t="s">
        <v>1350</v>
      </c>
      <c r="D82" s="3454">
        <v>3284000000</v>
      </c>
      <c r="E82" s="3462">
        <v>7.0000000000000007E-2</v>
      </c>
      <c r="F82" s="3454">
        <v>229880000</v>
      </c>
      <c r="G82" s="3915" t="s">
        <v>4486</v>
      </c>
      <c r="H82" s="3916"/>
      <c r="I82" s="3916"/>
      <c r="J82" s="3917"/>
      <c r="K82" s="3442">
        <v>0</v>
      </c>
      <c r="L82" s="683" t="s">
        <v>3982</v>
      </c>
    </row>
    <row r="83" spans="1:12" ht="30" customHeight="1" x14ac:dyDescent="0.2">
      <c r="A83" s="3456"/>
      <c r="B83" s="3459"/>
      <c r="C83" s="3571"/>
      <c r="D83" s="3455"/>
      <c r="E83" s="3463"/>
      <c r="F83" s="3455"/>
      <c r="G83" s="3921"/>
      <c r="H83" s="3922"/>
      <c r="I83" s="3922"/>
      <c r="J83" s="3923"/>
      <c r="K83" s="3443"/>
      <c r="L83" s="1665" t="s">
        <v>3977</v>
      </c>
    </row>
    <row r="84" spans="1:12" ht="30" customHeight="1" x14ac:dyDescent="0.2">
      <c r="A84" s="3456"/>
      <c r="B84" s="3459"/>
      <c r="C84" s="3570" t="s">
        <v>1378</v>
      </c>
      <c r="D84" s="2622">
        <f>1050000000+80000000</f>
        <v>1130000000</v>
      </c>
      <c r="E84" s="2688">
        <v>0.08</v>
      </c>
      <c r="F84" s="2622">
        <f>D84*E84</f>
        <v>90400000</v>
      </c>
      <c r="G84" s="2634"/>
      <c r="H84" s="2634"/>
      <c r="I84" s="2634"/>
      <c r="J84" s="2633"/>
      <c r="K84" s="2633"/>
      <c r="L84" s="1665" t="s">
        <v>3981</v>
      </c>
    </row>
    <row r="85" spans="1:12" ht="30" customHeight="1" x14ac:dyDescent="0.2">
      <c r="A85" s="3456"/>
      <c r="B85" s="3459"/>
      <c r="C85" s="3576"/>
      <c r="D85" s="2632">
        <v>229880000</v>
      </c>
      <c r="E85" s="2629">
        <v>0.08</v>
      </c>
      <c r="F85" s="2632">
        <f>D85*E85</f>
        <v>18390400</v>
      </c>
      <c r="G85" s="3478" t="s">
        <v>4487</v>
      </c>
      <c r="H85" s="3479"/>
      <c r="I85" s="3479"/>
      <c r="J85" s="3480"/>
      <c r="K85" s="2622"/>
      <c r="L85" s="1665" t="s">
        <v>4313</v>
      </c>
    </row>
    <row r="86" spans="1:12" ht="30" customHeight="1" x14ac:dyDescent="0.2">
      <c r="A86" s="3456"/>
      <c r="B86" s="3459"/>
      <c r="C86" s="3576"/>
      <c r="D86" s="2632">
        <v>400000000</v>
      </c>
      <c r="E86" s="2629">
        <v>0.08</v>
      </c>
      <c r="F86" s="2632">
        <f>D86*E86</f>
        <v>32000000</v>
      </c>
      <c r="G86" s="2634"/>
      <c r="H86" s="2634"/>
      <c r="I86" s="2634"/>
      <c r="J86" s="2622"/>
      <c r="K86" s="2622"/>
      <c r="L86" s="1665" t="s">
        <v>4314</v>
      </c>
    </row>
    <row r="87" spans="1:12" ht="30" customHeight="1" x14ac:dyDescent="0.2">
      <c r="A87" s="3456"/>
      <c r="B87" s="3459"/>
      <c r="C87" s="3576"/>
      <c r="D87" s="3325" t="s">
        <v>4316</v>
      </c>
      <c r="E87" s="3341"/>
      <c r="F87" s="2632">
        <f>90400000+12260000+2133000+1866000+1600000+1600000+22190000</f>
        <v>132049000</v>
      </c>
      <c r="G87" s="3478" t="s">
        <v>4488</v>
      </c>
      <c r="H87" s="3479"/>
      <c r="I87" s="3479"/>
      <c r="J87" s="3480"/>
      <c r="K87" s="2622"/>
      <c r="L87" s="1665" t="s">
        <v>4315</v>
      </c>
    </row>
    <row r="88" spans="1:12" ht="30" customHeight="1" x14ac:dyDescent="0.2">
      <c r="A88" s="3456"/>
      <c r="B88" s="3459"/>
      <c r="C88" s="3576"/>
      <c r="D88" s="3325" t="s">
        <v>4317</v>
      </c>
      <c r="E88" s="3341"/>
      <c r="F88" s="2632">
        <f>400000000+229880000+132049000</f>
        <v>761929000</v>
      </c>
      <c r="G88" s="2622"/>
      <c r="H88" s="2622"/>
      <c r="I88" s="2622"/>
      <c r="J88" s="2622"/>
      <c r="K88" s="2622"/>
      <c r="L88" s="1665" t="s">
        <v>4315</v>
      </c>
    </row>
    <row r="89" spans="1:12" ht="30" customHeight="1" x14ac:dyDescent="0.2">
      <c r="A89" s="3451"/>
      <c r="B89" s="3458"/>
      <c r="C89" s="3571"/>
      <c r="D89" s="2639">
        <f>D84+F88</f>
        <v>1891929000</v>
      </c>
      <c r="E89" s="2637">
        <v>0.08</v>
      </c>
      <c r="F89" s="2639">
        <f>D89*E89</f>
        <v>151354320</v>
      </c>
      <c r="G89" s="2634"/>
      <c r="H89" s="2634"/>
      <c r="I89" s="2634"/>
      <c r="J89" s="2622"/>
      <c r="K89" s="2622"/>
      <c r="L89" s="1665"/>
    </row>
    <row r="90" spans="1:12" ht="30" customHeight="1" x14ac:dyDescent="0.2">
      <c r="A90" s="3450">
        <v>57</v>
      </c>
      <c r="B90" s="3457" t="s">
        <v>1107</v>
      </c>
      <c r="C90" s="3570" t="s">
        <v>1353</v>
      </c>
      <c r="D90" s="3454">
        <v>317000000</v>
      </c>
      <c r="E90" s="3462">
        <v>7.0000000000000007E-2</v>
      </c>
      <c r="F90" s="3454">
        <f>D90*E90</f>
        <v>22190000.000000004</v>
      </c>
      <c r="G90" s="3806" t="s">
        <v>4489</v>
      </c>
      <c r="H90" s="3807"/>
      <c r="I90" s="3807"/>
      <c r="J90" s="3808"/>
      <c r="K90" s="3442"/>
      <c r="L90" s="3618"/>
    </row>
    <row r="91" spans="1:12" ht="30" customHeight="1" x14ac:dyDescent="0.2">
      <c r="A91" s="3451"/>
      <c r="B91" s="3458"/>
      <c r="C91" s="3571"/>
      <c r="D91" s="3455"/>
      <c r="E91" s="3463"/>
      <c r="F91" s="3455"/>
      <c r="G91" s="3812"/>
      <c r="H91" s="3813"/>
      <c r="I91" s="3813"/>
      <c r="J91" s="3814"/>
      <c r="K91" s="3443"/>
      <c r="L91" s="3619"/>
    </row>
    <row r="92" spans="1:12" ht="30" customHeight="1" x14ac:dyDescent="0.2">
      <c r="A92" s="2623">
        <v>58</v>
      </c>
      <c r="B92" s="2690" t="s">
        <v>1094</v>
      </c>
      <c r="C92" s="2660" t="s">
        <v>916</v>
      </c>
      <c r="D92" s="2634">
        <v>11000000</v>
      </c>
      <c r="E92" s="2688">
        <v>5.5E-2</v>
      </c>
      <c r="F92" s="2634">
        <v>600000</v>
      </c>
      <c r="G92" s="2634"/>
      <c r="H92" s="2634"/>
      <c r="I92" s="2697" t="s">
        <v>1096</v>
      </c>
      <c r="J92" s="2634">
        <f>G92</f>
        <v>0</v>
      </c>
      <c r="K92" s="2634">
        <f>F92-J92</f>
        <v>600000</v>
      </c>
      <c r="L92" s="2690"/>
    </row>
    <row r="93" spans="1:12" ht="30" customHeight="1" x14ac:dyDescent="0.2">
      <c r="A93" s="3450"/>
      <c r="B93" s="3513" t="s">
        <v>197</v>
      </c>
      <c r="C93" s="3570" t="s">
        <v>1350</v>
      </c>
      <c r="D93" s="2634">
        <v>90000000</v>
      </c>
      <c r="E93" s="2688">
        <v>0.05</v>
      </c>
      <c r="F93" s="2634">
        <f t="shared" si="10"/>
        <v>4500000</v>
      </c>
      <c r="G93" s="3442">
        <v>6000000</v>
      </c>
      <c r="H93" s="3442" t="s">
        <v>4079</v>
      </c>
      <c r="I93" s="3442" t="s">
        <v>4081</v>
      </c>
      <c r="J93" s="3442">
        <f>G93</f>
        <v>6000000</v>
      </c>
      <c r="K93" s="3442">
        <f>(F93+F94+F95)-J93</f>
        <v>250000</v>
      </c>
      <c r="L93" s="683" t="s">
        <v>3491</v>
      </c>
    </row>
    <row r="94" spans="1:12" ht="30" customHeight="1" x14ac:dyDescent="0.2">
      <c r="A94" s="3456"/>
      <c r="B94" s="3553"/>
      <c r="C94" s="3576"/>
      <c r="D94" s="2634">
        <v>10000000</v>
      </c>
      <c r="E94" s="2688">
        <v>7.0000000000000007E-2</v>
      </c>
      <c r="F94" s="2634">
        <f t="shared" si="10"/>
        <v>700000.00000000012</v>
      </c>
      <c r="G94" s="3461"/>
      <c r="H94" s="3461"/>
      <c r="I94" s="3461"/>
      <c r="J94" s="3461"/>
      <c r="K94" s="3461"/>
      <c r="L94" s="192"/>
    </row>
    <row r="95" spans="1:12" ht="30" customHeight="1" x14ac:dyDescent="0.2">
      <c r="A95" s="3451"/>
      <c r="B95" s="3514"/>
      <c r="C95" s="3571"/>
      <c r="D95" s="2634">
        <v>15000000</v>
      </c>
      <c r="E95" s="2688">
        <v>7.0000000000000007E-2</v>
      </c>
      <c r="F95" s="2634">
        <f>D95*E95</f>
        <v>1050000</v>
      </c>
      <c r="G95" s="3443"/>
      <c r="H95" s="3443"/>
      <c r="I95" s="3443"/>
      <c r="J95" s="3443"/>
      <c r="K95" s="3443"/>
      <c r="L95" s="33"/>
    </row>
    <row r="96" spans="1:12" ht="30" customHeight="1" x14ac:dyDescent="0.2">
      <c r="A96" s="2692">
        <v>60</v>
      </c>
      <c r="B96" s="2719" t="s">
        <v>1591</v>
      </c>
      <c r="C96" s="2660"/>
      <c r="D96" s="2647"/>
      <c r="E96" s="2720"/>
      <c r="F96" s="2647">
        <f t="shared" si="10"/>
        <v>0</v>
      </c>
      <c r="G96" s="2634">
        <v>10000000</v>
      </c>
      <c r="H96" s="2634" t="s">
        <v>4062</v>
      </c>
      <c r="I96" s="24" t="s">
        <v>1923</v>
      </c>
      <c r="J96" s="2634">
        <f>G96</f>
        <v>10000000</v>
      </c>
      <c r="K96" s="2647">
        <f>F96-J96</f>
        <v>-10000000</v>
      </c>
      <c r="L96" s="2690"/>
    </row>
    <row r="97" spans="1:12" ht="30" customHeight="1" x14ac:dyDescent="0.2">
      <c r="A97" s="2625">
        <v>61</v>
      </c>
      <c r="B97" s="2690" t="s">
        <v>199</v>
      </c>
      <c r="C97" s="2660"/>
      <c r="D97" s="2634">
        <v>100000000</v>
      </c>
      <c r="E97" s="2688">
        <v>7.0000000000000007E-2</v>
      </c>
      <c r="F97" s="2634">
        <f t="shared" si="10"/>
        <v>7000000.0000000009</v>
      </c>
      <c r="G97" s="2634">
        <v>7000000</v>
      </c>
      <c r="H97" s="2634" t="s">
        <v>4062</v>
      </c>
      <c r="I97" s="24" t="s">
        <v>3602</v>
      </c>
      <c r="J97" s="2634">
        <f>G97</f>
        <v>7000000</v>
      </c>
      <c r="K97" s="2634">
        <f>F97-J97</f>
        <v>0</v>
      </c>
      <c r="L97" s="2690"/>
    </row>
    <row r="98" spans="1:12" ht="30" customHeight="1" x14ac:dyDescent="0.2">
      <c r="A98" s="2704">
        <v>62</v>
      </c>
      <c r="B98" s="2686" t="s">
        <v>200</v>
      </c>
      <c r="C98" s="2659"/>
      <c r="D98" s="2622">
        <v>125000000</v>
      </c>
      <c r="E98" s="2688">
        <v>5.1999999999999998E-2</v>
      </c>
      <c r="F98" s="2622">
        <f t="shared" si="10"/>
        <v>6500000</v>
      </c>
      <c r="G98" s="2622"/>
      <c r="H98" s="2622"/>
      <c r="I98" s="2622" t="s">
        <v>1299</v>
      </c>
      <c r="J98" s="2622">
        <f>G98</f>
        <v>0</v>
      </c>
      <c r="K98" s="2622">
        <f>F98-J98</f>
        <v>6500000</v>
      </c>
      <c r="L98" s="2715"/>
    </row>
    <row r="99" spans="1:12" ht="30" customHeight="1" x14ac:dyDescent="0.2">
      <c r="A99" s="3693">
        <v>63</v>
      </c>
      <c r="B99" s="3687" t="s">
        <v>201</v>
      </c>
      <c r="C99" s="3686" t="s">
        <v>916</v>
      </c>
      <c r="D99" s="2622">
        <v>1700000000</v>
      </c>
      <c r="E99" s="2688">
        <v>6.5000000000000002E-2</v>
      </c>
      <c r="F99" s="2622">
        <f>D99*E99</f>
        <v>110500000</v>
      </c>
      <c r="G99" s="2622">
        <v>10500000</v>
      </c>
      <c r="H99" s="2622" t="s">
        <v>1263</v>
      </c>
      <c r="I99" s="2622" t="s">
        <v>2716</v>
      </c>
      <c r="J99" s="2622">
        <f>G99</f>
        <v>10500000</v>
      </c>
      <c r="K99" s="2622">
        <f>F99-100000000-J99</f>
        <v>0</v>
      </c>
      <c r="L99" s="683" t="s">
        <v>3510</v>
      </c>
    </row>
    <row r="100" spans="1:12" ht="30" customHeight="1" x14ac:dyDescent="0.2">
      <c r="A100" s="3693"/>
      <c r="B100" s="3687"/>
      <c r="C100" s="3686"/>
      <c r="D100" s="2622">
        <v>1800000000</v>
      </c>
      <c r="E100" s="2688">
        <v>6.5000000000000002E-2</v>
      </c>
      <c r="F100" s="2622">
        <f>D100*E100</f>
        <v>117000000</v>
      </c>
      <c r="G100" s="3912" t="s">
        <v>4490</v>
      </c>
      <c r="H100" s="3913"/>
      <c r="I100" s="3913"/>
      <c r="J100" s="3914"/>
      <c r="K100" s="2634"/>
      <c r="L100" s="33" t="s">
        <v>4052</v>
      </c>
    </row>
    <row r="101" spans="1:12" ht="30" customHeight="1" x14ac:dyDescent="0.2">
      <c r="A101" s="2625">
        <v>64</v>
      </c>
      <c r="B101" s="2627" t="s">
        <v>1408</v>
      </c>
      <c r="C101" s="2660" t="s">
        <v>916</v>
      </c>
      <c r="D101" s="2634">
        <v>200000000</v>
      </c>
      <c r="E101" s="2631">
        <v>5.5E-2</v>
      </c>
      <c r="F101" s="2634">
        <f t="shared" si="10"/>
        <v>11000000</v>
      </c>
      <c r="G101" s="2634">
        <v>11000000</v>
      </c>
      <c r="H101" s="2634" t="s">
        <v>4062</v>
      </c>
      <c r="I101" s="24" t="s">
        <v>4064</v>
      </c>
      <c r="J101" s="2634">
        <f>G101</f>
        <v>11000000</v>
      </c>
      <c r="K101" s="2634">
        <f t="shared" ref="K101:K111" si="11">F101-J101</f>
        <v>0</v>
      </c>
      <c r="L101" s="2715" t="s">
        <v>1409</v>
      </c>
    </row>
    <row r="102" spans="1:12" ht="30" customHeight="1" x14ac:dyDescent="0.2">
      <c r="A102" s="2625">
        <v>65</v>
      </c>
      <c r="B102" s="2690" t="s">
        <v>203</v>
      </c>
      <c r="C102" s="2660"/>
      <c r="D102" s="2634">
        <v>500000000</v>
      </c>
      <c r="E102" s="2688">
        <v>0.04</v>
      </c>
      <c r="F102" s="2634">
        <f t="shared" si="10"/>
        <v>20000000</v>
      </c>
      <c r="G102" s="2634"/>
      <c r="H102" s="2634"/>
      <c r="I102" s="24"/>
      <c r="J102" s="2634"/>
      <c r="K102" s="2634">
        <f t="shared" si="11"/>
        <v>20000000</v>
      </c>
      <c r="L102" s="2690" t="s">
        <v>1615</v>
      </c>
    </row>
    <row r="103" spans="1:12" ht="30" customHeight="1" x14ac:dyDescent="0.2">
      <c r="A103" s="3450">
        <v>66</v>
      </c>
      <c r="B103" s="3457" t="s">
        <v>204</v>
      </c>
      <c r="C103" s="3570" t="s">
        <v>916</v>
      </c>
      <c r="D103" s="2622">
        <v>252000000</v>
      </c>
      <c r="E103" s="2688">
        <f>F103/D103</f>
        <v>5.2142857142857144E-2</v>
      </c>
      <c r="F103" s="2622">
        <v>13140000</v>
      </c>
      <c r="G103" s="2622">
        <v>13140000</v>
      </c>
      <c r="H103" s="2622" t="s">
        <v>1263</v>
      </c>
      <c r="I103" s="2685" t="s">
        <v>3637</v>
      </c>
      <c r="J103" s="2622">
        <f t="shared" ref="J103:J109" si="12">G103</f>
        <v>13140000</v>
      </c>
      <c r="K103" s="2622">
        <f t="shared" si="11"/>
        <v>0</v>
      </c>
      <c r="L103" s="2715"/>
    </row>
    <row r="104" spans="1:12" ht="30" customHeight="1" x14ac:dyDescent="0.2">
      <c r="A104" s="3451"/>
      <c r="B104" s="3458"/>
      <c r="C104" s="3571"/>
      <c r="D104" s="2622">
        <v>534000000</v>
      </c>
      <c r="E104" s="2688">
        <f>F104/D104</f>
        <v>6.1573033707865168E-2</v>
      </c>
      <c r="F104" s="2622">
        <v>32880000</v>
      </c>
      <c r="G104" s="2622"/>
      <c r="H104" s="2622"/>
      <c r="I104" s="2685"/>
      <c r="J104" s="2622"/>
      <c r="K104" s="2622"/>
      <c r="L104" s="2641" t="s">
        <v>4384</v>
      </c>
    </row>
    <row r="105" spans="1:12" ht="30" customHeight="1" x14ac:dyDescent="0.2">
      <c r="A105" s="2623">
        <v>68</v>
      </c>
      <c r="B105" s="2690" t="s">
        <v>205</v>
      </c>
      <c r="C105" s="2689" t="s">
        <v>1350</v>
      </c>
      <c r="D105" s="2622">
        <v>150000000</v>
      </c>
      <c r="E105" s="2688">
        <v>0.05</v>
      </c>
      <c r="F105" s="2622">
        <f t="shared" si="10"/>
        <v>7500000</v>
      </c>
      <c r="G105" s="2622">
        <v>7500000</v>
      </c>
      <c r="H105" s="2622" t="s">
        <v>4062</v>
      </c>
      <c r="I105" s="1592" t="s">
        <v>4065</v>
      </c>
      <c r="J105" s="2622">
        <f t="shared" si="12"/>
        <v>7500000</v>
      </c>
      <c r="K105" s="2622">
        <f t="shared" si="11"/>
        <v>0</v>
      </c>
      <c r="L105" s="2656"/>
    </row>
    <row r="106" spans="1:12" ht="30" customHeight="1" x14ac:dyDescent="0.2">
      <c r="A106" s="3450">
        <v>69</v>
      </c>
      <c r="B106" s="3457" t="s">
        <v>206</v>
      </c>
      <c r="C106" s="3570" t="s">
        <v>916</v>
      </c>
      <c r="D106" s="3442">
        <v>280000000</v>
      </c>
      <c r="E106" s="3444">
        <f>F106/D106</f>
        <v>7.0000000000000007E-2</v>
      </c>
      <c r="F106" s="3442">
        <v>19600000</v>
      </c>
      <c r="G106" s="2622">
        <v>19600000</v>
      </c>
      <c r="H106" s="2622" t="s">
        <v>4062</v>
      </c>
      <c r="I106" s="2685" t="s">
        <v>963</v>
      </c>
      <c r="J106" s="2622">
        <f t="shared" si="12"/>
        <v>19600000</v>
      </c>
      <c r="K106" s="2622">
        <f t="shared" si="11"/>
        <v>0</v>
      </c>
      <c r="L106" s="2679"/>
    </row>
    <row r="107" spans="1:12" ht="30" customHeight="1" x14ac:dyDescent="0.2">
      <c r="A107" s="3451"/>
      <c r="B107" s="3458"/>
      <c r="C107" s="3571"/>
      <c r="D107" s="3443"/>
      <c r="E107" s="3445"/>
      <c r="F107" s="3443"/>
      <c r="G107" s="2622">
        <v>19600000</v>
      </c>
      <c r="H107" s="2622" t="s">
        <v>4068</v>
      </c>
      <c r="I107" s="2685" t="s">
        <v>963</v>
      </c>
      <c r="J107" s="2622">
        <f t="shared" si="12"/>
        <v>19600000</v>
      </c>
      <c r="K107" s="2622"/>
      <c r="L107" s="2679"/>
    </row>
    <row r="108" spans="1:12" ht="30" customHeight="1" x14ac:dyDescent="0.2">
      <c r="A108" s="2623">
        <v>70</v>
      </c>
      <c r="B108" s="2686" t="s">
        <v>207</v>
      </c>
      <c r="C108" s="2689" t="s">
        <v>916</v>
      </c>
      <c r="D108" s="2622">
        <v>100000000</v>
      </c>
      <c r="E108" s="2688">
        <v>0.04</v>
      </c>
      <c r="F108" s="2622">
        <f t="shared" si="10"/>
        <v>4000000</v>
      </c>
      <c r="G108" s="2622">
        <v>4000000</v>
      </c>
      <c r="H108" s="2622" t="s">
        <v>4062</v>
      </c>
      <c r="I108" s="2697" t="s">
        <v>3541</v>
      </c>
      <c r="J108" s="2622">
        <f t="shared" si="12"/>
        <v>4000000</v>
      </c>
      <c r="K108" s="2622">
        <f t="shared" si="11"/>
        <v>0</v>
      </c>
      <c r="L108" s="2656"/>
    </row>
    <row r="109" spans="1:12" ht="30" customHeight="1" x14ac:dyDescent="0.2">
      <c r="A109" s="3450"/>
      <c r="B109" s="3457" t="s">
        <v>208</v>
      </c>
      <c r="C109" s="3570" t="s">
        <v>916</v>
      </c>
      <c r="D109" s="2634">
        <v>30000000</v>
      </c>
      <c r="E109" s="2631">
        <v>0.05</v>
      </c>
      <c r="F109" s="2634">
        <f t="shared" si="10"/>
        <v>1500000</v>
      </c>
      <c r="G109" s="2634">
        <v>1500000</v>
      </c>
      <c r="H109" s="2634" t="s">
        <v>4062</v>
      </c>
      <c r="I109" s="2634" t="s">
        <v>1479</v>
      </c>
      <c r="J109" s="2634">
        <f t="shared" si="12"/>
        <v>1500000</v>
      </c>
      <c r="K109" s="2634">
        <f t="shared" si="11"/>
        <v>0</v>
      </c>
      <c r="L109" s="2636"/>
    </row>
    <row r="110" spans="1:12" ht="30" customHeight="1" x14ac:dyDescent="0.2">
      <c r="A110" s="3451"/>
      <c r="B110" s="3458"/>
      <c r="C110" s="3571"/>
      <c r="D110" s="2633">
        <v>10000000</v>
      </c>
      <c r="E110" s="2630">
        <v>0.05</v>
      </c>
      <c r="F110" s="2633">
        <f t="shared" si="10"/>
        <v>500000</v>
      </c>
      <c r="G110" s="2634"/>
      <c r="H110" s="2634"/>
      <c r="I110" s="2654"/>
      <c r="J110" s="2633"/>
      <c r="K110" s="2633"/>
      <c r="L110" s="2666" t="s">
        <v>4361</v>
      </c>
    </row>
    <row r="111" spans="1:12" ht="30" customHeight="1" x14ac:dyDescent="0.2">
      <c r="A111" s="3450">
        <v>72</v>
      </c>
      <c r="B111" s="3457" t="s">
        <v>1053</v>
      </c>
      <c r="C111" s="3570" t="s">
        <v>1817</v>
      </c>
      <c r="D111" s="3442">
        <v>1685000000</v>
      </c>
      <c r="E111" s="3444">
        <v>0.06</v>
      </c>
      <c r="F111" s="3442">
        <f t="shared" si="10"/>
        <v>101100000</v>
      </c>
      <c r="G111" s="2634">
        <v>50000000</v>
      </c>
      <c r="H111" s="2634" t="s">
        <v>4184</v>
      </c>
      <c r="I111" s="24" t="s">
        <v>3202</v>
      </c>
      <c r="J111" s="3442">
        <f>G111+G112</f>
        <v>100000000</v>
      </c>
      <c r="K111" s="3442">
        <f t="shared" si="11"/>
        <v>1100000</v>
      </c>
      <c r="L111" s="3607"/>
    </row>
    <row r="112" spans="1:12" ht="30" customHeight="1" x14ac:dyDescent="0.2">
      <c r="A112" s="3451"/>
      <c r="B112" s="3458"/>
      <c r="C112" s="3571"/>
      <c r="D112" s="3443"/>
      <c r="E112" s="3445"/>
      <c r="F112" s="3443"/>
      <c r="G112" s="2634">
        <v>50000000</v>
      </c>
      <c r="H112" s="2634" t="s">
        <v>4216</v>
      </c>
      <c r="I112" s="24" t="s">
        <v>3202</v>
      </c>
      <c r="J112" s="3443"/>
      <c r="K112" s="3443"/>
      <c r="L112" s="3609"/>
    </row>
    <row r="113" spans="1:16" ht="30" customHeight="1" x14ac:dyDescent="0.2">
      <c r="A113" s="2625">
        <v>73</v>
      </c>
      <c r="B113" s="2690" t="s">
        <v>209</v>
      </c>
      <c r="C113" s="2660" t="s">
        <v>1348</v>
      </c>
      <c r="D113" s="2634">
        <v>20000000</v>
      </c>
      <c r="E113" s="2688">
        <v>0.05</v>
      </c>
      <c r="F113" s="2634">
        <f t="shared" si="10"/>
        <v>1000000</v>
      </c>
      <c r="G113" s="2634">
        <v>1000000</v>
      </c>
      <c r="H113" s="2634" t="s">
        <v>4105</v>
      </c>
      <c r="I113" s="24" t="s">
        <v>4128</v>
      </c>
      <c r="J113" s="2634">
        <f>G113</f>
        <v>1000000</v>
      </c>
      <c r="K113" s="2634">
        <f>F113-J113</f>
        <v>0</v>
      </c>
      <c r="L113" s="2690"/>
    </row>
    <row r="114" spans="1:16" ht="30" customHeight="1" x14ac:dyDescent="0.2">
      <c r="A114" s="3450">
        <v>74</v>
      </c>
      <c r="B114" s="3457" t="s">
        <v>4346</v>
      </c>
      <c r="C114" s="2660" t="s">
        <v>2778</v>
      </c>
      <c r="D114" s="2634">
        <v>125000000</v>
      </c>
      <c r="E114" s="2688">
        <v>0.04</v>
      </c>
      <c r="F114" s="2634">
        <f t="shared" si="10"/>
        <v>5000000</v>
      </c>
      <c r="G114" s="2634">
        <v>5000000</v>
      </c>
      <c r="H114" s="2634" t="s">
        <v>1263</v>
      </c>
      <c r="I114" s="2654" t="s">
        <v>4078</v>
      </c>
      <c r="J114" s="2634">
        <f>G114</f>
        <v>5000000</v>
      </c>
      <c r="K114" s="2634">
        <f>F114-J114</f>
        <v>0</v>
      </c>
      <c r="L114" s="786"/>
    </row>
    <row r="115" spans="1:16" ht="30" customHeight="1" x14ac:dyDescent="0.2">
      <c r="A115" s="3451"/>
      <c r="B115" s="3458"/>
      <c r="C115" s="2660" t="s">
        <v>2778</v>
      </c>
      <c r="D115" s="2634">
        <v>90000000</v>
      </c>
      <c r="E115" s="2688">
        <v>0.05</v>
      </c>
      <c r="F115" s="2634">
        <f t="shared" si="10"/>
        <v>4500000</v>
      </c>
      <c r="G115" s="2634"/>
      <c r="H115" s="2634"/>
      <c r="I115" s="2654"/>
      <c r="J115" s="2634"/>
      <c r="K115" s="2634"/>
      <c r="L115" s="786" t="s">
        <v>4349</v>
      </c>
    </row>
    <row r="116" spans="1:16" ht="30" customHeight="1" x14ac:dyDescent="0.2">
      <c r="A116" s="2692"/>
      <c r="B116" s="2690" t="s">
        <v>4348</v>
      </c>
      <c r="C116" s="2660" t="s">
        <v>265</v>
      </c>
      <c r="D116" s="2634">
        <v>200000000</v>
      </c>
      <c r="E116" s="2688">
        <v>0.05</v>
      </c>
      <c r="F116" s="2634">
        <f t="shared" si="10"/>
        <v>10000000</v>
      </c>
      <c r="G116" s="2634"/>
      <c r="H116" s="2634"/>
      <c r="I116" s="2654"/>
      <c r="J116" s="2634"/>
      <c r="K116" s="2634"/>
      <c r="L116" s="786" t="s">
        <v>4347</v>
      </c>
    </row>
    <row r="117" spans="1:16" ht="30" customHeight="1" x14ac:dyDescent="0.2">
      <c r="A117" s="2692"/>
      <c r="B117" s="2690" t="s">
        <v>211</v>
      </c>
      <c r="C117" s="2660"/>
      <c r="D117" s="2634">
        <v>50000000</v>
      </c>
      <c r="E117" s="2688">
        <v>0.05</v>
      </c>
      <c r="F117" s="2634">
        <f t="shared" si="10"/>
        <v>2500000</v>
      </c>
      <c r="G117" s="2634"/>
      <c r="H117" s="2634"/>
      <c r="I117" s="2654"/>
      <c r="J117" s="2634"/>
      <c r="K117" s="2634"/>
      <c r="L117" s="192"/>
    </row>
    <row r="118" spans="1:16" ht="30" customHeight="1" x14ac:dyDescent="0.2">
      <c r="A118" s="2692">
        <v>76</v>
      </c>
      <c r="B118" s="2690" t="s">
        <v>3598</v>
      </c>
      <c r="C118" s="2660" t="s">
        <v>1348</v>
      </c>
      <c r="D118" s="2634">
        <v>100000000</v>
      </c>
      <c r="E118" s="2688">
        <v>0.05</v>
      </c>
      <c r="F118" s="2634">
        <f t="shared" si="10"/>
        <v>5000000</v>
      </c>
      <c r="G118" s="2634"/>
      <c r="H118" s="2634"/>
      <c r="I118" s="24" t="s">
        <v>1631</v>
      </c>
      <c r="J118" s="2634">
        <f>G118</f>
        <v>0</v>
      </c>
      <c r="K118" s="2634">
        <f>F118-J118</f>
        <v>5000000</v>
      </c>
      <c r="L118" s="786" t="s">
        <v>4093</v>
      </c>
    </row>
    <row r="119" spans="1:16" ht="30" customHeight="1" x14ac:dyDescent="0.2">
      <c r="A119" s="3450">
        <v>77</v>
      </c>
      <c r="B119" s="3457" t="s">
        <v>213</v>
      </c>
      <c r="C119" s="3570" t="s">
        <v>1816</v>
      </c>
      <c r="D119" s="2634">
        <v>30000000</v>
      </c>
      <c r="E119" s="2688">
        <v>7.0000000000000007E-2</v>
      </c>
      <c r="F119" s="2634">
        <f t="shared" si="10"/>
        <v>2100000</v>
      </c>
      <c r="G119" s="3442">
        <v>3675000</v>
      </c>
      <c r="H119" s="3442" t="s">
        <v>4062</v>
      </c>
      <c r="I119" s="3452" t="s">
        <v>981</v>
      </c>
      <c r="J119" s="3442">
        <f>G119</f>
        <v>3675000</v>
      </c>
      <c r="K119" s="3442">
        <f>(F119+F120)-J119</f>
        <v>0</v>
      </c>
      <c r="L119" s="3468"/>
    </row>
    <row r="120" spans="1:16" ht="30" customHeight="1" x14ac:dyDescent="0.2">
      <c r="A120" s="3451"/>
      <c r="B120" s="3458"/>
      <c r="C120" s="3571"/>
      <c r="D120" s="2634">
        <v>35000000</v>
      </c>
      <c r="E120" s="2688">
        <v>4.4999999999999998E-2</v>
      </c>
      <c r="F120" s="2634">
        <f t="shared" si="10"/>
        <v>1575000</v>
      </c>
      <c r="G120" s="3443"/>
      <c r="H120" s="3443"/>
      <c r="I120" s="3453"/>
      <c r="J120" s="3443"/>
      <c r="K120" s="3443"/>
      <c r="L120" s="3469"/>
    </row>
    <row r="121" spans="1:16" ht="30" customHeight="1" x14ac:dyDescent="0.2">
      <c r="A121" s="2692">
        <v>78</v>
      </c>
      <c r="B121" s="2690" t="s">
        <v>214</v>
      </c>
      <c r="C121" s="2660"/>
      <c r="D121" s="2647"/>
      <c r="E121" s="2720"/>
      <c r="F121" s="2647">
        <f t="shared" si="10"/>
        <v>0</v>
      </c>
      <c r="G121" s="2634">
        <v>1900000</v>
      </c>
      <c r="H121" s="2634" t="s">
        <v>2141</v>
      </c>
      <c r="I121" s="2697" t="s">
        <v>984</v>
      </c>
      <c r="J121" s="2634">
        <f t="shared" ref="J121:J127" si="13">G121</f>
        <v>1900000</v>
      </c>
      <c r="K121" s="2647">
        <f t="shared" ref="K121:K127" si="14">F121-J121</f>
        <v>-1900000</v>
      </c>
      <c r="L121" s="2690"/>
    </row>
    <row r="122" spans="1:16" ht="30" customHeight="1" x14ac:dyDescent="0.2">
      <c r="A122" s="2692">
        <v>79</v>
      </c>
      <c r="B122" s="2690" t="s">
        <v>215</v>
      </c>
      <c r="C122" s="2660" t="s">
        <v>916</v>
      </c>
      <c r="D122" s="2634">
        <v>15000000</v>
      </c>
      <c r="E122" s="2688">
        <v>4.4999999999999998E-2</v>
      </c>
      <c r="F122" s="2634">
        <f t="shared" si="10"/>
        <v>675000</v>
      </c>
      <c r="G122" s="2634">
        <v>675000</v>
      </c>
      <c r="H122" s="2634" t="s">
        <v>2141</v>
      </c>
      <c r="I122" s="24" t="s">
        <v>1875</v>
      </c>
      <c r="J122" s="2634">
        <f t="shared" si="13"/>
        <v>675000</v>
      </c>
      <c r="K122" s="2634">
        <f t="shared" si="14"/>
        <v>0</v>
      </c>
      <c r="L122" s="2690"/>
      <c r="M122" s="406"/>
      <c r="N122" s="406"/>
      <c r="O122" s="406"/>
      <c r="P122" s="406"/>
    </row>
    <row r="123" spans="1:16" ht="30" customHeight="1" x14ac:dyDescent="0.2">
      <c r="A123" s="2692">
        <v>80</v>
      </c>
      <c r="B123" s="2690" t="s">
        <v>185</v>
      </c>
      <c r="C123" s="2660" t="s">
        <v>1348</v>
      </c>
      <c r="D123" s="2634">
        <v>145000000</v>
      </c>
      <c r="E123" s="2688">
        <v>4.4999999999999998E-2</v>
      </c>
      <c r="F123" s="2634">
        <v>6775000</v>
      </c>
      <c r="G123" s="2634">
        <v>6775000</v>
      </c>
      <c r="H123" s="2634" t="s">
        <v>4062</v>
      </c>
      <c r="I123" s="2622" t="s">
        <v>4067</v>
      </c>
      <c r="J123" s="2634">
        <f t="shared" si="13"/>
        <v>6775000</v>
      </c>
      <c r="K123" s="2634">
        <f t="shared" si="14"/>
        <v>0</v>
      </c>
      <c r="L123" s="2690"/>
      <c r="M123" s="406"/>
      <c r="N123" s="406"/>
      <c r="O123" s="406"/>
      <c r="P123" s="406"/>
    </row>
    <row r="124" spans="1:16" ht="30" customHeight="1" x14ac:dyDescent="0.2">
      <c r="A124" s="2692">
        <v>81</v>
      </c>
      <c r="B124" s="2690" t="s">
        <v>216</v>
      </c>
      <c r="C124" s="2660"/>
      <c r="D124" s="2634">
        <v>5000000</v>
      </c>
      <c r="E124" s="2688">
        <v>0.04</v>
      </c>
      <c r="F124" s="2634">
        <f t="shared" si="10"/>
        <v>200000</v>
      </c>
      <c r="G124" s="2634">
        <v>200000</v>
      </c>
      <c r="H124" s="2634" t="s">
        <v>4105</v>
      </c>
      <c r="I124" s="24" t="s">
        <v>1435</v>
      </c>
      <c r="J124" s="2634">
        <f t="shared" si="13"/>
        <v>200000</v>
      </c>
      <c r="K124" s="2634">
        <f t="shared" si="14"/>
        <v>0</v>
      </c>
      <c r="L124" s="2690"/>
      <c r="M124" s="406"/>
      <c r="N124" s="406"/>
      <c r="O124" s="406"/>
      <c r="P124" s="406"/>
    </row>
    <row r="125" spans="1:16" ht="30" customHeight="1" x14ac:dyDescent="0.2">
      <c r="A125" s="2692">
        <v>82</v>
      </c>
      <c r="B125" s="2690" t="s">
        <v>217</v>
      </c>
      <c r="C125" s="2660"/>
      <c r="D125" s="2634">
        <v>16000000</v>
      </c>
      <c r="E125" s="2688">
        <v>0.05</v>
      </c>
      <c r="F125" s="2634">
        <f t="shared" si="10"/>
        <v>800000</v>
      </c>
      <c r="G125" s="2634">
        <v>800000</v>
      </c>
      <c r="H125" s="2634" t="s">
        <v>4062</v>
      </c>
      <c r="I125" s="2697" t="s">
        <v>993</v>
      </c>
      <c r="J125" s="2634">
        <f t="shared" si="13"/>
        <v>800000</v>
      </c>
      <c r="K125" s="2634">
        <f t="shared" si="14"/>
        <v>0</v>
      </c>
      <c r="L125" s="2690"/>
      <c r="M125" s="406"/>
      <c r="N125" s="406"/>
      <c r="O125" s="406"/>
      <c r="P125" s="406"/>
    </row>
    <row r="126" spans="1:16" ht="30" customHeight="1" x14ac:dyDescent="0.2">
      <c r="A126" s="2692">
        <v>83</v>
      </c>
      <c r="B126" s="2690" t="s">
        <v>218</v>
      </c>
      <c r="C126" s="2660" t="s">
        <v>1110</v>
      </c>
      <c r="D126" s="2634">
        <v>160000000</v>
      </c>
      <c r="E126" s="2688">
        <v>0.05</v>
      </c>
      <c r="F126" s="2634">
        <f>D126*E126</f>
        <v>8000000</v>
      </c>
      <c r="G126" s="2634">
        <v>8000000</v>
      </c>
      <c r="H126" s="2634" t="s">
        <v>4105</v>
      </c>
      <c r="I126" s="2622" t="s">
        <v>4122</v>
      </c>
      <c r="J126" s="2634">
        <f t="shared" si="13"/>
        <v>8000000</v>
      </c>
      <c r="K126" s="2634">
        <f t="shared" si="14"/>
        <v>0</v>
      </c>
      <c r="L126" s="2690"/>
      <c r="M126" s="406"/>
      <c r="N126" s="406"/>
      <c r="O126" s="406"/>
      <c r="P126" s="406"/>
    </row>
    <row r="127" spans="1:16" ht="30" customHeight="1" x14ac:dyDescent="0.2">
      <c r="A127" s="2692">
        <v>84</v>
      </c>
      <c r="B127" s="2690" t="s">
        <v>219</v>
      </c>
      <c r="C127" s="2660"/>
      <c r="D127" s="2634">
        <v>400000000</v>
      </c>
      <c r="E127" s="2688">
        <v>6.0999999999999999E-2</v>
      </c>
      <c r="F127" s="2634">
        <f t="shared" si="10"/>
        <v>24400000</v>
      </c>
      <c r="G127" s="2634">
        <v>24400000</v>
      </c>
      <c r="H127" s="2634" t="s">
        <v>2141</v>
      </c>
      <c r="I127" s="2697" t="s">
        <v>1646</v>
      </c>
      <c r="J127" s="2634">
        <f t="shared" si="13"/>
        <v>24400000</v>
      </c>
      <c r="K127" s="2634">
        <f t="shared" si="14"/>
        <v>0</v>
      </c>
      <c r="L127" s="2690"/>
      <c r="M127" s="406"/>
      <c r="N127" s="406"/>
      <c r="O127" s="406"/>
      <c r="P127" s="406"/>
    </row>
    <row r="128" spans="1:16" ht="30" customHeight="1" x14ac:dyDescent="0.2">
      <c r="A128" s="3450"/>
      <c r="B128" s="3457" t="s">
        <v>1004</v>
      </c>
      <c r="C128" s="3570" t="s">
        <v>916</v>
      </c>
      <c r="D128" s="3442">
        <v>850000000</v>
      </c>
      <c r="E128" s="3444">
        <f>F128/D128</f>
        <v>6.1647058823529409E-2</v>
      </c>
      <c r="F128" s="3442">
        <v>52400000</v>
      </c>
      <c r="G128" s="3442">
        <v>52400000</v>
      </c>
      <c r="H128" s="3442" t="s">
        <v>4062</v>
      </c>
      <c r="I128" s="3442" t="s">
        <v>2674</v>
      </c>
      <c r="J128" s="3442">
        <f>G128+G129</f>
        <v>52400000</v>
      </c>
      <c r="K128" s="3442">
        <f>F128-J128</f>
        <v>0</v>
      </c>
      <c r="L128" s="3570"/>
      <c r="M128" s="406"/>
      <c r="N128" s="406"/>
      <c r="O128" s="406"/>
      <c r="P128" s="406"/>
    </row>
    <row r="129" spans="1:16" ht="30" customHeight="1" x14ac:dyDescent="0.2">
      <c r="A129" s="3451"/>
      <c r="B129" s="3458"/>
      <c r="C129" s="3571"/>
      <c r="D129" s="3443"/>
      <c r="E129" s="3445"/>
      <c r="F129" s="3443"/>
      <c r="G129" s="3443"/>
      <c r="H129" s="3443"/>
      <c r="I129" s="3443"/>
      <c r="J129" s="3443"/>
      <c r="K129" s="3443"/>
      <c r="L129" s="3571"/>
      <c r="M129" s="406"/>
      <c r="N129" s="406"/>
      <c r="O129" s="406"/>
      <c r="P129" s="406"/>
    </row>
    <row r="130" spans="1:16" ht="30" customHeight="1" x14ac:dyDescent="0.2">
      <c r="A130" s="2692">
        <v>86</v>
      </c>
      <c r="B130" s="22" t="s">
        <v>220</v>
      </c>
      <c r="C130" s="2689" t="s">
        <v>916</v>
      </c>
      <c r="D130" s="2622">
        <v>111000000</v>
      </c>
      <c r="E130" s="2688">
        <v>0.05</v>
      </c>
      <c r="F130" s="2622">
        <f t="shared" ref="F130" si="15">D130*E130</f>
        <v>5550000</v>
      </c>
      <c r="G130" s="2622">
        <v>5550000</v>
      </c>
      <c r="H130" s="2622" t="s">
        <v>4062</v>
      </c>
      <c r="I130" s="2622" t="s">
        <v>4111</v>
      </c>
      <c r="J130" s="2622">
        <f>G130</f>
        <v>5550000</v>
      </c>
      <c r="K130" s="2622">
        <f>F130-J130</f>
        <v>0</v>
      </c>
      <c r="L130" s="192" t="s">
        <v>4053</v>
      </c>
      <c r="M130" s="406"/>
      <c r="N130" s="406"/>
      <c r="O130" s="406"/>
      <c r="P130" s="406"/>
    </row>
    <row r="131" spans="1:16" ht="30" customHeight="1" x14ac:dyDescent="0.2">
      <c r="A131" s="2625"/>
      <c r="B131" s="2627" t="s">
        <v>177</v>
      </c>
      <c r="C131" s="2660" t="s">
        <v>916</v>
      </c>
      <c r="D131" s="2634">
        <v>723000000</v>
      </c>
      <c r="E131" s="2631">
        <f>F131/D131</f>
        <v>6.5560165975103737E-2</v>
      </c>
      <c r="F131" s="2634">
        <v>47400000</v>
      </c>
      <c r="G131" s="2634">
        <v>47400000</v>
      </c>
      <c r="H131" s="2634" t="s">
        <v>1964</v>
      </c>
      <c r="I131" s="21" t="s">
        <v>3196</v>
      </c>
      <c r="J131" s="2634">
        <f>G131</f>
        <v>47400000</v>
      </c>
      <c r="K131" s="2634">
        <f>F131-J131</f>
        <v>0</v>
      </c>
      <c r="L131" s="3688"/>
      <c r="M131" s="3689"/>
      <c r="N131" s="3689"/>
      <c r="O131" s="3689"/>
      <c r="P131" s="3690"/>
    </row>
    <row r="132" spans="1:16" ht="30" customHeight="1" x14ac:dyDescent="0.2">
      <c r="A132" s="2692">
        <v>88</v>
      </c>
      <c r="B132" s="2690" t="s">
        <v>221</v>
      </c>
      <c r="C132" s="2660" t="s">
        <v>1350</v>
      </c>
      <c r="D132" s="2634">
        <v>45000000</v>
      </c>
      <c r="E132" s="2688">
        <v>0.04</v>
      </c>
      <c r="F132" s="2634">
        <v>2050000</v>
      </c>
      <c r="G132" s="2634">
        <v>2050000</v>
      </c>
      <c r="H132" s="2634" t="s">
        <v>4062</v>
      </c>
      <c r="I132" s="21" t="s">
        <v>779</v>
      </c>
      <c r="J132" s="2634">
        <f>G132</f>
        <v>2050000</v>
      </c>
      <c r="K132" s="2634">
        <f>F132-J132</f>
        <v>0</v>
      </c>
      <c r="L132" s="2690"/>
      <c r="M132" s="406"/>
      <c r="N132" s="406"/>
      <c r="O132" s="406"/>
      <c r="P132" s="406"/>
    </row>
    <row r="133" spans="1:16" ht="30" customHeight="1" x14ac:dyDescent="0.2">
      <c r="A133" s="3450">
        <v>89</v>
      </c>
      <c r="B133" s="3457" t="s">
        <v>222</v>
      </c>
      <c r="C133" s="3570" t="s">
        <v>1348</v>
      </c>
      <c r="D133" s="2622">
        <v>93000000</v>
      </c>
      <c r="E133" s="2688">
        <v>7.0000000000000007E-2</v>
      </c>
      <c r="F133" s="2622">
        <v>6500000</v>
      </c>
      <c r="G133" s="3738">
        <v>30200000</v>
      </c>
      <c r="H133" s="3738" t="s">
        <v>2141</v>
      </c>
      <c r="I133" s="3738" t="s">
        <v>2800</v>
      </c>
      <c r="J133" s="3442">
        <f>G133</f>
        <v>30200000</v>
      </c>
      <c r="K133" s="3442">
        <v>0</v>
      </c>
      <c r="L133" s="192"/>
      <c r="M133" s="406"/>
      <c r="N133" s="406"/>
      <c r="O133" s="406"/>
      <c r="P133" s="406"/>
    </row>
    <row r="134" spans="1:16" ht="30" customHeight="1" x14ac:dyDescent="0.2">
      <c r="A134" s="3451"/>
      <c r="B134" s="3458"/>
      <c r="C134" s="3571"/>
      <c r="D134" s="2622">
        <v>450000000</v>
      </c>
      <c r="E134" s="2688">
        <v>0.05</v>
      </c>
      <c r="F134" s="2634">
        <f>D134*E134</f>
        <v>22500000</v>
      </c>
      <c r="G134" s="3739"/>
      <c r="H134" s="3739"/>
      <c r="I134" s="3739"/>
      <c r="J134" s="3443"/>
      <c r="K134" s="3443"/>
      <c r="L134" s="33" t="s">
        <v>3454</v>
      </c>
      <c r="M134" s="406"/>
      <c r="N134" s="406"/>
      <c r="O134" s="406"/>
      <c r="P134" s="406"/>
    </row>
    <row r="135" spans="1:16" ht="30" customHeight="1" x14ac:dyDescent="0.2">
      <c r="A135" s="3450">
        <v>90</v>
      </c>
      <c r="B135" s="3457" t="s">
        <v>223</v>
      </c>
      <c r="C135" s="3570" t="s">
        <v>1215</v>
      </c>
      <c r="D135" s="2634">
        <v>130000000</v>
      </c>
      <c r="E135" s="2688">
        <v>7.0000000000000007E-2</v>
      </c>
      <c r="F135" s="2634">
        <f>D135*E135</f>
        <v>9100000</v>
      </c>
      <c r="G135" s="3442">
        <v>14460000</v>
      </c>
      <c r="H135" s="3442" t="s">
        <v>4105</v>
      </c>
      <c r="I135" s="3452" t="s">
        <v>4095</v>
      </c>
      <c r="J135" s="3442">
        <f>G135</f>
        <v>14460000</v>
      </c>
      <c r="K135" s="3442">
        <f>(F135+F136)-J135</f>
        <v>0</v>
      </c>
      <c r="L135" s="3525"/>
      <c r="M135" s="406"/>
      <c r="N135" s="406"/>
      <c r="O135" s="406"/>
      <c r="P135" s="406"/>
    </row>
    <row r="136" spans="1:16" ht="30" customHeight="1" x14ac:dyDescent="0.2">
      <c r="A136" s="3451"/>
      <c r="B136" s="3458"/>
      <c r="C136" s="3571"/>
      <c r="D136" s="2634">
        <v>100000000</v>
      </c>
      <c r="E136" s="2688">
        <v>5.3999999999999999E-2</v>
      </c>
      <c r="F136" s="2634">
        <v>5360000</v>
      </c>
      <c r="G136" s="3443"/>
      <c r="H136" s="3443"/>
      <c r="I136" s="3453"/>
      <c r="J136" s="3443"/>
      <c r="K136" s="3443"/>
      <c r="L136" s="3526"/>
      <c r="M136" s="406"/>
      <c r="N136" s="406"/>
      <c r="O136" s="406"/>
      <c r="P136" s="406"/>
    </row>
    <row r="137" spans="1:16" ht="30" customHeight="1" x14ac:dyDescent="0.2">
      <c r="A137" s="3450">
        <v>91</v>
      </c>
      <c r="B137" s="3457" t="s">
        <v>224</v>
      </c>
      <c r="C137" s="3570"/>
      <c r="D137" s="2634">
        <v>50000000</v>
      </c>
      <c r="E137" s="2688">
        <v>0.05</v>
      </c>
      <c r="F137" s="2634">
        <f t="shared" si="10"/>
        <v>2500000</v>
      </c>
      <c r="G137" s="3442">
        <v>3500000</v>
      </c>
      <c r="H137" s="3442" t="s">
        <v>4105</v>
      </c>
      <c r="I137" s="3586" t="s">
        <v>787</v>
      </c>
      <c r="J137" s="3442">
        <f>G137</f>
        <v>3500000</v>
      </c>
      <c r="K137" s="3442">
        <f>F137-J137</f>
        <v>-1000000</v>
      </c>
      <c r="L137" s="33" t="s">
        <v>4130</v>
      </c>
      <c r="M137" s="406"/>
      <c r="N137" s="406"/>
      <c r="O137" s="406"/>
      <c r="P137" s="406"/>
    </row>
    <row r="138" spans="1:16" ht="30" customHeight="1" x14ac:dyDescent="0.2">
      <c r="A138" s="3451"/>
      <c r="B138" s="3458"/>
      <c r="C138" s="3571"/>
      <c r="D138" s="2634">
        <v>30000000</v>
      </c>
      <c r="E138" s="2688">
        <v>0.05</v>
      </c>
      <c r="F138" s="2634">
        <f>D138*E138</f>
        <v>1500000</v>
      </c>
      <c r="G138" s="3443"/>
      <c r="H138" s="3443"/>
      <c r="I138" s="3587"/>
      <c r="J138" s="3443"/>
      <c r="K138" s="3443"/>
      <c r="L138" s="192" t="s">
        <v>4054</v>
      </c>
      <c r="M138" s="406"/>
      <c r="N138" s="406"/>
      <c r="O138" s="406"/>
      <c r="P138" s="406"/>
    </row>
    <row r="139" spans="1:16" ht="30" customHeight="1" x14ac:dyDescent="0.2">
      <c r="A139" s="3450">
        <v>92</v>
      </c>
      <c r="B139" s="3525" t="s">
        <v>770</v>
      </c>
      <c r="C139" s="2689" t="s">
        <v>916</v>
      </c>
      <c r="D139" s="2622">
        <v>450000000</v>
      </c>
      <c r="E139" s="2688">
        <f>F139/D139</f>
        <v>5.3222222222222219E-2</v>
      </c>
      <c r="F139" s="2622">
        <v>23950000</v>
      </c>
      <c r="G139" s="2622">
        <v>23950000</v>
      </c>
      <c r="H139" s="2622" t="s">
        <v>2141</v>
      </c>
      <c r="I139" s="2685" t="s">
        <v>3144</v>
      </c>
      <c r="J139" s="2622">
        <f>G139</f>
        <v>23950000</v>
      </c>
      <c r="K139" s="2622">
        <f>F139-J139</f>
        <v>0</v>
      </c>
      <c r="L139" s="2686"/>
      <c r="M139" s="406"/>
      <c r="N139" s="406"/>
      <c r="O139" s="406"/>
      <c r="P139" s="406"/>
    </row>
    <row r="140" spans="1:16" ht="30" customHeight="1" x14ac:dyDescent="0.2">
      <c r="A140" s="3456"/>
      <c r="B140" s="3643"/>
      <c r="C140" s="3570" t="s">
        <v>1342</v>
      </c>
      <c r="D140" s="2634">
        <v>273000000</v>
      </c>
      <c r="E140" s="2631">
        <f>F140/D140</f>
        <v>5.4615384615384614E-2</v>
      </c>
      <c r="F140" s="2634">
        <v>14910000</v>
      </c>
      <c r="G140" s="3442">
        <v>19910000</v>
      </c>
      <c r="H140" s="3442" t="s">
        <v>4216</v>
      </c>
      <c r="I140" s="3442" t="s">
        <v>3144</v>
      </c>
      <c r="J140" s="3442">
        <f>G140</f>
        <v>19910000</v>
      </c>
      <c r="K140" s="3442">
        <f>(F140+F141)-J140</f>
        <v>0</v>
      </c>
      <c r="L140" s="192" t="s">
        <v>3741</v>
      </c>
      <c r="M140" s="406"/>
      <c r="N140" s="406"/>
      <c r="O140" s="406"/>
      <c r="P140" s="406"/>
    </row>
    <row r="141" spans="1:16" ht="30" customHeight="1" x14ac:dyDescent="0.2">
      <c r="A141" s="3451"/>
      <c r="B141" s="3643"/>
      <c r="C141" s="3576"/>
      <c r="D141" s="2691">
        <v>100000000</v>
      </c>
      <c r="E141" s="2629">
        <v>0.05</v>
      </c>
      <c r="F141" s="2632">
        <f>D141*E141</f>
        <v>5000000</v>
      </c>
      <c r="G141" s="3443"/>
      <c r="H141" s="3443"/>
      <c r="I141" s="3443"/>
      <c r="J141" s="3443"/>
      <c r="K141" s="3443"/>
      <c r="L141" s="192" t="s">
        <v>3742</v>
      </c>
      <c r="M141" s="406"/>
      <c r="N141" s="406"/>
      <c r="O141" s="406"/>
      <c r="P141" s="406"/>
    </row>
    <row r="142" spans="1:16" ht="30" customHeight="1" x14ac:dyDescent="0.2">
      <c r="A142" s="3450"/>
      <c r="B142" s="3457" t="s">
        <v>225</v>
      </c>
      <c r="C142" s="3570"/>
      <c r="D142" s="2987">
        <v>50000000</v>
      </c>
      <c r="E142" s="2987"/>
      <c r="F142" s="2987"/>
      <c r="G142" s="2987">
        <v>25000000</v>
      </c>
      <c r="H142" s="2987" t="s">
        <v>4270</v>
      </c>
      <c r="I142" s="2987" t="s">
        <v>4740</v>
      </c>
      <c r="J142" s="2987">
        <f>G142</f>
        <v>25000000</v>
      </c>
      <c r="K142" s="2987"/>
      <c r="L142" s="2333" t="s">
        <v>4741</v>
      </c>
      <c r="M142" s="406"/>
      <c r="N142" s="406"/>
      <c r="O142" s="406"/>
      <c r="P142" s="406"/>
    </row>
    <row r="143" spans="1:16" ht="30" customHeight="1" x14ac:dyDescent="0.2">
      <c r="A143" s="3451"/>
      <c r="B143" s="3458"/>
      <c r="C143" s="3571"/>
      <c r="D143" s="948">
        <v>25000000</v>
      </c>
      <c r="E143" s="2987"/>
      <c r="F143" s="2988"/>
      <c r="G143" s="2988"/>
      <c r="H143" s="2988"/>
      <c r="I143" s="2995"/>
      <c r="J143" s="2988"/>
      <c r="K143" s="2988"/>
      <c r="L143" s="2333"/>
      <c r="M143" s="406"/>
      <c r="N143" s="406"/>
      <c r="O143" s="406"/>
      <c r="P143" s="406"/>
    </row>
    <row r="144" spans="1:16" ht="30" customHeight="1" x14ac:dyDescent="0.2">
      <c r="A144" s="2692">
        <v>94</v>
      </c>
      <c r="B144" s="2690" t="s">
        <v>1182</v>
      </c>
      <c r="C144" s="2660"/>
      <c r="D144" s="2634">
        <v>25000000</v>
      </c>
      <c r="E144" s="2688">
        <v>0.04</v>
      </c>
      <c r="F144" s="2634">
        <f>D144*E144</f>
        <v>1000000</v>
      </c>
      <c r="G144" s="2634">
        <v>1000000</v>
      </c>
      <c r="H144" s="2634" t="s">
        <v>4156</v>
      </c>
      <c r="I144" s="24" t="s">
        <v>1184</v>
      </c>
      <c r="J144" s="2634">
        <f>G144</f>
        <v>1000000</v>
      </c>
      <c r="K144" s="2634">
        <f t="shared" ref="K144:K150" si="16">F144-J144</f>
        <v>0</v>
      </c>
      <c r="L144" s="2690"/>
      <c r="M144" s="406"/>
      <c r="N144" s="406"/>
      <c r="O144" s="406"/>
      <c r="P144" s="406"/>
    </row>
    <row r="145" spans="1:16" ht="30" customHeight="1" x14ac:dyDescent="0.2">
      <c r="A145" s="2625"/>
      <c r="B145" s="22" t="s">
        <v>226</v>
      </c>
      <c r="C145" s="2689"/>
      <c r="D145" s="2622">
        <v>355000000</v>
      </c>
      <c r="E145" s="2688">
        <v>0.05</v>
      </c>
      <c r="F145" s="2622">
        <f>D145*E145</f>
        <v>17750000</v>
      </c>
      <c r="G145" s="2622">
        <v>17500000</v>
      </c>
      <c r="H145" s="2622" t="s">
        <v>2141</v>
      </c>
      <c r="I145" s="2685" t="s">
        <v>3567</v>
      </c>
      <c r="J145" s="2622">
        <f>G145</f>
        <v>17500000</v>
      </c>
      <c r="K145" s="2622">
        <f t="shared" si="16"/>
        <v>250000</v>
      </c>
      <c r="L145" s="421" t="s">
        <v>1672</v>
      </c>
      <c r="M145" s="406"/>
      <c r="N145" s="406"/>
      <c r="O145" s="406"/>
      <c r="P145" s="406"/>
    </row>
    <row r="146" spans="1:16" ht="30" customHeight="1" x14ac:dyDescent="0.2">
      <c r="A146" s="2692">
        <v>96</v>
      </c>
      <c r="B146" s="2690" t="s">
        <v>227</v>
      </c>
      <c r="C146" s="2660"/>
      <c r="D146" s="2634">
        <v>70000000</v>
      </c>
      <c r="E146" s="2688">
        <v>0.05</v>
      </c>
      <c r="F146" s="2634">
        <f>D146*E146</f>
        <v>3500000</v>
      </c>
      <c r="G146" s="2634"/>
      <c r="H146" s="2634"/>
      <c r="I146" s="2622" t="s">
        <v>1512</v>
      </c>
      <c r="J146" s="2634">
        <f>F146</f>
        <v>3500000</v>
      </c>
      <c r="K146" s="2634">
        <f t="shared" si="16"/>
        <v>0</v>
      </c>
      <c r="L146" s="2690"/>
      <c r="M146" s="406"/>
      <c r="N146" s="406"/>
      <c r="O146" s="406"/>
      <c r="P146" s="406"/>
    </row>
    <row r="147" spans="1:16" ht="30" customHeight="1" x14ac:dyDescent="0.2">
      <c r="A147" s="2692">
        <v>97</v>
      </c>
      <c r="B147" s="2690" t="s">
        <v>228</v>
      </c>
      <c r="C147" s="2660"/>
      <c r="D147" s="2634">
        <v>100000000</v>
      </c>
      <c r="E147" s="2688">
        <v>0.04</v>
      </c>
      <c r="F147" s="2634">
        <f t="shared" ref="F147:F148" si="17">D147*E147</f>
        <v>4000000</v>
      </c>
      <c r="G147" s="2634"/>
      <c r="H147" s="2634"/>
      <c r="I147" s="24"/>
      <c r="J147" s="2634"/>
      <c r="K147" s="2634">
        <f t="shared" si="16"/>
        <v>4000000</v>
      </c>
      <c r="L147" s="2690"/>
      <c r="M147" s="406"/>
      <c r="N147" s="406"/>
      <c r="O147" s="406"/>
      <c r="P147" s="406"/>
    </row>
    <row r="148" spans="1:16" ht="30" customHeight="1" x14ac:dyDescent="0.2">
      <c r="A148" s="2692">
        <v>98</v>
      </c>
      <c r="B148" s="2690" t="s">
        <v>229</v>
      </c>
      <c r="C148" s="2660"/>
      <c r="D148" s="2634">
        <v>20000000</v>
      </c>
      <c r="E148" s="2688">
        <v>0.05</v>
      </c>
      <c r="F148" s="2634">
        <f t="shared" si="17"/>
        <v>1000000</v>
      </c>
      <c r="G148" s="2634"/>
      <c r="H148" s="2634"/>
      <c r="I148" s="2622" t="s">
        <v>812</v>
      </c>
      <c r="J148" s="2634">
        <f>G148</f>
        <v>0</v>
      </c>
      <c r="K148" s="2634">
        <f t="shared" si="16"/>
        <v>1000000</v>
      </c>
      <c r="L148" s="2690"/>
      <c r="M148" s="406"/>
      <c r="N148" s="406"/>
      <c r="O148" s="406"/>
      <c r="P148" s="406"/>
    </row>
    <row r="149" spans="1:16" ht="30" customHeight="1" x14ac:dyDescent="0.2">
      <c r="A149" s="2692">
        <v>99</v>
      </c>
      <c r="B149" s="2690" t="s">
        <v>230</v>
      </c>
      <c r="C149" s="2660" t="s">
        <v>1352</v>
      </c>
      <c r="D149" s="2634">
        <v>100000000</v>
      </c>
      <c r="E149" s="2688">
        <v>0.04</v>
      </c>
      <c r="F149" s="2634">
        <f>D149*E149</f>
        <v>4000000</v>
      </c>
      <c r="G149" s="2634">
        <v>4000000</v>
      </c>
      <c r="H149" s="2634" t="s">
        <v>4076</v>
      </c>
      <c r="I149" s="2697" t="s">
        <v>3539</v>
      </c>
      <c r="J149" s="2634">
        <f>G149</f>
        <v>4000000</v>
      </c>
      <c r="K149" s="2634">
        <f t="shared" si="16"/>
        <v>0</v>
      </c>
      <c r="L149" s="2690"/>
      <c r="M149" s="406"/>
      <c r="N149" s="406"/>
      <c r="O149" s="406"/>
      <c r="P149" s="406"/>
    </row>
    <row r="150" spans="1:16" ht="30" customHeight="1" x14ac:dyDescent="0.2">
      <c r="A150" s="2692">
        <v>100</v>
      </c>
      <c r="B150" s="2690" t="s">
        <v>231</v>
      </c>
      <c r="C150" s="2660" t="s">
        <v>401</v>
      </c>
      <c r="D150" s="2634">
        <v>101000000</v>
      </c>
      <c r="E150" s="2688">
        <v>5.0999999999999997E-2</v>
      </c>
      <c r="F150" s="2634">
        <v>5100000</v>
      </c>
      <c r="G150" s="2634"/>
      <c r="H150" s="2634"/>
      <c r="I150" s="24" t="s">
        <v>2994</v>
      </c>
      <c r="J150" s="2634">
        <f>G150</f>
        <v>0</v>
      </c>
      <c r="K150" s="2634">
        <f t="shared" si="16"/>
        <v>5100000</v>
      </c>
      <c r="L150" s="2690"/>
      <c r="M150" s="406"/>
      <c r="N150" s="406"/>
      <c r="O150" s="406"/>
      <c r="P150" s="406"/>
    </row>
    <row r="151" spans="1:16" ht="30" customHeight="1" x14ac:dyDescent="0.2">
      <c r="A151" s="3497"/>
      <c r="B151" s="3457" t="s">
        <v>180</v>
      </c>
      <c r="C151" s="3570" t="s">
        <v>1110</v>
      </c>
      <c r="D151" s="3442">
        <v>100000000</v>
      </c>
      <c r="E151" s="3444">
        <v>0.06</v>
      </c>
      <c r="F151" s="3442">
        <f>D151*E151</f>
        <v>6000000</v>
      </c>
      <c r="G151" s="1452"/>
      <c r="H151" s="247"/>
      <c r="I151" s="247"/>
      <c r="J151" s="247"/>
      <c r="K151" s="2634"/>
      <c r="L151" s="2684" t="s">
        <v>3438</v>
      </c>
      <c r="M151" s="406"/>
      <c r="N151" s="406"/>
      <c r="O151" s="406"/>
      <c r="P151" s="406"/>
    </row>
    <row r="152" spans="1:16" ht="30" customHeight="1" x14ac:dyDescent="0.2">
      <c r="A152" s="3498"/>
      <c r="B152" s="3458"/>
      <c r="C152" s="3571"/>
      <c r="D152" s="3443"/>
      <c r="E152" s="3445"/>
      <c r="F152" s="3443"/>
      <c r="G152" s="2634"/>
      <c r="H152" s="247"/>
      <c r="I152" s="247"/>
      <c r="J152" s="247"/>
      <c r="K152" s="2634"/>
      <c r="L152" s="2684" t="s">
        <v>4056</v>
      </c>
      <c r="M152" s="406"/>
      <c r="N152" s="406"/>
      <c r="O152" s="406"/>
      <c r="P152" s="406"/>
    </row>
    <row r="153" spans="1:16" s="1593" customFormat="1" ht="30" customHeight="1" x14ac:dyDescent="0.2">
      <c r="A153" s="2692"/>
      <c r="B153" s="22" t="s">
        <v>233</v>
      </c>
      <c r="C153" s="2689" t="s">
        <v>1215</v>
      </c>
      <c r="D153" s="2622">
        <v>37000000</v>
      </c>
      <c r="E153" s="2688">
        <v>5.5E-2</v>
      </c>
      <c r="F153" s="2622">
        <v>2000000</v>
      </c>
      <c r="G153" s="2622"/>
      <c r="H153" s="2622"/>
      <c r="I153" s="2622" t="s">
        <v>1644</v>
      </c>
      <c r="J153" s="2622">
        <f>G153</f>
        <v>0</v>
      </c>
      <c r="K153" s="2622">
        <f>F153-J153</f>
        <v>2000000</v>
      </c>
      <c r="L153" s="2333" t="s">
        <v>3512</v>
      </c>
      <c r="M153" s="9"/>
      <c r="N153" s="9"/>
      <c r="O153" s="9"/>
      <c r="P153" s="9"/>
    </row>
    <row r="154" spans="1:16" ht="30" customHeight="1" x14ac:dyDescent="0.2">
      <c r="A154" s="2625">
        <v>104</v>
      </c>
      <c r="B154" s="2627" t="s">
        <v>234</v>
      </c>
      <c r="C154" s="2660" t="s">
        <v>1215</v>
      </c>
      <c r="D154" s="2634">
        <v>20000000</v>
      </c>
      <c r="E154" s="2631">
        <v>0.05</v>
      </c>
      <c r="F154" s="2634">
        <f t="shared" si="10"/>
        <v>1000000</v>
      </c>
      <c r="G154" s="2634">
        <v>1000000</v>
      </c>
      <c r="H154" s="2634" t="s">
        <v>4105</v>
      </c>
      <c r="I154" s="24" t="s">
        <v>3573</v>
      </c>
      <c r="J154" s="2634">
        <f>G154</f>
        <v>1000000</v>
      </c>
      <c r="K154" s="2634">
        <f>F154-J154</f>
        <v>0</v>
      </c>
      <c r="L154" s="2627"/>
      <c r="M154" s="406"/>
      <c r="N154" s="406"/>
      <c r="O154" s="406"/>
      <c r="P154" s="406"/>
    </row>
    <row r="155" spans="1:16" ht="30" customHeight="1" x14ac:dyDescent="0.2">
      <c r="A155" s="3450">
        <v>105</v>
      </c>
      <c r="B155" s="3677" t="s">
        <v>235</v>
      </c>
      <c r="C155" s="3570"/>
      <c r="D155" s="3505"/>
      <c r="E155" s="3507"/>
      <c r="F155" s="3505">
        <f t="shared" ref="F155:F187" si="18">D155*E155</f>
        <v>0</v>
      </c>
      <c r="G155" s="2634"/>
      <c r="H155" s="2634"/>
      <c r="I155" s="24" t="s">
        <v>795</v>
      </c>
      <c r="J155" s="2634">
        <f>G155</f>
        <v>0</v>
      </c>
      <c r="K155" s="2647">
        <f>F155-J155</f>
        <v>0</v>
      </c>
      <c r="L155" s="2626"/>
    </row>
    <row r="156" spans="1:16" ht="30" customHeight="1" x14ac:dyDescent="0.2">
      <c r="A156" s="3451"/>
      <c r="B156" s="3679"/>
      <c r="C156" s="3571"/>
      <c r="D156" s="3506"/>
      <c r="E156" s="3508"/>
      <c r="F156" s="3506"/>
      <c r="G156" s="2634"/>
      <c r="H156" s="2634"/>
      <c r="I156" s="24" t="s">
        <v>3685</v>
      </c>
      <c r="J156" s="2634">
        <f>G156</f>
        <v>0</v>
      </c>
      <c r="K156" s="2647"/>
      <c r="L156" s="2642" t="s">
        <v>3686</v>
      </c>
    </row>
    <row r="157" spans="1:16" ht="30" customHeight="1" x14ac:dyDescent="0.2">
      <c r="A157" s="2692">
        <v>107</v>
      </c>
      <c r="B157" s="2690" t="s">
        <v>237</v>
      </c>
      <c r="C157" s="2660"/>
      <c r="D157" s="2634">
        <v>65000000</v>
      </c>
      <c r="E157" s="2688">
        <v>3.4000000000000002E-2</v>
      </c>
      <c r="F157" s="2634">
        <v>2200000</v>
      </c>
      <c r="G157" s="2634">
        <v>2200000</v>
      </c>
      <c r="H157" s="2634" t="s">
        <v>4059</v>
      </c>
      <c r="I157" s="2622" t="s">
        <v>821</v>
      </c>
      <c r="J157" s="2634">
        <f t="shared" ref="J157:J163" si="19">G157</f>
        <v>2200000</v>
      </c>
      <c r="K157" s="2634">
        <f t="shared" ref="K157:K163" si="20">F157-J157</f>
        <v>0</v>
      </c>
      <c r="L157" s="2642" t="s">
        <v>4414</v>
      </c>
    </row>
    <row r="158" spans="1:16" ht="30" customHeight="1" x14ac:dyDescent="0.2">
      <c r="A158" s="2623">
        <v>108</v>
      </c>
      <c r="B158" s="2690" t="s">
        <v>238</v>
      </c>
      <c r="C158" s="2689"/>
      <c r="D158" s="2622">
        <v>1430000000</v>
      </c>
      <c r="E158" s="2688">
        <v>5.5E-2</v>
      </c>
      <c r="F158" s="2622">
        <f t="shared" si="18"/>
        <v>78650000</v>
      </c>
      <c r="G158" s="2622">
        <v>78650000</v>
      </c>
      <c r="H158" s="2622" t="s">
        <v>2141</v>
      </c>
      <c r="I158" s="2685" t="s">
        <v>4107</v>
      </c>
      <c r="J158" s="2622">
        <f t="shared" si="19"/>
        <v>78650000</v>
      </c>
      <c r="K158" s="2622">
        <f t="shared" si="20"/>
        <v>0</v>
      </c>
      <c r="L158" s="2689"/>
    </row>
    <row r="159" spans="1:16" ht="30" customHeight="1" x14ac:dyDescent="0.2">
      <c r="A159" s="2692">
        <v>109</v>
      </c>
      <c r="B159" s="2627" t="s">
        <v>239</v>
      </c>
      <c r="C159" s="2660"/>
      <c r="D159" s="2634">
        <v>1000000000</v>
      </c>
      <c r="E159" s="2631">
        <v>0.05</v>
      </c>
      <c r="F159" s="2634">
        <f t="shared" si="18"/>
        <v>50000000</v>
      </c>
      <c r="G159" s="2634">
        <v>50000000</v>
      </c>
      <c r="H159" s="2634" t="s">
        <v>4133</v>
      </c>
      <c r="I159" s="24" t="s">
        <v>2750</v>
      </c>
      <c r="J159" s="2634">
        <f t="shared" si="19"/>
        <v>50000000</v>
      </c>
      <c r="K159" s="2634">
        <f t="shared" si="20"/>
        <v>0</v>
      </c>
      <c r="L159" s="2627"/>
    </row>
    <row r="160" spans="1:16" ht="30" customHeight="1" x14ac:dyDescent="0.2">
      <c r="A160" s="2692">
        <v>110</v>
      </c>
      <c r="B160" s="2686" t="s">
        <v>1960</v>
      </c>
      <c r="C160" s="2659" t="s">
        <v>1347</v>
      </c>
      <c r="D160" s="2633">
        <v>14000000</v>
      </c>
      <c r="E160" s="2629">
        <v>4.2999999999999997E-2</v>
      </c>
      <c r="F160" s="2634">
        <v>600000</v>
      </c>
      <c r="G160" s="2634">
        <v>600000</v>
      </c>
      <c r="H160" s="2634" t="s">
        <v>4249</v>
      </c>
      <c r="I160" s="24" t="s">
        <v>1972</v>
      </c>
      <c r="J160" s="2622">
        <f t="shared" si="19"/>
        <v>600000</v>
      </c>
      <c r="K160" s="2622">
        <f t="shared" si="20"/>
        <v>0</v>
      </c>
      <c r="L160" s="22"/>
    </row>
    <row r="161" spans="1:12" ht="30" customHeight="1" x14ac:dyDescent="0.2">
      <c r="A161" s="2625"/>
      <c r="B161" s="22" t="s">
        <v>240</v>
      </c>
      <c r="C161" s="2689" t="s">
        <v>401</v>
      </c>
      <c r="D161" s="2622">
        <v>30000000</v>
      </c>
      <c r="E161" s="2688">
        <v>0.05</v>
      </c>
      <c r="F161" s="2634">
        <f>D161*E161</f>
        <v>1500000</v>
      </c>
      <c r="G161" s="2622">
        <v>1500000</v>
      </c>
      <c r="H161" s="2622" t="s">
        <v>4062</v>
      </c>
      <c r="I161" s="2622" t="s">
        <v>4066</v>
      </c>
      <c r="J161" s="2622">
        <f t="shared" si="19"/>
        <v>1500000</v>
      </c>
      <c r="K161" s="2634">
        <f t="shared" si="20"/>
        <v>0</v>
      </c>
      <c r="L161" s="2642" t="s">
        <v>3586</v>
      </c>
    </row>
    <row r="162" spans="1:12" ht="30" customHeight="1" x14ac:dyDescent="0.2">
      <c r="A162" s="2692">
        <v>112</v>
      </c>
      <c r="B162" s="2690" t="s">
        <v>241</v>
      </c>
      <c r="C162" s="2689"/>
      <c r="D162" s="2634">
        <v>40000000</v>
      </c>
      <c r="E162" s="2688">
        <v>0.05</v>
      </c>
      <c r="F162" s="2634">
        <f t="shared" si="18"/>
        <v>2000000</v>
      </c>
      <c r="G162" s="2634">
        <v>2000000</v>
      </c>
      <c r="H162" s="2634" t="s">
        <v>4062</v>
      </c>
      <c r="I162" s="2697" t="s">
        <v>3601</v>
      </c>
      <c r="J162" s="2634">
        <f t="shared" si="19"/>
        <v>2000000</v>
      </c>
      <c r="K162" s="2634">
        <f t="shared" si="20"/>
        <v>0</v>
      </c>
      <c r="L162" s="2690"/>
    </row>
    <row r="163" spans="1:12" ht="30" customHeight="1" x14ac:dyDescent="0.2">
      <c r="A163" s="2625"/>
      <c r="B163" s="2626" t="s">
        <v>242</v>
      </c>
      <c r="C163" s="2689" t="s">
        <v>411</v>
      </c>
      <c r="D163" s="2634">
        <v>250000000</v>
      </c>
      <c r="E163" s="2688">
        <v>0.05</v>
      </c>
      <c r="F163" s="2634">
        <f>D163*E163</f>
        <v>12500000</v>
      </c>
      <c r="G163" s="2622">
        <v>12500000</v>
      </c>
      <c r="H163" s="2622" t="s">
        <v>4105</v>
      </c>
      <c r="I163" s="2622" t="s">
        <v>4129</v>
      </c>
      <c r="J163" s="2622">
        <f t="shared" si="19"/>
        <v>12500000</v>
      </c>
      <c r="K163" s="2634">
        <f t="shared" si="20"/>
        <v>0</v>
      </c>
      <c r="L163" s="2642" t="s">
        <v>2907</v>
      </c>
    </row>
    <row r="164" spans="1:12" ht="30" customHeight="1" x14ac:dyDescent="0.2">
      <c r="A164" s="2692">
        <v>114</v>
      </c>
      <c r="B164" s="2690" t="s">
        <v>243</v>
      </c>
      <c r="C164" s="2660"/>
      <c r="D164" s="2634">
        <v>100000000</v>
      </c>
      <c r="E164" s="2688">
        <v>4.4999999999999998E-2</v>
      </c>
      <c r="F164" s="2634">
        <f t="shared" si="18"/>
        <v>4500000</v>
      </c>
      <c r="G164" s="2634"/>
      <c r="H164" s="2634"/>
      <c r="I164" s="89"/>
      <c r="J164" s="2634">
        <f>G164</f>
        <v>0</v>
      </c>
      <c r="K164" s="2634">
        <f>F164-J164</f>
        <v>4500000</v>
      </c>
      <c r="L164" s="2690"/>
    </row>
    <row r="165" spans="1:12" ht="30" customHeight="1" x14ac:dyDescent="0.2">
      <c r="A165" s="2704">
        <v>115</v>
      </c>
      <c r="B165" s="2686" t="s">
        <v>244</v>
      </c>
      <c r="C165" s="2659" t="s">
        <v>1175</v>
      </c>
      <c r="D165" s="2632">
        <v>20000000</v>
      </c>
      <c r="E165" s="2629">
        <v>0.05</v>
      </c>
      <c r="F165" s="2632">
        <f t="shared" si="18"/>
        <v>1000000</v>
      </c>
      <c r="G165" s="2634"/>
      <c r="H165" s="2634"/>
      <c r="I165" s="24" t="s">
        <v>1444</v>
      </c>
      <c r="J165" s="2634">
        <f>G165</f>
        <v>0</v>
      </c>
      <c r="K165" s="2634">
        <f>F165-J165</f>
        <v>1000000</v>
      </c>
      <c r="L165" s="2641"/>
    </row>
    <row r="166" spans="1:12" ht="30" customHeight="1" x14ac:dyDescent="0.2">
      <c r="A166" s="1081"/>
      <c r="B166" s="22" t="s">
        <v>246</v>
      </c>
      <c r="C166" s="2689" t="s">
        <v>916</v>
      </c>
      <c r="D166" s="2622">
        <v>445000000</v>
      </c>
      <c r="E166" s="2688">
        <v>4.4999999999999998E-2</v>
      </c>
      <c r="F166" s="2622">
        <v>20000000</v>
      </c>
      <c r="G166" s="2634">
        <v>20000000</v>
      </c>
      <c r="H166" s="2634" t="s">
        <v>4330</v>
      </c>
      <c r="I166" s="89" t="s">
        <v>2780</v>
      </c>
      <c r="J166" s="2634">
        <f>G166</f>
        <v>20000000</v>
      </c>
      <c r="K166" s="2634">
        <f>F166-J166</f>
        <v>0</v>
      </c>
      <c r="L166" s="2715" t="s">
        <v>4410</v>
      </c>
    </row>
    <row r="167" spans="1:12" ht="30" customHeight="1" x14ac:dyDescent="0.2">
      <c r="A167" s="3450">
        <v>118</v>
      </c>
      <c r="B167" s="3457" t="s">
        <v>247</v>
      </c>
      <c r="C167" s="3570" t="s">
        <v>1746</v>
      </c>
      <c r="D167" s="2634">
        <v>20000000</v>
      </c>
      <c r="E167" s="2631">
        <v>0.05</v>
      </c>
      <c r="F167" s="2634">
        <f t="shared" si="18"/>
        <v>1000000</v>
      </c>
      <c r="G167" s="2634">
        <v>1000000</v>
      </c>
      <c r="H167" s="2634" t="s">
        <v>4184</v>
      </c>
      <c r="I167" s="89" t="s">
        <v>625</v>
      </c>
      <c r="J167" s="2634">
        <f>G167</f>
        <v>1000000</v>
      </c>
      <c r="K167" s="2634">
        <f>F167-J167</f>
        <v>0</v>
      </c>
      <c r="L167" s="2715" t="s">
        <v>4367</v>
      </c>
    </row>
    <row r="168" spans="1:12" ht="30" customHeight="1" x14ac:dyDescent="0.2">
      <c r="A168" s="3456"/>
      <c r="B168" s="3459"/>
      <c r="C168" s="3571"/>
      <c r="D168" s="3325" t="s">
        <v>4215</v>
      </c>
      <c r="E168" s="3340"/>
      <c r="F168" s="3341"/>
      <c r="G168" s="2634">
        <v>20000000</v>
      </c>
      <c r="H168" s="2634" t="s">
        <v>3160</v>
      </c>
      <c r="I168" s="89" t="s">
        <v>3665</v>
      </c>
      <c r="J168" s="2622">
        <f>G168</f>
        <v>20000000</v>
      </c>
      <c r="K168" s="2622">
        <v>0</v>
      </c>
      <c r="L168" s="2715" t="s">
        <v>4368</v>
      </c>
    </row>
    <row r="169" spans="1:12" ht="30" customHeight="1" x14ac:dyDescent="0.2">
      <c r="A169" s="3451"/>
      <c r="B169" s="3458"/>
      <c r="C169" s="2661" t="s">
        <v>4366</v>
      </c>
      <c r="D169" s="2622">
        <v>33000000</v>
      </c>
      <c r="E169" s="2631">
        <v>0.05</v>
      </c>
      <c r="F169" s="2622">
        <f>D169*E169</f>
        <v>1650000</v>
      </c>
      <c r="G169" s="2634"/>
      <c r="H169" s="2634"/>
      <c r="I169" s="89"/>
      <c r="J169" s="2633"/>
      <c r="K169" s="2633"/>
      <c r="L169" s="2626"/>
    </row>
    <row r="170" spans="1:12" ht="30" customHeight="1" x14ac:dyDescent="0.2">
      <c r="A170" s="3450">
        <v>120</v>
      </c>
      <c r="B170" s="3457" t="s">
        <v>249</v>
      </c>
      <c r="C170" s="3570" t="s">
        <v>379</v>
      </c>
      <c r="D170" s="3442">
        <v>617000000</v>
      </c>
      <c r="E170" s="3444">
        <v>7.0000000000000007E-2</v>
      </c>
      <c r="F170" s="3442">
        <v>43200000</v>
      </c>
      <c r="G170" s="2622">
        <v>10000000</v>
      </c>
      <c r="H170" s="2622" t="s">
        <v>4177</v>
      </c>
      <c r="I170" s="2685" t="s">
        <v>3000</v>
      </c>
      <c r="J170" s="3442">
        <f>G170+G171</f>
        <v>43200000</v>
      </c>
      <c r="K170" s="3442">
        <f>F170-J170</f>
        <v>0</v>
      </c>
      <c r="L170" s="3525"/>
    </row>
    <row r="171" spans="1:12" ht="30" customHeight="1" x14ac:dyDescent="0.2">
      <c r="A171" s="3451"/>
      <c r="B171" s="3458"/>
      <c r="C171" s="3571"/>
      <c r="D171" s="3443"/>
      <c r="E171" s="3445"/>
      <c r="F171" s="3443"/>
      <c r="G171" s="2634">
        <v>33200000</v>
      </c>
      <c r="H171" s="2634" t="s">
        <v>4201</v>
      </c>
      <c r="I171" s="2685" t="s">
        <v>3000</v>
      </c>
      <c r="J171" s="3443"/>
      <c r="K171" s="3443"/>
      <c r="L171" s="3526"/>
    </row>
    <row r="172" spans="1:12" ht="30" customHeight="1" x14ac:dyDescent="0.2">
      <c r="A172" s="2692">
        <v>122</v>
      </c>
      <c r="B172" s="2690" t="s">
        <v>251</v>
      </c>
      <c r="C172" s="2660"/>
      <c r="D172" s="2634">
        <v>50000000</v>
      </c>
      <c r="E172" s="2688">
        <v>4.4999999999999998E-2</v>
      </c>
      <c r="F172" s="2634">
        <f t="shared" si="18"/>
        <v>2250000</v>
      </c>
      <c r="G172" s="2634">
        <v>2250000</v>
      </c>
      <c r="H172" s="2634" t="s">
        <v>4156</v>
      </c>
      <c r="I172" s="21" t="s">
        <v>1661</v>
      </c>
      <c r="J172" s="2634">
        <f>G172</f>
        <v>2250000</v>
      </c>
      <c r="K172" s="2634">
        <f>F172-J172</f>
        <v>0</v>
      </c>
      <c r="L172" s="2690"/>
    </row>
    <row r="173" spans="1:12" ht="30" customHeight="1" x14ac:dyDescent="0.2">
      <c r="A173" s="3450">
        <v>123</v>
      </c>
      <c r="B173" s="3457" t="s">
        <v>1744</v>
      </c>
      <c r="C173" s="3570" t="s">
        <v>1219</v>
      </c>
      <c r="D173" s="2634">
        <v>60000000</v>
      </c>
      <c r="E173" s="2688">
        <v>0.05</v>
      </c>
      <c r="F173" s="2634">
        <f t="shared" si="18"/>
        <v>3000000</v>
      </c>
      <c r="G173" s="3442"/>
      <c r="H173" s="3442"/>
      <c r="I173" s="3452" t="s">
        <v>3670</v>
      </c>
      <c r="J173" s="3442">
        <f>G173</f>
        <v>0</v>
      </c>
      <c r="K173" s="3442">
        <f>(F173+F174)-J173</f>
        <v>4400000</v>
      </c>
      <c r="L173" s="3525"/>
    </row>
    <row r="174" spans="1:12" ht="30" customHeight="1" x14ac:dyDescent="0.2">
      <c r="A174" s="3456"/>
      <c r="B174" s="3459"/>
      <c r="C174" s="3576"/>
      <c r="D174" s="2634">
        <v>20000000</v>
      </c>
      <c r="E174" s="2688">
        <v>7.0000000000000007E-2</v>
      </c>
      <c r="F174" s="2634">
        <f t="shared" si="18"/>
        <v>1400000.0000000002</v>
      </c>
      <c r="G174" s="3443"/>
      <c r="H174" s="3443"/>
      <c r="I174" s="3453"/>
      <c r="J174" s="3443"/>
      <c r="K174" s="3443"/>
      <c r="L174" s="3526"/>
    </row>
    <row r="175" spans="1:12" ht="30" customHeight="1" x14ac:dyDescent="0.2">
      <c r="A175" s="3456"/>
      <c r="B175" s="3459"/>
      <c r="C175" s="3576"/>
      <c r="D175" s="3442">
        <v>52000000</v>
      </c>
      <c r="E175" s="3444">
        <v>0.05</v>
      </c>
      <c r="F175" s="3442">
        <f>D175*E175</f>
        <v>2600000</v>
      </c>
      <c r="G175" s="3478" t="s">
        <v>3593</v>
      </c>
      <c r="H175" s="3479"/>
      <c r="I175" s="3479"/>
      <c r="J175" s="3480"/>
      <c r="K175" s="2634"/>
      <c r="L175" s="2715" t="s">
        <v>3883</v>
      </c>
    </row>
    <row r="176" spans="1:12" ht="30" customHeight="1" x14ac:dyDescent="0.2">
      <c r="A176" s="3456"/>
      <c r="B176" s="3459"/>
      <c r="C176" s="3576"/>
      <c r="D176" s="3461"/>
      <c r="E176" s="3474"/>
      <c r="F176" s="3461"/>
      <c r="G176" s="3442">
        <v>6600000</v>
      </c>
      <c r="H176" s="3442" t="s">
        <v>4184</v>
      </c>
      <c r="I176" s="3442" t="s">
        <v>588</v>
      </c>
      <c r="J176" s="3442">
        <f>G176</f>
        <v>6600000</v>
      </c>
      <c r="K176" s="3442">
        <v>0</v>
      </c>
      <c r="L176" s="2715" t="s">
        <v>3884</v>
      </c>
    </row>
    <row r="177" spans="1:12" ht="30" customHeight="1" x14ac:dyDescent="0.2">
      <c r="A177" s="3456"/>
      <c r="B177" s="3459"/>
      <c r="C177" s="3576"/>
      <c r="D177" s="3461"/>
      <c r="E177" s="3474"/>
      <c r="F177" s="3461"/>
      <c r="G177" s="3461"/>
      <c r="H177" s="3461"/>
      <c r="I177" s="3461"/>
      <c r="J177" s="3461"/>
      <c r="K177" s="3461"/>
      <c r="L177" s="2715" t="s">
        <v>3885</v>
      </c>
    </row>
    <row r="178" spans="1:12" ht="30" customHeight="1" x14ac:dyDescent="0.2">
      <c r="A178" s="3451"/>
      <c r="B178" s="3458"/>
      <c r="C178" s="3571"/>
      <c r="D178" s="3443"/>
      <c r="E178" s="3445"/>
      <c r="F178" s="3443"/>
      <c r="G178" s="3443"/>
      <c r="H178" s="3443"/>
      <c r="I178" s="3443"/>
      <c r="J178" s="3443"/>
      <c r="K178" s="3443"/>
      <c r="L178" s="2715" t="s">
        <v>3886</v>
      </c>
    </row>
    <row r="179" spans="1:12" ht="30" customHeight="1" x14ac:dyDescent="0.2">
      <c r="A179" s="2692">
        <v>124</v>
      </c>
      <c r="B179" s="2690" t="s">
        <v>253</v>
      </c>
      <c r="C179" s="2660" t="s">
        <v>401</v>
      </c>
      <c r="D179" s="2634">
        <v>200000000</v>
      </c>
      <c r="E179" s="2688">
        <v>0.05</v>
      </c>
      <c r="F179" s="2634">
        <f t="shared" si="18"/>
        <v>10000000</v>
      </c>
      <c r="G179" s="2634">
        <v>10000000</v>
      </c>
      <c r="H179" s="2634" t="s">
        <v>2141</v>
      </c>
      <c r="I179" s="21" t="s">
        <v>1473</v>
      </c>
      <c r="J179" s="2634">
        <f>G179</f>
        <v>10000000</v>
      </c>
      <c r="K179" s="2634">
        <f>F179-J179</f>
        <v>0</v>
      </c>
      <c r="L179" s="2690"/>
    </row>
    <row r="180" spans="1:12" ht="30" customHeight="1" x14ac:dyDescent="0.2">
      <c r="A180" s="2704">
        <v>125</v>
      </c>
      <c r="B180" s="2686" t="s">
        <v>254</v>
      </c>
      <c r="C180" s="2689"/>
      <c r="D180" s="2622">
        <v>160000000</v>
      </c>
      <c r="E180" s="2688">
        <v>7.0000000000000007E-2</v>
      </c>
      <c r="F180" s="2622">
        <v>11000000</v>
      </c>
      <c r="G180" s="2634">
        <v>11000000</v>
      </c>
      <c r="H180" s="2634" t="s">
        <v>2141</v>
      </c>
      <c r="I180" s="24" t="s">
        <v>1723</v>
      </c>
      <c r="J180" s="2634">
        <f>G180</f>
        <v>11000000</v>
      </c>
      <c r="K180" s="2634">
        <f>F180-J180</f>
        <v>0</v>
      </c>
      <c r="L180" s="2690"/>
    </row>
    <row r="181" spans="1:12" ht="30" customHeight="1" x14ac:dyDescent="0.2">
      <c r="A181" s="2692">
        <v>126</v>
      </c>
      <c r="B181" s="2690" t="s">
        <v>255</v>
      </c>
      <c r="C181" s="2660" t="s">
        <v>411</v>
      </c>
      <c r="D181" s="2634">
        <v>180000000</v>
      </c>
      <c r="E181" s="2631">
        <v>4.4999999999999998E-2</v>
      </c>
      <c r="F181" s="2634">
        <f t="shared" si="18"/>
        <v>8100000</v>
      </c>
      <c r="G181" s="2634">
        <v>8100000</v>
      </c>
      <c r="H181" s="2634" t="s">
        <v>4105</v>
      </c>
      <c r="I181" s="24" t="s">
        <v>632</v>
      </c>
      <c r="J181" s="2634">
        <f>G181</f>
        <v>8100000</v>
      </c>
      <c r="K181" s="2634">
        <f>F181-J181</f>
        <v>0</v>
      </c>
      <c r="L181" s="2690"/>
    </row>
    <row r="182" spans="1:12" ht="30" customHeight="1" x14ac:dyDescent="0.2">
      <c r="A182" s="3450">
        <v>127</v>
      </c>
      <c r="B182" s="3457" t="s">
        <v>256</v>
      </c>
      <c r="C182" s="3570" t="s">
        <v>916</v>
      </c>
      <c r="D182" s="3442">
        <v>800000000</v>
      </c>
      <c r="E182" s="3444">
        <v>0.05</v>
      </c>
      <c r="F182" s="3442">
        <f t="shared" si="18"/>
        <v>40000000</v>
      </c>
      <c r="G182" s="3442">
        <v>40000000</v>
      </c>
      <c r="H182" s="3442" t="s">
        <v>1263</v>
      </c>
      <c r="I182" s="3452" t="s">
        <v>2674</v>
      </c>
      <c r="J182" s="3442">
        <f>G182+G183</f>
        <v>40000000</v>
      </c>
      <c r="K182" s="3442">
        <f>F182-J182</f>
        <v>0</v>
      </c>
      <c r="L182" s="3525"/>
    </row>
    <row r="183" spans="1:12" ht="30" customHeight="1" x14ac:dyDescent="0.2">
      <c r="A183" s="3451"/>
      <c r="B183" s="3458"/>
      <c r="C183" s="3571"/>
      <c r="D183" s="3443"/>
      <c r="E183" s="3445"/>
      <c r="F183" s="3443"/>
      <c r="G183" s="3443"/>
      <c r="H183" s="3443"/>
      <c r="I183" s="3453"/>
      <c r="J183" s="3443"/>
      <c r="K183" s="3443"/>
      <c r="L183" s="3526"/>
    </row>
    <row r="184" spans="1:12" ht="30" customHeight="1" x14ac:dyDescent="0.2">
      <c r="A184" s="2692">
        <v>128</v>
      </c>
      <c r="B184" s="2690" t="s">
        <v>257</v>
      </c>
      <c r="C184" s="2660"/>
      <c r="D184" s="2647"/>
      <c r="E184" s="2720"/>
      <c r="F184" s="2647">
        <f t="shared" si="18"/>
        <v>0</v>
      </c>
      <c r="G184" s="2634"/>
      <c r="H184" s="2634"/>
      <c r="I184" s="24"/>
      <c r="J184" s="2634">
        <f>G184</f>
        <v>0</v>
      </c>
      <c r="K184" s="2647">
        <f>F184-J184</f>
        <v>0</v>
      </c>
      <c r="L184" s="2690"/>
    </row>
    <row r="185" spans="1:12" ht="30" customHeight="1" x14ac:dyDescent="0.2">
      <c r="A185" s="2692">
        <v>129</v>
      </c>
      <c r="B185" s="22" t="s">
        <v>258</v>
      </c>
      <c r="C185" s="2689" t="s">
        <v>1138</v>
      </c>
      <c r="D185" s="2622">
        <v>200000000</v>
      </c>
      <c r="E185" s="2688">
        <v>0.06</v>
      </c>
      <c r="F185" s="2622">
        <f>D185*E185</f>
        <v>12000000</v>
      </c>
      <c r="G185" s="2634">
        <v>12000000</v>
      </c>
      <c r="H185" s="2634" t="s">
        <v>4286</v>
      </c>
      <c r="I185" s="24" t="s">
        <v>3387</v>
      </c>
      <c r="J185" s="2634">
        <f>G185</f>
        <v>12000000</v>
      </c>
      <c r="K185" s="2634">
        <f>F185-J185</f>
        <v>0</v>
      </c>
      <c r="L185" s="2715"/>
    </row>
    <row r="186" spans="1:12" ht="30" customHeight="1" x14ac:dyDescent="0.2">
      <c r="A186" s="2692"/>
      <c r="B186" s="22" t="s">
        <v>1213</v>
      </c>
      <c r="C186" s="2689" t="s">
        <v>1354</v>
      </c>
      <c r="D186" s="2622">
        <v>150000000</v>
      </c>
      <c r="E186" s="2688">
        <v>0.05</v>
      </c>
      <c r="F186" s="2622">
        <f>D186*E186</f>
        <v>7500000</v>
      </c>
      <c r="G186" s="2622">
        <v>5000000</v>
      </c>
      <c r="H186" s="2622" t="s">
        <v>4201</v>
      </c>
      <c r="I186" s="2622" t="s">
        <v>1792</v>
      </c>
      <c r="J186" s="2622">
        <f>G186</f>
        <v>5000000</v>
      </c>
      <c r="K186" s="2622">
        <f>F186-J186</f>
        <v>2500000</v>
      </c>
      <c r="L186" s="2715" t="s">
        <v>4209</v>
      </c>
    </row>
    <row r="187" spans="1:12" ht="30" customHeight="1" x14ac:dyDescent="0.2">
      <c r="A187" s="3450">
        <v>131</v>
      </c>
      <c r="B187" s="3457" t="s">
        <v>259</v>
      </c>
      <c r="C187" s="3570"/>
      <c r="D187" s="2634">
        <v>200000000</v>
      </c>
      <c r="E187" s="2631">
        <v>0.05</v>
      </c>
      <c r="F187" s="2634">
        <f t="shared" si="18"/>
        <v>10000000</v>
      </c>
      <c r="G187" s="2634">
        <v>10000000</v>
      </c>
      <c r="H187" s="2634" t="s">
        <v>2141</v>
      </c>
      <c r="I187" s="2654" t="s">
        <v>3572</v>
      </c>
      <c r="J187" s="2634">
        <f>G187</f>
        <v>10000000</v>
      </c>
      <c r="K187" s="2634">
        <f>F187-J187</f>
        <v>0</v>
      </c>
      <c r="L187" s="2715"/>
    </row>
    <row r="188" spans="1:12" ht="30" customHeight="1" x14ac:dyDescent="0.2">
      <c r="A188" s="3451"/>
      <c r="B188" s="3458"/>
      <c r="C188" s="3571"/>
      <c r="D188" s="2633">
        <v>400000000</v>
      </c>
      <c r="E188" s="2630"/>
      <c r="F188" s="2633"/>
      <c r="G188" s="3478" t="s">
        <v>4153</v>
      </c>
      <c r="H188" s="3479"/>
      <c r="I188" s="3479"/>
      <c r="J188" s="3480"/>
      <c r="K188" s="2634"/>
      <c r="L188" s="2641"/>
    </row>
    <row r="189" spans="1:12" ht="30" customHeight="1" x14ac:dyDescent="0.2">
      <c r="A189" s="3450"/>
      <c r="B189" s="3457" t="s">
        <v>1266</v>
      </c>
      <c r="C189" s="3570" t="s">
        <v>1746</v>
      </c>
      <c r="D189" s="3442">
        <v>490000000</v>
      </c>
      <c r="E189" s="3444">
        <v>0.05</v>
      </c>
      <c r="F189" s="3442">
        <f>D189*E189</f>
        <v>24500000</v>
      </c>
      <c r="G189" s="247">
        <v>14500000</v>
      </c>
      <c r="H189" s="2634" t="s">
        <v>4133</v>
      </c>
      <c r="I189" s="2654" t="s">
        <v>1268</v>
      </c>
      <c r="J189" s="2634">
        <f>10000000+G189</f>
        <v>24500000</v>
      </c>
      <c r="K189" s="2634">
        <f>F189-J189</f>
        <v>0</v>
      </c>
      <c r="L189" s="2641" t="s">
        <v>4057</v>
      </c>
    </row>
    <row r="190" spans="1:12" ht="30" customHeight="1" x14ac:dyDescent="0.2">
      <c r="A190" s="3451"/>
      <c r="B190" s="3458"/>
      <c r="C190" s="3571"/>
      <c r="D190" s="3443"/>
      <c r="E190" s="3445"/>
      <c r="F190" s="3443"/>
      <c r="G190" s="247">
        <v>10000000</v>
      </c>
      <c r="H190" s="2634" t="s">
        <v>4270</v>
      </c>
      <c r="I190" s="2654" t="s">
        <v>1268</v>
      </c>
      <c r="J190" s="2634">
        <f>G190</f>
        <v>10000000</v>
      </c>
      <c r="K190" s="2634"/>
      <c r="L190" s="2641" t="s">
        <v>4271</v>
      </c>
    </row>
    <row r="191" spans="1:12" ht="30" customHeight="1" x14ac:dyDescent="0.2">
      <c r="A191" s="2692">
        <v>133</v>
      </c>
      <c r="B191" s="2627" t="s">
        <v>178</v>
      </c>
      <c r="C191" s="2660" t="s">
        <v>1817</v>
      </c>
      <c r="D191" s="2634">
        <v>100000000</v>
      </c>
      <c r="E191" s="2631">
        <v>0.05</v>
      </c>
      <c r="F191" s="2634">
        <f t="shared" ref="F191:F273" si="21">D191*E191</f>
        <v>5000000</v>
      </c>
      <c r="G191" s="2634">
        <v>5000000</v>
      </c>
      <c r="H191" s="2634" t="s">
        <v>4105</v>
      </c>
      <c r="I191" s="24" t="s">
        <v>534</v>
      </c>
      <c r="J191" s="2634">
        <f>G191</f>
        <v>5000000</v>
      </c>
      <c r="K191" s="2634">
        <f>F191-J191</f>
        <v>0</v>
      </c>
      <c r="L191" s="2641" t="s">
        <v>3247</v>
      </c>
    </row>
    <row r="192" spans="1:12" ht="30" customHeight="1" x14ac:dyDescent="0.2">
      <c r="A192" s="2623">
        <v>134</v>
      </c>
      <c r="B192" s="2686" t="s">
        <v>169</v>
      </c>
      <c r="C192" s="2689" t="s">
        <v>1746</v>
      </c>
      <c r="D192" s="2622">
        <v>110000000</v>
      </c>
      <c r="E192" s="2688">
        <v>0.04</v>
      </c>
      <c r="F192" s="2622">
        <f t="shared" si="21"/>
        <v>4400000</v>
      </c>
      <c r="G192" s="2634">
        <v>4400000</v>
      </c>
      <c r="H192" s="2634" t="s">
        <v>4156</v>
      </c>
      <c r="I192" s="24" t="s">
        <v>4241</v>
      </c>
      <c r="J192" s="2632">
        <f>G192</f>
        <v>4400000</v>
      </c>
      <c r="K192" s="2632">
        <f>F192-J192</f>
        <v>0</v>
      </c>
      <c r="L192" s="2656"/>
    </row>
    <row r="193" spans="1:12" ht="30" customHeight="1" x14ac:dyDescent="0.2">
      <c r="A193" s="3450">
        <v>135</v>
      </c>
      <c r="B193" s="3457" t="s">
        <v>7</v>
      </c>
      <c r="C193" s="2689" t="s">
        <v>401</v>
      </c>
      <c r="D193" s="2634">
        <v>100000000</v>
      </c>
      <c r="E193" s="2688">
        <v>0.05</v>
      </c>
      <c r="F193" s="2634">
        <f t="shared" si="21"/>
        <v>5000000</v>
      </c>
      <c r="G193" s="2634">
        <v>5000000</v>
      </c>
      <c r="H193" s="2634" t="s">
        <v>2141</v>
      </c>
      <c r="I193" s="30" t="s">
        <v>1642</v>
      </c>
      <c r="J193" s="3442">
        <f>G193+G194</f>
        <v>11000000</v>
      </c>
      <c r="K193" s="3442">
        <f>(F193+F194)-J193</f>
        <v>0</v>
      </c>
      <c r="L193" s="3525"/>
    </row>
    <row r="194" spans="1:12" ht="30" customHeight="1" x14ac:dyDescent="0.2">
      <c r="A194" s="3451"/>
      <c r="B194" s="3458"/>
      <c r="C194" s="2689" t="s">
        <v>1354</v>
      </c>
      <c r="D194" s="2634">
        <v>124000000</v>
      </c>
      <c r="E194" s="2688">
        <v>4.9000000000000002E-2</v>
      </c>
      <c r="F194" s="2634">
        <v>6000000</v>
      </c>
      <c r="G194" s="2634">
        <v>6000000</v>
      </c>
      <c r="H194" s="2634" t="s">
        <v>4249</v>
      </c>
      <c r="I194" s="57" t="s">
        <v>1642</v>
      </c>
      <c r="J194" s="3443"/>
      <c r="K194" s="3443"/>
      <c r="L194" s="3526"/>
    </row>
    <row r="195" spans="1:12" ht="30" customHeight="1" x14ac:dyDescent="0.2">
      <c r="A195" s="2692">
        <v>136</v>
      </c>
      <c r="B195" s="3457" t="s">
        <v>4142</v>
      </c>
      <c r="C195" s="3686"/>
      <c r="D195" s="3505"/>
      <c r="E195" s="3507"/>
      <c r="F195" s="3505">
        <f t="shared" si="21"/>
        <v>0</v>
      </c>
      <c r="G195" s="2634">
        <v>57000000</v>
      </c>
      <c r="H195" s="2634" t="s">
        <v>4062</v>
      </c>
      <c r="I195" s="28" t="s">
        <v>4108</v>
      </c>
      <c r="J195" s="2634">
        <f>G195</f>
        <v>57000000</v>
      </c>
      <c r="K195" s="2647">
        <f>F195-J195</f>
        <v>-57000000</v>
      </c>
      <c r="L195" s="2641" t="s">
        <v>3297</v>
      </c>
    </row>
    <row r="196" spans="1:12" ht="30" customHeight="1" x14ac:dyDescent="0.2">
      <c r="A196" s="2623"/>
      <c r="B196" s="3459"/>
      <c r="C196" s="3686"/>
      <c r="D196" s="3549"/>
      <c r="E196" s="3550"/>
      <c r="F196" s="3549"/>
      <c r="G196" s="2622">
        <v>140000000</v>
      </c>
      <c r="H196" s="2622" t="s">
        <v>4133</v>
      </c>
      <c r="I196" s="248" t="s">
        <v>4108</v>
      </c>
      <c r="J196" s="2622">
        <f>G196</f>
        <v>140000000</v>
      </c>
      <c r="K196" s="2651"/>
      <c r="L196" s="2715" t="s">
        <v>4915</v>
      </c>
    </row>
    <row r="197" spans="1:12" ht="30" customHeight="1" x14ac:dyDescent="0.2">
      <c r="A197" s="2623"/>
      <c r="B197" s="3458"/>
      <c r="C197" s="3686"/>
      <c r="D197" s="3506"/>
      <c r="E197" s="3508"/>
      <c r="F197" s="3506"/>
      <c r="G197" s="3325" t="s">
        <v>4491</v>
      </c>
      <c r="H197" s="3340"/>
      <c r="I197" s="3340"/>
      <c r="J197" s="3341"/>
      <c r="K197" s="2651"/>
      <c r="L197" s="2715" t="s">
        <v>4338</v>
      </c>
    </row>
    <row r="198" spans="1:12" ht="30" customHeight="1" x14ac:dyDescent="0.2">
      <c r="A198" s="2623"/>
      <c r="B198" s="2626" t="s">
        <v>260</v>
      </c>
      <c r="C198" s="2661"/>
      <c r="D198" s="2634">
        <v>100000000</v>
      </c>
      <c r="E198" s="2688">
        <v>0.05</v>
      </c>
      <c r="F198" s="2634">
        <f>D198*E198</f>
        <v>5000000</v>
      </c>
      <c r="G198" s="2633">
        <v>5000000</v>
      </c>
      <c r="H198" s="2633" t="s">
        <v>4133</v>
      </c>
      <c r="I198" s="1664" t="s">
        <v>4143</v>
      </c>
      <c r="J198" s="2633">
        <f>G198</f>
        <v>5000000</v>
      </c>
      <c r="K198" s="2633">
        <f>F198-J198</f>
        <v>0</v>
      </c>
      <c r="L198" s="2666"/>
    </row>
    <row r="199" spans="1:12" ht="30" customHeight="1" x14ac:dyDescent="0.2">
      <c r="A199" s="3450"/>
      <c r="B199" s="3457" t="s">
        <v>182</v>
      </c>
      <c r="C199" s="3570" t="s">
        <v>1219</v>
      </c>
      <c r="D199" s="2622">
        <v>80000000</v>
      </c>
      <c r="E199" s="2688">
        <v>0.05</v>
      </c>
      <c r="F199" s="2622">
        <f>D199*E199</f>
        <v>4000000</v>
      </c>
      <c r="G199" s="3442">
        <v>6100000</v>
      </c>
      <c r="H199" s="3442" t="s">
        <v>4133</v>
      </c>
      <c r="I199" s="3442" t="s">
        <v>1810</v>
      </c>
      <c r="J199" s="3442">
        <f>G199</f>
        <v>6100000</v>
      </c>
      <c r="K199" s="3442">
        <f>(F199+F200)-J199</f>
        <v>0</v>
      </c>
      <c r="L199" s="3468" t="s">
        <v>3581</v>
      </c>
    </row>
    <row r="200" spans="1:12" ht="30" customHeight="1" x14ac:dyDescent="0.2">
      <c r="A200" s="3451"/>
      <c r="B200" s="3458"/>
      <c r="C200" s="3571"/>
      <c r="D200" s="2632">
        <v>30000000</v>
      </c>
      <c r="E200" s="2629">
        <v>7.0000000000000007E-2</v>
      </c>
      <c r="F200" s="2632">
        <f>D200*E200</f>
        <v>2100000</v>
      </c>
      <c r="G200" s="3443"/>
      <c r="H200" s="3443"/>
      <c r="I200" s="3443"/>
      <c r="J200" s="3443"/>
      <c r="K200" s="3443"/>
      <c r="L200" s="3469"/>
    </row>
    <row r="201" spans="1:12" ht="30" customHeight="1" x14ac:dyDescent="0.2">
      <c r="A201" s="3450">
        <v>138</v>
      </c>
      <c r="B201" s="3457" t="s">
        <v>262</v>
      </c>
      <c r="C201" s="3570" t="s">
        <v>1215</v>
      </c>
      <c r="D201" s="3442">
        <v>1200000000</v>
      </c>
      <c r="E201" s="3444">
        <v>6.5000000000000002E-2</v>
      </c>
      <c r="F201" s="3442">
        <f t="shared" si="21"/>
        <v>78000000</v>
      </c>
      <c r="G201" s="2634">
        <v>50000000</v>
      </c>
      <c r="H201" s="2622" t="s">
        <v>4156</v>
      </c>
      <c r="I201" s="2685" t="s">
        <v>542</v>
      </c>
      <c r="J201" s="3442">
        <f>G201+G202</f>
        <v>78000000</v>
      </c>
      <c r="K201" s="3442">
        <f>F201-J201</f>
        <v>0</v>
      </c>
      <c r="L201" s="3525"/>
    </row>
    <row r="202" spans="1:12" ht="30" customHeight="1" x14ac:dyDescent="0.2">
      <c r="A202" s="3456"/>
      <c r="B202" s="3459"/>
      <c r="C202" s="3576"/>
      <c r="D202" s="3443"/>
      <c r="E202" s="3445"/>
      <c r="F202" s="3443"/>
      <c r="G202" s="2622">
        <v>28000000</v>
      </c>
      <c r="H202" s="2622" t="s">
        <v>4184</v>
      </c>
      <c r="I202" s="2685" t="s">
        <v>542</v>
      </c>
      <c r="J202" s="3443"/>
      <c r="K202" s="3443"/>
      <c r="L202" s="3643"/>
    </row>
    <row r="203" spans="1:12" ht="30" customHeight="1" x14ac:dyDescent="0.2">
      <c r="A203" s="3456"/>
      <c r="B203" s="3459"/>
      <c r="C203" s="3576"/>
      <c r="D203" s="2634">
        <v>150000000</v>
      </c>
      <c r="E203" s="2631">
        <v>6.5000000000000002E-2</v>
      </c>
      <c r="F203" s="2634">
        <f>D203*E203</f>
        <v>9750000</v>
      </c>
      <c r="G203" s="3909" t="s">
        <v>4373</v>
      </c>
      <c r="H203" s="3910"/>
      <c r="I203" s="3910"/>
      <c r="J203" s="3911"/>
      <c r="K203" s="2634"/>
      <c r="L203" s="3606" t="s">
        <v>4375</v>
      </c>
    </row>
    <row r="204" spans="1:12" ht="30" customHeight="1" x14ac:dyDescent="0.2">
      <c r="A204" s="3451"/>
      <c r="B204" s="3458"/>
      <c r="C204" s="3571"/>
      <c r="D204" s="2634">
        <v>79600000</v>
      </c>
      <c r="E204" s="2631">
        <v>6.5000000000000002E-2</v>
      </c>
      <c r="F204" s="2634">
        <f>D204*E204</f>
        <v>5174000</v>
      </c>
      <c r="G204" s="3478" t="s">
        <v>4374</v>
      </c>
      <c r="H204" s="3479"/>
      <c r="I204" s="3479"/>
      <c r="J204" s="3480"/>
      <c r="K204" s="2634"/>
      <c r="L204" s="3469"/>
    </row>
    <row r="205" spans="1:12" ht="30" customHeight="1" x14ac:dyDescent="0.2">
      <c r="A205" s="2692">
        <v>139</v>
      </c>
      <c r="B205" s="22" t="s">
        <v>163</v>
      </c>
      <c r="C205" s="2660" t="s">
        <v>1817</v>
      </c>
      <c r="D205" s="2622">
        <v>110000000</v>
      </c>
      <c r="E205" s="2688">
        <v>0.05</v>
      </c>
      <c r="F205" s="2622">
        <f t="shared" si="21"/>
        <v>5500000</v>
      </c>
      <c r="G205" s="2634">
        <v>5500000</v>
      </c>
      <c r="H205" s="2634" t="s">
        <v>4105</v>
      </c>
      <c r="I205" s="30" t="s">
        <v>4095</v>
      </c>
      <c r="J205" s="2622">
        <f>G205</f>
        <v>5500000</v>
      </c>
      <c r="K205" s="2622">
        <f>F205-J205</f>
        <v>0</v>
      </c>
      <c r="L205" s="22"/>
    </row>
    <row r="206" spans="1:12" ht="30" customHeight="1" x14ac:dyDescent="0.2">
      <c r="A206" s="2692"/>
      <c r="B206" s="22" t="s">
        <v>2400</v>
      </c>
      <c r="C206" s="2660" t="s">
        <v>265</v>
      </c>
      <c r="D206" s="2622">
        <v>50000000</v>
      </c>
      <c r="E206" s="2688">
        <v>0.05</v>
      </c>
      <c r="F206" s="2622">
        <f>D206*E206</f>
        <v>2500000</v>
      </c>
      <c r="G206" s="2634">
        <v>2500000</v>
      </c>
      <c r="H206" s="2634" t="s">
        <v>4201</v>
      </c>
      <c r="I206" s="30" t="s">
        <v>466</v>
      </c>
      <c r="J206" s="2622">
        <f>G206</f>
        <v>2500000</v>
      </c>
      <c r="K206" s="2622">
        <f>F206-J206</f>
        <v>0</v>
      </c>
      <c r="L206" s="22"/>
    </row>
    <row r="207" spans="1:12" ht="30" customHeight="1" x14ac:dyDescent="0.2">
      <c r="A207" s="2692">
        <v>140</v>
      </c>
      <c r="B207" s="2690" t="s">
        <v>546</v>
      </c>
      <c r="C207" s="2660" t="s">
        <v>380</v>
      </c>
      <c r="D207" s="2634">
        <v>150000000</v>
      </c>
      <c r="E207" s="2688">
        <v>0.04</v>
      </c>
      <c r="F207" s="2634">
        <f t="shared" si="21"/>
        <v>6000000</v>
      </c>
      <c r="G207" s="2634">
        <v>6000000</v>
      </c>
      <c r="H207" s="2634" t="s">
        <v>4133</v>
      </c>
      <c r="I207" s="21" t="s">
        <v>2816</v>
      </c>
      <c r="J207" s="2634">
        <f>G207</f>
        <v>6000000</v>
      </c>
      <c r="K207" s="2634">
        <f>F207-J207</f>
        <v>0</v>
      </c>
      <c r="L207" s="2690"/>
    </row>
    <row r="208" spans="1:12" ht="30" customHeight="1" x14ac:dyDescent="0.2">
      <c r="A208" s="3450">
        <v>141</v>
      </c>
      <c r="B208" s="3457" t="s">
        <v>8</v>
      </c>
      <c r="C208" s="3570"/>
      <c r="D208" s="3442">
        <v>30000000</v>
      </c>
      <c r="E208" s="3444">
        <v>0.05</v>
      </c>
      <c r="F208" s="3442">
        <f t="shared" si="21"/>
        <v>1500000</v>
      </c>
      <c r="G208" s="2634">
        <v>1500000</v>
      </c>
      <c r="H208" s="2634" t="s">
        <v>4068</v>
      </c>
      <c r="I208" s="24" t="s">
        <v>548</v>
      </c>
      <c r="J208" s="2634">
        <f>G208</f>
        <v>1500000</v>
      </c>
      <c r="K208" s="2634">
        <f>F208-J208</f>
        <v>0</v>
      </c>
      <c r="L208" s="2641"/>
    </row>
    <row r="209" spans="1:12" ht="30" customHeight="1" x14ac:dyDescent="0.2">
      <c r="A209" s="3451"/>
      <c r="B209" s="3458"/>
      <c r="C209" s="3571"/>
      <c r="D209" s="3443"/>
      <c r="E209" s="3445"/>
      <c r="F209" s="3443"/>
      <c r="G209" s="2647">
        <v>1500000</v>
      </c>
      <c r="H209" s="2647" t="s">
        <v>4105</v>
      </c>
      <c r="I209" s="61" t="s">
        <v>548</v>
      </c>
      <c r="J209" s="2657">
        <f>G209</f>
        <v>1500000</v>
      </c>
      <c r="K209" s="2633">
        <f>F208-J209</f>
        <v>0</v>
      </c>
      <c r="L209" s="2641" t="s">
        <v>4229</v>
      </c>
    </row>
    <row r="210" spans="1:12" ht="30" customHeight="1" x14ac:dyDescent="0.2">
      <c r="A210" s="3450">
        <v>142</v>
      </c>
      <c r="B210" s="3525" t="s">
        <v>9</v>
      </c>
      <c r="C210" s="3570"/>
      <c r="D210" s="3442">
        <v>2000000000</v>
      </c>
      <c r="E210" s="3444">
        <v>0.08</v>
      </c>
      <c r="F210" s="3442">
        <f>D210*E210</f>
        <v>160000000</v>
      </c>
      <c r="G210" s="1913">
        <v>49750000</v>
      </c>
      <c r="H210" s="1913" t="s">
        <v>1964</v>
      </c>
      <c r="I210" s="1913" t="s">
        <v>2057</v>
      </c>
      <c r="J210" s="3575">
        <f>SUM(G210:G214)</f>
        <v>179750000</v>
      </c>
      <c r="K210" s="3575"/>
      <c r="L210" s="3468" t="s">
        <v>3514</v>
      </c>
    </row>
    <row r="211" spans="1:12" ht="30" customHeight="1" x14ac:dyDescent="0.2">
      <c r="A211" s="3456"/>
      <c r="B211" s="3643"/>
      <c r="C211" s="3576"/>
      <c r="D211" s="3461"/>
      <c r="E211" s="3474"/>
      <c r="F211" s="3461"/>
      <c r="G211" s="1913">
        <v>50000000</v>
      </c>
      <c r="H211" s="1913" t="s">
        <v>4105</v>
      </c>
      <c r="I211" s="1913" t="s">
        <v>2057</v>
      </c>
      <c r="J211" s="3575"/>
      <c r="K211" s="3575"/>
      <c r="L211" s="3606"/>
    </row>
    <row r="212" spans="1:12" ht="30" customHeight="1" x14ac:dyDescent="0.2">
      <c r="A212" s="3456"/>
      <c r="B212" s="3643"/>
      <c r="C212" s="3576"/>
      <c r="D212" s="3461"/>
      <c r="E212" s="3474"/>
      <c r="F212" s="3461"/>
      <c r="G212" s="3049">
        <v>30000000</v>
      </c>
      <c r="H212" s="3049" t="s">
        <v>1045</v>
      </c>
      <c r="I212" s="3060" t="s">
        <v>2057</v>
      </c>
      <c r="J212" s="3575"/>
      <c r="K212" s="3575"/>
      <c r="L212" s="3606"/>
    </row>
    <row r="213" spans="1:12" ht="30" customHeight="1" x14ac:dyDescent="0.2">
      <c r="A213" s="3456"/>
      <c r="B213" s="3643"/>
      <c r="C213" s="3576"/>
      <c r="D213" s="3461"/>
      <c r="E213" s="3474"/>
      <c r="F213" s="3461"/>
      <c r="G213" s="3049">
        <v>50000000</v>
      </c>
      <c r="H213" s="3049" t="s">
        <v>4276</v>
      </c>
      <c r="I213" s="3060" t="s">
        <v>2057</v>
      </c>
      <c r="J213" s="3575"/>
      <c r="K213" s="3575"/>
      <c r="L213" s="3606"/>
    </row>
    <row r="214" spans="1:12" ht="30" customHeight="1" x14ac:dyDescent="0.2">
      <c r="A214" s="3451"/>
      <c r="B214" s="3526"/>
      <c r="C214" s="3571"/>
      <c r="D214" s="3443"/>
      <c r="E214" s="3445"/>
      <c r="F214" s="3443"/>
      <c r="G214" s="3478" t="s">
        <v>4884</v>
      </c>
      <c r="H214" s="3479"/>
      <c r="I214" s="3479"/>
      <c r="J214" s="3479"/>
      <c r="K214" s="3480"/>
      <c r="L214" s="3469"/>
    </row>
    <row r="215" spans="1:12" ht="30" customHeight="1" x14ac:dyDescent="0.2">
      <c r="A215" s="2692">
        <v>143</v>
      </c>
      <c r="B215" s="2690" t="s">
        <v>4288</v>
      </c>
      <c r="C215" s="2660"/>
      <c r="D215" s="2634">
        <v>50000000</v>
      </c>
      <c r="E215" s="2688">
        <v>0.04</v>
      </c>
      <c r="F215" s="2634">
        <f t="shared" si="21"/>
        <v>2000000</v>
      </c>
      <c r="G215" s="2634">
        <v>2000000</v>
      </c>
      <c r="H215" s="2634" t="s">
        <v>4330</v>
      </c>
      <c r="I215" s="30" t="s">
        <v>4401</v>
      </c>
      <c r="J215" s="2634">
        <f>G215</f>
        <v>2000000</v>
      </c>
      <c r="K215" s="2634">
        <f>F215-J215</f>
        <v>0</v>
      </c>
      <c r="L215" s="2715" t="s">
        <v>4613</v>
      </c>
    </row>
    <row r="216" spans="1:12" ht="30" customHeight="1" x14ac:dyDescent="0.2">
      <c r="A216" s="2692">
        <v>144</v>
      </c>
      <c r="B216" s="2690" t="s">
        <v>527</v>
      </c>
      <c r="C216" s="2660"/>
      <c r="D216" s="2634">
        <v>5000000</v>
      </c>
      <c r="E216" s="2688">
        <v>0.05</v>
      </c>
      <c r="F216" s="2634">
        <f t="shared" si="21"/>
        <v>250000</v>
      </c>
      <c r="G216" s="2634">
        <v>250000</v>
      </c>
      <c r="H216" s="2634" t="s">
        <v>4062</v>
      </c>
      <c r="I216" s="24" t="s">
        <v>3569</v>
      </c>
      <c r="J216" s="2634">
        <f>G216</f>
        <v>250000</v>
      </c>
      <c r="K216" s="2634">
        <f>F216-J216</f>
        <v>0</v>
      </c>
      <c r="L216" s="2690"/>
    </row>
    <row r="217" spans="1:12" ht="30" customHeight="1" x14ac:dyDescent="0.2">
      <c r="A217" s="2692">
        <v>145</v>
      </c>
      <c r="B217" s="2690" t="s">
        <v>11</v>
      </c>
      <c r="C217" s="2660" t="s">
        <v>1215</v>
      </c>
      <c r="D217" s="2634">
        <v>105000000</v>
      </c>
      <c r="E217" s="2688">
        <v>0.04</v>
      </c>
      <c r="F217" s="2634">
        <f t="shared" si="21"/>
        <v>4200000</v>
      </c>
      <c r="G217" s="2634"/>
      <c r="H217" s="2634"/>
      <c r="I217" s="21" t="s">
        <v>3661</v>
      </c>
      <c r="J217" s="2634">
        <f>G217</f>
        <v>0</v>
      </c>
      <c r="K217" s="2634">
        <f>F217-J217</f>
        <v>4200000</v>
      </c>
      <c r="L217" s="2690"/>
    </row>
    <row r="218" spans="1:12" ht="30" customHeight="1" x14ac:dyDescent="0.2">
      <c r="A218" s="2692">
        <v>146</v>
      </c>
      <c r="B218" s="2690" t="s">
        <v>12</v>
      </c>
      <c r="C218" s="2660"/>
      <c r="D218" s="2634">
        <v>50000000</v>
      </c>
      <c r="E218" s="2688">
        <v>4.4999999999999998E-2</v>
      </c>
      <c r="F218" s="2634">
        <f t="shared" si="21"/>
        <v>2250000</v>
      </c>
      <c r="G218" s="2634"/>
      <c r="H218" s="2634"/>
      <c r="I218" s="24"/>
      <c r="J218" s="2634"/>
      <c r="K218" s="2634">
        <f>F218-J218</f>
        <v>2250000</v>
      </c>
      <c r="L218" s="2690"/>
    </row>
    <row r="219" spans="1:12" ht="30" customHeight="1" x14ac:dyDescent="0.2">
      <c r="A219" s="2692">
        <v>147</v>
      </c>
      <c r="B219" s="2686" t="s">
        <v>13</v>
      </c>
      <c r="C219" s="2659" t="s">
        <v>1350</v>
      </c>
      <c r="D219" s="2634">
        <v>60000000</v>
      </c>
      <c r="E219" s="2688">
        <v>0.05</v>
      </c>
      <c r="F219" s="2634">
        <f t="shared" si="21"/>
        <v>3000000</v>
      </c>
      <c r="G219" s="2622">
        <v>3000000</v>
      </c>
      <c r="H219" s="2622" t="s">
        <v>2141</v>
      </c>
      <c r="I219" s="30" t="s">
        <v>3555</v>
      </c>
      <c r="J219" s="2622">
        <f>G219</f>
        <v>3000000</v>
      </c>
      <c r="K219" s="2622">
        <f>F219-J219</f>
        <v>0</v>
      </c>
      <c r="L219" s="2714"/>
    </row>
    <row r="220" spans="1:12" ht="30" customHeight="1" x14ac:dyDescent="0.2">
      <c r="A220" s="3450">
        <v>148</v>
      </c>
      <c r="B220" s="3457" t="s">
        <v>14</v>
      </c>
      <c r="C220" s="3570" t="s">
        <v>379</v>
      </c>
      <c r="D220" s="2622">
        <v>55000000</v>
      </c>
      <c r="E220" s="2688">
        <v>0.05</v>
      </c>
      <c r="F220" s="2622">
        <f t="shared" si="21"/>
        <v>2750000</v>
      </c>
      <c r="G220" s="2622">
        <v>5000000</v>
      </c>
      <c r="H220" s="2622" t="s">
        <v>4062</v>
      </c>
      <c r="I220" s="2685" t="s">
        <v>3707</v>
      </c>
      <c r="J220" s="2622">
        <f t="shared" ref="J220:J228" si="22">G220</f>
        <v>5000000</v>
      </c>
      <c r="K220" s="2622"/>
      <c r="L220" s="2333" t="s">
        <v>1284</v>
      </c>
    </row>
    <row r="221" spans="1:12" ht="30" customHeight="1" x14ac:dyDescent="0.2">
      <c r="A221" s="3451"/>
      <c r="B221" s="3458"/>
      <c r="C221" s="3571"/>
      <c r="D221" s="2634">
        <v>50000000</v>
      </c>
      <c r="E221" s="2631">
        <v>0.05</v>
      </c>
      <c r="F221" s="2634">
        <f t="shared" si="21"/>
        <v>2500000</v>
      </c>
      <c r="G221" s="2634">
        <v>2500000</v>
      </c>
      <c r="H221" s="2634" t="s">
        <v>4184</v>
      </c>
      <c r="I221" s="2658" t="s">
        <v>4095</v>
      </c>
      <c r="J221" s="2634">
        <f t="shared" si="22"/>
        <v>2500000</v>
      </c>
      <c r="K221" s="2634">
        <f t="shared" ref="K221:K229" si="23">F221-J221</f>
        <v>0</v>
      </c>
      <c r="L221" s="2333"/>
    </row>
    <row r="222" spans="1:12" ht="30" customHeight="1" x14ac:dyDescent="0.2">
      <c r="A222" s="2692">
        <v>149</v>
      </c>
      <c r="B222" s="2690" t="s">
        <v>15</v>
      </c>
      <c r="C222" s="2660" t="s">
        <v>1346</v>
      </c>
      <c r="D222" s="2634">
        <v>80000000</v>
      </c>
      <c r="E222" s="2631">
        <v>0.05</v>
      </c>
      <c r="F222" s="2634">
        <f t="shared" si="21"/>
        <v>4000000</v>
      </c>
      <c r="G222" s="2634">
        <v>4000000</v>
      </c>
      <c r="H222" s="2634" t="s">
        <v>4201</v>
      </c>
      <c r="I222" s="2718" t="s">
        <v>484</v>
      </c>
      <c r="J222" s="2634">
        <f t="shared" si="22"/>
        <v>4000000</v>
      </c>
      <c r="K222" s="2634">
        <f t="shared" si="23"/>
        <v>0</v>
      </c>
      <c r="L222" s="2333" t="s">
        <v>364</v>
      </c>
    </row>
    <row r="223" spans="1:12" ht="30" customHeight="1" x14ac:dyDescent="0.2">
      <c r="A223" s="2692">
        <v>150</v>
      </c>
      <c r="B223" s="2690" t="s">
        <v>16</v>
      </c>
      <c r="C223" s="2660" t="s">
        <v>1349</v>
      </c>
      <c r="D223" s="2634">
        <v>160000000</v>
      </c>
      <c r="E223" s="2688">
        <v>0.04</v>
      </c>
      <c r="F223" s="2634">
        <f t="shared" si="21"/>
        <v>6400000</v>
      </c>
      <c r="G223" s="2634">
        <v>6400000</v>
      </c>
      <c r="H223" s="2634" t="s">
        <v>4216</v>
      </c>
      <c r="I223" s="24" t="s">
        <v>3121</v>
      </c>
      <c r="J223" s="2634">
        <f t="shared" si="22"/>
        <v>6400000</v>
      </c>
      <c r="K223" s="2634">
        <f t="shared" si="23"/>
        <v>0</v>
      </c>
      <c r="L223" s="2641" t="s">
        <v>3122</v>
      </c>
    </row>
    <row r="224" spans="1:12" ht="30" customHeight="1" x14ac:dyDescent="0.2">
      <c r="A224" s="2692">
        <v>151</v>
      </c>
      <c r="B224" s="2690" t="s">
        <v>17</v>
      </c>
      <c r="C224" s="2660" t="s">
        <v>1138</v>
      </c>
      <c r="D224" s="2634">
        <v>180000000</v>
      </c>
      <c r="E224" s="2688">
        <v>0.05</v>
      </c>
      <c r="F224" s="2634">
        <f t="shared" si="21"/>
        <v>9000000</v>
      </c>
      <c r="G224" s="2634">
        <v>9000000</v>
      </c>
      <c r="H224" s="2634" t="s">
        <v>4264</v>
      </c>
      <c r="I224" s="24" t="s">
        <v>2275</v>
      </c>
      <c r="J224" s="2634">
        <f t="shared" si="22"/>
        <v>9000000</v>
      </c>
      <c r="K224" s="2634">
        <f t="shared" si="23"/>
        <v>0</v>
      </c>
      <c r="L224" s="2690"/>
    </row>
    <row r="225" spans="1:16" ht="30" customHeight="1" x14ac:dyDescent="0.2">
      <c r="A225" s="3450">
        <v>152</v>
      </c>
      <c r="B225" s="3457" t="s">
        <v>1146</v>
      </c>
      <c r="C225" s="3570" t="s">
        <v>3142</v>
      </c>
      <c r="D225" s="2634">
        <v>35000000</v>
      </c>
      <c r="E225" s="2688">
        <v>4.7E-2</v>
      </c>
      <c r="F225" s="2634">
        <v>1650000</v>
      </c>
      <c r="G225" s="2622">
        <v>1650000</v>
      </c>
      <c r="H225" s="3442" t="s">
        <v>4216</v>
      </c>
      <c r="I225" s="3452" t="s">
        <v>3841</v>
      </c>
      <c r="J225" s="3442">
        <f>G225+G226</f>
        <v>36650000</v>
      </c>
      <c r="K225" s="3442">
        <f>(D225+F225)-J225</f>
        <v>0</v>
      </c>
      <c r="L225" s="3627" t="s">
        <v>1398</v>
      </c>
    </row>
    <row r="226" spans="1:16" ht="30" customHeight="1" x14ac:dyDescent="0.2">
      <c r="A226" s="3451"/>
      <c r="B226" s="3458"/>
      <c r="C226" s="3571"/>
      <c r="D226" s="2634">
        <v>35000000</v>
      </c>
      <c r="E226" s="3694" t="s">
        <v>4215</v>
      </c>
      <c r="F226" s="3695"/>
      <c r="G226" s="2622">
        <v>35000000</v>
      </c>
      <c r="H226" s="3443"/>
      <c r="I226" s="3453"/>
      <c r="J226" s="3443"/>
      <c r="K226" s="3443"/>
      <c r="L226" s="3628"/>
    </row>
    <row r="227" spans="1:16" ht="30" customHeight="1" x14ac:dyDescent="0.2">
      <c r="A227" s="2692">
        <v>153</v>
      </c>
      <c r="B227" s="2690" t="s">
        <v>18</v>
      </c>
      <c r="C227" s="2660"/>
      <c r="D227" s="2634">
        <v>30000000</v>
      </c>
      <c r="E227" s="2688">
        <v>0.04</v>
      </c>
      <c r="F227" s="2634">
        <f t="shared" si="21"/>
        <v>1200000</v>
      </c>
      <c r="G227" s="2634">
        <v>1200000</v>
      </c>
      <c r="H227" s="2634" t="s">
        <v>4249</v>
      </c>
      <c r="I227" s="24" t="s">
        <v>1181</v>
      </c>
      <c r="J227" s="2634">
        <f t="shared" si="22"/>
        <v>1200000</v>
      </c>
      <c r="K227" s="2634">
        <f t="shared" si="23"/>
        <v>0</v>
      </c>
      <c r="L227" s="2690"/>
    </row>
    <row r="228" spans="1:16" ht="30" customHeight="1" x14ac:dyDescent="0.2">
      <c r="A228" s="2692">
        <v>154</v>
      </c>
      <c r="B228" s="2690" t="s">
        <v>19</v>
      </c>
      <c r="C228" s="2660" t="s">
        <v>1909</v>
      </c>
      <c r="D228" s="2634">
        <v>15000000</v>
      </c>
      <c r="E228" s="2688">
        <v>7.0000000000000007E-2</v>
      </c>
      <c r="F228" s="2634">
        <f t="shared" si="21"/>
        <v>1050000</v>
      </c>
      <c r="G228" s="2634">
        <v>1050000</v>
      </c>
      <c r="H228" s="2634" t="s">
        <v>4286</v>
      </c>
      <c r="I228" s="24" t="s">
        <v>1330</v>
      </c>
      <c r="J228" s="2634">
        <f t="shared" si="22"/>
        <v>1050000</v>
      </c>
      <c r="K228" s="2634">
        <f t="shared" si="23"/>
        <v>0</v>
      </c>
      <c r="L228" s="2690"/>
    </row>
    <row r="229" spans="1:16" ht="30" customHeight="1" x14ac:dyDescent="0.2">
      <c r="A229" s="2692">
        <v>155</v>
      </c>
      <c r="B229" s="2690" t="s">
        <v>20</v>
      </c>
      <c r="C229" s="2660"/>
      <c r="D229" s="2647"/>
      <c r="E229" s="2720"/>
      <c r="F229" s="2647">
        <f t="shared" si="21"/>
        <v>0</v>
      </c>
      <c r="G229" s="2634"/>
      <c r="H229" s="2634"/>
      <c r="I229" s="24"/>
      <c r="J229" s="2634"/>
      <c r="K229" s="2647">
        <f t="shared" si="23"/>
        <v>0</v>
      </c>
      <c r="L229" s="2690"/>
    </row>
    <row r="230" spans="1:16" ht="30" customHeight="1" x14ac:dyDescent="0.2">
      <c r="A230" s="2623">
        <v>156</v>
      </c>
      <c r="B230" s="2686" t="s">
        <v>21</v>
      </c>
      <c r="C230" s="421"/>
      <c r="D230" s="2622">
        <v>50000000</v>
      </c>
      <c r="E230" s="2688">
        <v>0.04</v>
      </c>
      <c r="F230" s="2622">
        <f t="shared" si="21"/>
        <v>2000000</v>
      </c>
      <c r="G230" s="2634">
        <v>2000000</v>
      </c>
      <c r="H230" s="2634" t="s">
        <v>4201</v>
      </c>
      <c r="I230" s="21" t="s">
        <v>3802</v>
      </c>
      <c r="J230" s="2622">
        <f>G230</f>
        <v>2000000</v>
      </c>
      <c r="K230" s="2622">
        <f>F230-500000</f>
        <v>1500000</v>
      </c>
      <c r="L230" s="2641" t="s">
        <v>3803</v>
      </c>
      <c r="M230" s="406"/>
      <c r="N230" s="406"/>
      <c r="O230" s="406"/>
      <c r="P230" s="406"/>
    </row>
    <row r="231" spans="1:16" ht="30" customHeight="1" x14ac:dyDescent="0.2">
      <c r="A231" s="2692">
        <v>157</v>
      </c>
      <c r="B231" s="2690" t="s">
        <v>22</v>
      </c>
      <c r="C231" s="2660" t="s">
        <v>1349</v>
      </c>
      <c r="D231" s="2634">
        <v>20000000</v>
      </c>
      <c r="E231" s="2631">
        <v>0.05</v>
      </c>
      <c r="F231" s="2634">
        <f t="shared" si="21"/>
        <v>1000000</v>
      </c>
      <c r="G231" s="2634">
        <v>1000000</v>
      </c>
      <c r="H231" s="2634" t="s">
        <v>4270</v>
      </c>
      <c r="I231" s="24" t="s">
        <v>4746</v>
      </c>
      <c r="J231" s="2634">
        <f>G231</f>
        <v>1000000</v>
      </c>
      <c r="K231" s="2634">
        <f>F231-J231</f>
        <v>0</v>
      </c>
      <c r="L231" s="2690"/>
      <c r="M231" s="406"/>
      <c r="N231" s="406"/>
      <c r="O231" s="406"/>
      <c r="P231" s="406"/>
    </row>
    <row r="232" spans="1:16" ht="30" customHeight="1" x14ac:dyDescent="0.2">
      <c r="A232" s="3456"/>
      <c r="B232" s="3457" t="s">
        <v>848</v>
      </c>
      <c r="C232" s="2660" t="s">
        <v>1378</v>
      </c>
      <c r="D232" s="2634">
        <v>160000000</v>
      </c>
      <c r="E232" s="2688">
        <v>0.05</v>
      </c>
      <c r="F232" s="2634">
        <f>D232*E232</f>
        <v>8000000</v>
      </c>
      <c r="G232" s="3442">
        <v>9200000</v>
      </c>
      <c r="H232" s="3442" t="s">
        <v>4249</v>
      </c>
      <c r="I232" s="3442" t="s">
        <v>3264</v>
      </c>
      <c r="J232" s="3442">
        <f>G232</f>
        <v>9200000</v>
      </c>
      <c r="K232" s="3442">
        <f>(F232+F233)-J232</f>
        <v>0</v>
      </c>
      <c r="L232" s="247"/>
      <c r="M232" s="247"/>
      <c r="N232" s="247"/>
      <c r="O232" s="247"/>
      <c r="P232" s="247"/>
    </row>
    <row r="233" spans="1:16" ht="30" customHeight="1" x14ac:dyDescent="0.2">
      <c r="A233" s="3451"/>
      <c r="B233" s="3458"/>
      <c r="C233" s="2660" t="s">
        <v>1378</v>
      </c>
      <c r="D233" s="2634">
        <v>22000000</v>
      </c>
      <c r="E233" s="2688">
        <v>5.5E-2</v>
      </c>
      <c r="F233" s="2634">
        <v>1200000</v>
      </c>
      <c r="G233" s="3443"/>
      <c r="H233" s="3443"/>
      <c r="I233" s="3443"/>
      <c r="J233" s="3443"/>
      <c r="K233" s="3443"/>
      <c r="L233" s="2690"/>
      <c r="M233" s="406"/>
      <c r="N233" s="406"/>
      <c r="O233" s="406"/>
      <c r="P233" s="406"/>
    </row>
    <row r="234" spans="1:16" ht="30" customHeight="1" x14ac:dyDescent="0.2">
      <c r="A234" s="2692">
        <v>159</v>
      </c>
      <c r="B234" s="2690" t="s">
        <v>23</v>
      </c>
      <c r="C234" s="2660" t="s">
        <v>1355</v>
      </c>
      <c r="D234" s="2634">
        <v>25000000</v>
      </c>
      <c r="E234" s="2688">
        <v>0.05</v>
      </c>
      <c r="F234" s="2634">
        <f t="shared" si="21"/>
        <v>1250000</v>
      </c>
      <c r="G234" s="2634">
        <v>1250000</v>
      </c>
      <c r="H234" s="2634" t="s">
        <v>4133</v>
      </c>
      <c r="I234" s="24" t="s">
        <v>2318</v>
      </c>
      <c r="J234" s="2634">
        <f>G234</f>
        <v>1250000</v>
      </c>
      <c r="K234" s="2634">
        <f t="shared" ref="K234:K244" si="24">F234-J234</f>
        <v>0</v>
      </c>
      <c r="L234" s="2690"/>
      <c r="M234" s="406"/>
      <c r="N234" s="406"/>
      <c r="O234" s="406"/>
      <c r="P234" s="406"/>
    </row>
    <row r="235" spans="1:16" ht="30" customHeight="1" x14ac:dyDescent="0.2">
      <c r="A235" s="2692">
        <v>160</v>
      </c>
      <c r="B235" s="2690" t="s">
        <v>24</v>
      </c>
      <c r="C235" s="2660"/>
      <c r="D235" s="2634">
        <v>55000000</v>
      </c>
      <c r="E235" s="2688">
        <v>0.05</v>
      </c>
      <c r="F235" s="2634">
        <f t="shared" si="21"/>
        <v>2750000</v>
      </c>
      <c r="G235" s="2634"/>
      <c r="H235" s="2634"/>
      <c r="I235" s="24"/>
      <c r="J235" s="2634">
        <f>G235</f>
        <v>0</v>
      </c>
      <c r="K235" s="2634">
        <f t="shared" si="24"/>
        <v>2750000</v>
      </c>
      <c r="L235" s="2690"/>
      <c r="M235" s="406"/>
      <c r="N235" s="406"/>
      <c r="O235" s="406"/>
      <c r="P235" s="406"/>
    </row>
    <row r="236" spans="1:16" ht="30" customHeight="1" x14ac:dyDescent="0.2">
      <c r="A236" s="2692">
        <v>161</v>
      </c>
      <c r="B236" s="2686" t="s">
        <v>25</v>
      </c>
      <c r="C236" s="2689" t="s">
        <v>1378</v>
      </c>
      <c r="D236" s="2634">
        <v>20000000</v>
      </c>
      <c r="E236" s="2688">
        <v>4.4999999999999998E-2</v>
      </c>
      <c r="F236" s="2634">
        <f t="shared" si="21"/>
        <v>900000</v>
      </c>
      <c r="G236" s="2634">
        <v>900000</v>
      </c>
      <c r="H236" s="2634" t="s">
        <v>4286</v>
      </c>
      <c r="I236" s="24" t="s">
        <v>4295</v>
      </c>
      <c r="J236" s="2634">
        <f>G236</f>
        <v>900000</v>
      </c>
      <c r="K236" s="2634">
        <f t="shared" si="24"/>
        <v>0</v>
      </c>
      <c r="L236" s="2690"/>
      <c r="M236" s="406"/>
      <c r="N236" s="406"/>
      <c r="O236" s="406"/>
      <c r="P236" s="406"/>
    </row>
    <row r="237" spans="1:16" ht="30" customHeight="1" x14ac:dyDescent="0.2">
      <c r="A237" s="2692">
        <v>162</v>
      </c>
      <c r="B237" s="2690" t="s">
        <v>26</v>
      </c>
      <c r="C237" s="2660" t="s">
        <v>1378</v>
      </c>
      <c r="D237" s="2634">
        <v>180000000</v>
      </c>
      <c r="E237" s="2688">
        <v>0.05</v>
      </c>
      <c r="F237" s="2634">
        <f t="shared" si="21"/>
        <v>9000000</v>
      </c>
      <c r="G237" s="2634">
        <v>9000000</v>
      </c>
      <c r="H237" s="2634" t="s">
        <v>4249</v>
      </c>
      <c r="I237" s="24" t="s">
        <v>3267</v>
      </c>
      <c r="J237" s="2634">
        <f>G237</f>
        <v>9000000</v>
      </c>
      <c r="K237" s="2634">
        <f t="shared" si="24"/>
        <v>0</v>
      </c>
      <c r="L237" s="2690"/>
      <c r="M237" s="406"/>
      <c r="N237" s="406"/>
      <c r="O237" s="406"/>
      <c r="P237" s="406"/>
    </row>
    <row r="238" spans="1:16" ht="30" customHeight="1" x14ac:dyDescent="0.2">
      <c r="A238" s="2692">
        <v>163</v>
      </c>
      <c r="B238" s="2690" t="s">
        <v>854</v>
      </c>
      <c r="C238" s="2660"/>
      <c r="D238" s="2634">
        <v>200000000</v>
      </c>
      <c r="E238" s="2688">
        <v>0.05</v>
      </c>
      <c r="F238" s="2634">
        <f t="shared" si="21"/>
        <v>10000000</v>
      </c>
      <c r="G238" s="2634">
        <v>10000000</v>
      </c>
      <c r="H238" s="2634" t="s">
        <v>4261</v>
      </c>
      <c r="I238" s="24" t="s">
        <v>3870</v>
      </c>
      <c r="J238" s="2634">
        <f>G238</f>
        <v>10000000</v>
      </c>
      <c r="K238" s="2634">
        <f t="shared" si="24"/>
        <v>0</v>
      </c>
      <c r="L238" s="2690"/>
      <c r="M238" s="406"/>
      <c r="N238" s="406"/>
      <c r="O238" s="406"/>
      <c r="P238" s="406"/>
    </row>
    <row r="239" spans="1:16" ht="30" customHeight="1" x14ac:dyDescent="0.2">
      <c r="A239" s="2692">
        <v>164</v>
      </c>
      <c r="B239" s="2690" t="s">
        <v>27</v>
      </c>
      <c r="C239" s="2660"/>
      <c r="D239" s="2634">
        <v>50000000</v>
      </c>
      <c r="E239" s="2688">
        <v>0.05</v>
      </c>
      <c r="F239" s="2634">
        <f t="shared" si="21"/>
        <v>2500000</v>
      </c>
      <c r="G239" s="2634">
        <v>2500000</v>
      </c>
      <c r="H239" s="2634" t="s">
        <v>4249</v>
      </c>
      <c r="I239" s="24" t="s">
        <v>762</v>
      </c>
      <c r="J239" s="2634">
        <f t="shared" ref="J239:J247" si="25">G239</f>
        <v>2500000</v>
      </c>
      <c r="K239" s="2634">
        <f t="shared" si="24"/>
        <v>0</v>
      </c>
      <c r="L239" s="2690"/>
      <c r="M239" s="406"/>
      <c r="N239" s="406"/>
      <c r="O239" s="406"/>
      <c r="P239" s="406"/>
    </row>
    <row r="240" spans="1:16" ht="30" customHeight="1" x14ac:dyDescent="0.2">
      <c r="A240" s="2692">
        <v>165</v>
      </c>
      <c r="B240" s="2690" t="s">
        <v>28</v>
      </c>
      <c r="C240" s="2660" t="s">
        <v>700</v>
      </c>
      <c r="D240" s="2634">
        <v>20000000</v>
      </c>
      <c r="E240" s="2688">
        <v>0.04</v>
      </c>
      <c r="F240" s="2634">
        <f t="shared" si="21"/>
        <v>800000</v>
      </c>
      <c r="G240" s="2634">
        <v>800000</v>
      </c>
      <c r="H240" s="2634" t="s">
        <v>4249</v>
      </c>
      <c r="I240" s="24" t="s">
        <v>3878</v>
      </c>
      <c r="J240" s="2634">
        <f t="shared" si="25"/>
        <v>800000</v>
      </c>
      <c r="K240" s="2634">
        <f t="shared" si="24"/>
        <v>0</v>
      </c>
      <c r="L240" s="2690"/>
      <c r="M240" s="406"/>
      <c r="N240" s="406"/>
      <c r="O240" s="406"/>
      <c r="P240" s="406"/>
    </row>
    <row r="241" spans="1:16" ht="30" customHeight="1" x14ac:dyDescent="0.2">
      <c r="A241" s="2692">
        <v>166</v>
      </c>
      <c r="B241" s="2690" t="s">
        <v>29</v>
      </c>
      <c r="C241" s="2660" t="s">
        <v>564</v>
      </c>
      <c r="D241" s="2634">
        <v>100000000</v>
      </c>
      <c r="E241" s="2688">
        <v>0.05</v>
      </c>
      <c r="F241" s="2634">
        <f t="shared" si="21"/>
        <v>5000000</v>
      </c>
      <c r="G241" s="2634">
        <v>5000000</v>
      </c>
      <c r="H241" s="2634" t="s">
        <v>4249</v>
      </c>
      <c r="I241" s="30" t="s">
        <v>4265</v>
      </c>
      <c r="J241" s="2634">
        <f t="shared" si="25"/>
        <v>5000000</v>
      </c>
      <c r="K241" s="2634">
        <f t="shared" si="24"/>
        <v>0</v>
      </c>
      <c r="L241" s="2690"/>
      <c r="M241" s="406"/>
      <c r="N241" s="406"/>
      <c r="O241" s="406"/>
      <c r="P241" s="406"/>
    </row>
    <row r="242" spans="1:16" ht="30" customHeight="1" x14ac:dyDescent="0.2">
      <c r="A242" s="2692">
        <v>167</v>
      </c>
      <c r="B242" s="2690" t="s">
        <v>758</v>
      </c>
      <c r="C242" s="2660" t="s">
        <v>1378</v>
      </c>
      <c r="D242" s="2634">
        <v>50000000</v>
      </c>
      <c r="E242" s="2688">
        <v>0.05</v>
      </c>
      <c r="F242" s="2634">
        <f t="shared" si="21"/>
        <v>2500000</v>
      </c>
      <c r="G242" s="2634">
        <v>2500000</v>
      </c>
      <c r="H242" s="2634" t="s">
        <v>4249</v>
      </c>
      <c r="I242" s="24" t="s">
        <v>760</v>
      </c>
      <c r="J242" s="2634">
        <f t="shared" si="25"/>
        <v>2500000</v>
      </c>
      <c r="K242" s="2634">
        <f t="shared" si="24"/>
        <v>0</v>
      </c>
      <c r="L242" s="2690"/>
      <c r="M242" s="406"/>
      <c r="N242" s="406"/>
      <c r="O242" s="406"/>
      <c r="P242" s="406"/>
    </row>
    <row r="243" spans="1:16" ht="30" customHeight="1" x14ac:dyDescent="0.2">
      <c r="A243" s="2692">
        <v>168</v>
      </c>
      <c r="B243" s="2690" t="s">
        <v>844</v>
      </c>
      <c r="C243" s="2660"/>
      <c r="D243" s="2634">
        <v>50000000</v>
      </c>
      <c r="E243" s="2688">
        <v>7.0000000000000007E-2</v>
      </c>
      <c r="F243" s="2634">
        <f t="shared" si="21"/>
        <v>3500000.0000000005</v>
      </c>
      <c r="G243" s="2634">
        <v>3500000</v>
      </c>
      <c r="H243" s="2634" t="s">
        <v>4249</v>
      </c>
      <c r="I243" s="24" t="s">
        <v>3220</v>
      </c>
      <c r="J243" s="2634">
        <f t="shared" si="25"/>
        <v>3500000</v>
      </c>
      <c r="K243" s="2634">
        <f t="shared" si="24"/>
        <v>0</v>
      </c>
      <c r="L243" s="2690"/>
      <c r="M243" s="406"/>
      <c r="N243" s="406"/>
      <c r="O243" s="406"/>
      <c r="P243" s="406"/>
    </row>
    <row r="244" spans="1:16" ht="30" customHeight="1" x14ac:dyDescent="0.2">
      <c r="A244" s="2705"/>
      <c r="B244" s="2686" t="s">
        <v>30</v>
      </c>
      <c r="C244" s="756"/>
      <c r="D244" s="2634">
        <v>20000000</v>
      </c>
      <c r="E244" s="2688">
        <v>0.05</v>
      </c>
      <c r="F244" s="2634">
        <f>D244*E244</f>
        <v>1000000</v>
      </c>
      <c r="G244" s="2634">
        <v>1000000</v>
      </c>
      <c r="H244" s="2634" t="s">
        <v>4249</v>
      </c>
      <c r="I244" s="2634" t="s">
        <v>875</v>
      </c>
      <c r="J244" s="2634">
        <f t="shared" si="25"/>
        <v>1000000</v>
      </c>
      <c r="K244" s="2634">
        <f t="shared" si="24"/>
        <v>0</v>
      </c>
      <c r="L244" s="3478"/>
      <c r="M244" s="3479"/>
      <c r="N244" s="3479"/>
      <c r="O244" s="3479"/>
      <c r="P244" s="3480"/>
    </row>
    <row r="245" spans="1:16" ht="30" customHeight="1" x14ac:dyDescent="0.2">
      <c r="A245" s="2692">
        <v>170</v>
      </c>
      <c r="B245" s="2690" t="s">
        <v>31</v>
      </c>
      <c r="C245" s="2660" t="s">
        <v>1138</v>
      </c>
      <c r="D245" s="2634">
        <v>70000000</v>
      </c>
      <c r="E245" s="2688">
        <v>0.05</v>
      </c>
      <c r="F245" s="2634">
        <f t="shared" si="21"/>
        <v>3500000</v>
      </c>
      <c r="G245" s="2634">
        <v>3500000</v>
      </c>
      <c r="H245" s="2634" t="s">
        <v>4276</v>
      </c>
      <c r="I245" s="24" t="s">
        <v>4280</v>
      </c>
      <c r="J245" s="2634">
        <f t="shared" si="25"/>
        <v>3500000</v>
      </c>
      <c r="K245" s="2634">
        <f>F245-J245</f>
        <v>0</v>
      </c>
      <c r="L245" s="2690"/>
      <c r="M245" s="406"/>
      <c r="N245" s="406"/>
      <c r="O245" s="406"/>
      <c r="P245" s="406"/>
    </row>
    <row r="246" spans="1:16" ht="30" customHeight="1" x14ac:dyDescent="0.2">
      <c r="A246" s="2692">
        <v>171</v>
      </c>
      <c r="B246" s="2690" t="s">
        <v>32</v>
      </c>
      <c r="C246" s="2660" t="s">
        <v>1348</v>
      </c>
      <c r="D246" s="2634">
        <v>10000000</v>
      </c>
      <c r="E246" s="2688">
        <v>0.04</v>
      </c>
      <c r="F246" s="2634">
        <f>D246*E246</f>
        <v>400000</v>
      </c>
      <c r="G246" s="2634">
        <v>400000</v>
      </c>
      <c r="H246" s="2634" t="s">
        <v>4105</v>
      </c>
      <c r="I246" s="24" t="s">
        <v>686</v>
      </c>
      <c r="J246" s="2634">
        <f t="shared" si="25"/>
        <v>400000</v>
      </c>
      <c r="K246" s="2634">
        <f>F246-J246</f>
        <v>0</v>
      </c>
      <c r="L246" s="2715"/>
    </row>
    <row r="247" spans="1:16" ht="30" customHeight="1" x14ac:dyDescent="0.2">
      <c r="A247" s="2623">
        <v>172</v>
      </c>
      <c r="B247" s="2686" t="s">
        <v>33</v>
      </c>
      <c r="C247" s="421"/>
      <c r="D247" s="2634">
        <v>5000000</v>
      </c>
      <c r="E247" s="2688">
        <v>0.06</v>
      </c>
      <c r="F247" s="2634">
        <f t="shared" si="21"/>
        <v>300000</v>
      </c>
      <c r="G247" s="2634">
        <v>300000</v>
      </c>
      <c r="H247" s="2634" t="s">
        <v>4286</v>
      </c>
      <c r="I247" s="24" t="s">
        <v>648</v>
      </c>
      <c r="J247" s="2634">
        <f t="shared" si="25"/>
        <v>300000</v>
      </c>
      <c r="K247" s="2634">
        <f>F247-J247</f>
        <v>0</v>
      </c>
      <c r="L247" s="431" t="s">
        <v>3393</v>
      </c>
    </row>
    <row r="248" spans="1:16" ht="30" customHeight="1" x14ac:dyDescent="0.2">
      <c r="A248" s="2692">
        <v>173</v>
      </c>
      <c r="B248" s="2690" t="s">
        <v>34</v>
      </c>
      <c r="C248" s="2660"/>
      <c r="D248" s="2634">
        <v>40000000</v>
      </c>
      <c r="E248" s="2688">
        <v>0.05</v>
      </c>
      <c r="F248" s="2634">
        <f t="shared" si="21"/>
        <v>2000000</v>
      </c>
      <c r="G248" s="2634">
        <v>2000000</v>
      </c>
      <c r="H248" s="2634" t="s">
        <v>4276</v>
      </c>
      <c r="I248" s="24" t="s">
        <v>864</v>
      </c>
      <c r="J248" s="2634">
        <f>G248</f>
        <v>2000000</v>
      </c>
      <c r="K248" s="2634">
        <f>F248-J248</f>
        <v>0</v>
      </c>
      <c r="L248" s="2690"/>
    </row>
    <row r="249" spans="1:16" ht="30" customHeight="1" x14ac:dyDescent="0.2">
      <c r="A249" s="3693"/>
      <c r="B249" s="3687" t="s">
        <v>4411</v>
      </c>
      <c r="C249" s="3686" t="s">
        <v>1342</v>
      </c>
      <c r="D249" s="3575">
        <v>5000000000</v>
      </c>
      <c r="E249" s="3683">
        <v>0.08</v>
      </c>
      <c r="F249" s="3575">
        <f>D249*E249</f>
        <v>400000000</v>
      </c>
      <c r="G249" s="2634"/>
      <c r="H249" s="2634"/>
      <c r="I249" s="24"/>
      <c r="J249" s="3442"/>
      <c r="K249" s="3442"/>
      <c r="L249" s="431" t="s">
        <v>3023</v>
      </c>
    </row>
    <row r="250" spans="1:16" ht="30" customHeight="1" x14ac:dyDescent="0.2">
      <c r="A250" s="3693"/>
      <c r="B250" s="3687"/>
      <c r="C250" s="3686"/>
      <c r="D250" s="3575"/>
      <c r="E250" s="3683"/>
      <c r="F250" s="3575"/>
      <c r="G250" s="247"/>
      <c r="H250" s="247"/>
      <c r="I250" s="247"/>
      <c r="J250" s="3461"/>
      <c r="K250" s="3461"/>
      <c r="L250" s="1715" t="s">
        <v>2454</v>
      </c>
    </row>
    <row r="251" spans="1:16" ht="30" customHeight="1" x14ac:dyDescent="0.2">
      <c r="A251" s="3693"/>
      <c r="B251" s="3687"/>
      <c r="C251" s="3686"/>
      <c r="D251" s="3575"/>
      <c r="E251" s="3683"/>
      <c r="F251" s="3575"/>
      <c r="G251" s="247"/>
      <c r="H251" s="247"/>
      <c r="I251" s="247"/>
      <c r="J251" s="3461"/>
      <c r="K251" s="3461"/>
      <c r="L251" s="431" t="s">
        <v>3021</v>
      </c>
    </row>
    <row r="252" spans="1:16" ht="30" customHeight="1" x14ac:dyDescent="0.2">
      <c r="A252" s="3693"/>
      <c r="B252" s="3687"/>
      <c r="C252" s="3686"/>
      <c r="D252" s="3575"/>
      <c r="E252" s="3683"/>
      <c r="F252" s="3575"/>
      <c r="G252" s="247"/>
      <c r="H252" s="247"/>
      <c r="I252" s="247"/>
      <c r="J252" s="3461"/>
      <c r="K252" s="3461"/>
      <c r="L252" s="3457"/>
    </row>
    <row r="253" spans="1:16" ht="30" customHeight="1" x14ac:dyDescent="0.2">
      <c r="A253" s="3693"/>
      <c r="B253" s="3687"/>
      <c r="C253" s="3686"/>
      <c r="D253" s="3575"/>
      <c r="E253" s="3683"/>
      <c r="F253" s="3575"/>
      <c r="G253" s="247"/>
      <c r="H253" s="247"/>
      <c r="I253" s="247"/>
      <c r="J253" s="3443"/>
      <c r="K253" s="3443"/>
      <c r="L253" s="3458"/>
    </row>
    <row r="254" spans="1:16" ht="30" customHeight="1" x14ac:dyDescent="0.2">
      <c r="A254" s="3450">
        <v>175</v>
      </c>
      <c r="B254" s="3457" t="s">
        <v>37</v>
      </c>
      <c r="C254" s="3570" t="s">
        <v>1378</v>
      </c>
      <c r="D254" s="3442">
        <v>200000000</v>
      </c>
      <c r="E254" s="3444">
        <v>0.05</v>
      </c>
      <c r="F254" s="3442">
        <f t="shared" si="21"/>
        <v>10000000</v>
      </c>
      <c r="G254" s="2634">
        <v>10000000</v>
      </c>
      <c r="H254" s="2634" t="s">
        <v>4286</v>
      </c>
      <c r="I254" s="24" t="s">
        <v>3876</v>
      </c>
      <c r="J254" s="2634">
        <f t="shared" ref="J254:J262" si="26">G254</f>
        <v>10000000</v>
      </c>
      <c r="K254" s="2634">
        <f t="shared" ref="K254:K260" si="27">F254-J254</f>
        <v>0</v>
      </c>
      <c r="L254" s="431" t="s">
        <v>3916</v>
      </c>
    </row>
    <row r="255" spans="1:16" ht="30" customHeight="1" x14ac:dyDescent="0.2">
      <c r="A255" s="3451"/>
      <c r="B255" s="3458"/>
      <c r="C255" s="3571"/>
      <c r="D255" s="3443"/>
      <c r="E255" s="3445"/>
      <c r="F255" s="3443"/>
      <c r="G255" s="2988">
        <v>10000000</v>
      </c>
      <c r="H255" s="2988" t="s">
        <v>4270</v>
      </c>
      <c r="I255" s="24" t="s">
        <v>3876</v>
      </c>
      <c r="J255" s="2988">
        <f>G255</f>
        <v>10000000</v>
      </c>
      <c r="K255" s="2988">
        <f>F254-J255</f>
        <v>0</v>
      </c>
      <c r="L255" s="431" t="s">
        <v>4738</v>
      </c>
    </row>
    <row r="256" spans="1:16" ht="30" customHeight="1" x14ac:dyDescent="0.2">
      <c r="A256" s="2692">
        <v>176</v>
      </c>
      <c r="B256" s="2690" t="s">
        <v>38</v>
      </c>
      <c r="C256" s="2660" t="s">
        <v>1138</v>
      </c>
      <c r="D256" s="2634">
        <v>150000000</v>
      </c>
      <c r="E256" s="2688">
        <v>7.0000000000000007E-2</v>
      </c>
      <c r="F256" s="2634">
        <f t="shared" si="21"/>
        <v>10500000.000000002</v>
      </c>
      <c r="G256" s="2634">
        <v>10500000</v>
      </c>
      <c r="H256" s="2634" t="s">
        <v>4270</v>
      </c>
      <c r="I256" s="24" t="s">
        <v>3358</v>
      </c>
      <c r="J256" s="2634">
        <f t="shared" si="26"/>
        <v>10500000</v>
      </c>
      <c r="K256" s="2634">
        <f t="shared" si="27"/>
        <v>0</v>
      </c>
      <c r="L256" s="2690"/>
    </row>
    <row r="257" spans="1:12" ht="30" customHeight="1" x14ac:dyDescent="0.2">
      <c r="A257" s="2692">
        <v>177</v>
      </c>
      <c r="B257" s="2690" t="s">
        <v>39</v>
      </c>
      <c r="C257" s="2660" t="s">
        <v>1354</v>
      </c>
      <c r="D257" s="2634">
        <v>25000000</v>
      </c>
      <c r="E257" s="2688">
        <v>0.04</v>
      </c>
      <c r="F257" s="2634">
        <f t="shared" si="21"/>
        <v>1000000</v>
      </c>
      <c r="G257" s="2634">
        <v>1000000</v>
      </c>
      <c r="H257" s="2634" t="s">
        <v>4249</v>
      </c>
      <c r="I257" s="21" t="s">
        <v>767</v>
      </c>
      <c r="J257" s="2634">
        <f t="shared" si="26"/>
        <v>1000000</v>
      </c>
      <c r="K257" s="2634">
        <f t="shared" si="27"/>
        <v>0</v>
      </c>
      <c r="L257" s="2690"/>
    </row>
    <row r="258" spans="1:12" ht="30" customHeight="1" x14ac:dyDescent="0.2">
      <c r="A258" s="2692">
        <v>178</v>
      </c>
      <c r="B258" s="2690" t="s">
        <v>40</v>
      </c>
      <c r="C258" s="2660" t="s">
        <v>1354</v>
      </c>
      <c r="D258" s="2634">
        <v>90000000</v>
      </c>
      <c r="E258" s="2688">
        <v>4.4999999999999998E-2</v>
      </c>
      <c r="F258" s="2634">
        <v>4000000</v>
      </c>
      <c r="G258" s="2634">
        <v>4000000</v>
      </c>
      <c r="H258" s="2634" t="s">
        <v>4249</v>
      </c>
      <c r="I258" s="24" t="s">
        <v>2290</v>
      </c>
      <c r="J258" s="2634">
        <f t="shared" si="26"/>
        <v>4000000</v>
      </c>
      <c r="K258" s="2634">
        <f t="shared" si="27"/>
        <v>0</v>
      </c>
      <c r="L258" s="2690"/>
    </row>
    <row r="259" spans="1:12" ht="30" customHeight="1" x14ac:dyDescent="0.2">
      <c r="A259" s="2704">
        <v>179</v>
      </c>
      <c r="B259" s="2686" t="s">
        <v>41</v>
      </c>
      <c r="C259" s="2659"/>
      <c r="D259" s="2632">
        <v>320000000</v>
      </c>
      <c r="E259" s="2629">
        <v>0.05</v>
      </c>
      <c r="F259" s="2632">
        <f t="shared" si="21"/>
        <v>16000000</v>
      </c>
      <c r="G259" s="2634">
        <v>16000000</v>
      </c>
      <c r="H259" s="2634" t="s">
        <v>4249</v>
      </c>
      <c r="I259" s="24" t="s">
        <v>1121</v>
      </c>
      <c r="J259" s="2632">
        <f t="shared" si="26"/>
        <v>16000000</v>
      </c>
      <c r="K259" s="2632">
        <f t="shared" si="27"/>
        <v>0</v>
      </c>
      <c r="L259" s="2656"/>
    </row>
    <row r="260" spans="1:12" ht="30" customHeight="1" x14ac:dyDescent="0.2">
      <c r="A260" s="2623">
        <v>180</v>
      </c>
      <c r="B260" s="22" t="s">
        <v>42</v>
      </c>
      <c r="C260" s="53" t="s">
        <v>2533</v>
      </c>
      <c r="D260" s="2622">
        <v>300000000</v>
      </c>
      <c r="E260" s="2688">
        <v>5.7000000000000002E-2</v>
      </c>
      <c r="F260" s="2622">
        <v>17000000</v>
      </c>
      <c r="G260" s="2622">
        <v>17000000</v>
      </c>
      <c r="H260" s="2622" t="s">
        <v>4249</v>
      </c>
      <c r="I260" s="2685" t="s">
        <v>2390</v>
      </c>
      <c r="J260" s="2622">
        <f t="shared" si="26"/>
        <v>17000000</v>
      </c>
      <c r="K260" s="2622">
        <f t="shared" si="27"/>
        <v>0</v>
      </c>
      <c r="L260" s="2701"/>
    </row>
    <row r="261" spans="1:12" ht="30" customHeight="1" x14ac:dyDescent="0.2">
      <c r="A261" s="2692">
        <v>181</v>
      </c>
      <c r="B261" s="2627" t="s">
        <v>43</v>
      </c>
      <c r="C261" s="2660" t="s">
        <v>1018</v>
      </c>
      <c r="D261" s="2634">
        <v>50000000</v>
      </c>
      <c r="E261" s="2631">
        <v>0.05</v>
      </c>
      <c r="F261" s="2634">
        <f t="shared" si="21"/>
        <v>2500000</v>
      </c>
      <c r="G261" s="2634">
        <v>2500000</v>
      </c>
      <c r="H261" s="2634" t="s">
        <v>4270</v>
      </c>
      <c r="I261" s="24" t="s">
        <v>1106</v>
      </c>
      <c r="J261" s="2634">
        <f t="shared" si="26"/>
        <v>2500000</v>
      </c>
      <c r="K261" s="2634">
        <f>F261-J261</f>
        <v>0</v>
      </c>
      <c r="L261" s="2627"/>
    </row>
    <row r="262" spans="1:12" ht="30" customHeight="1" x14ac:dyDescent="0.2">
      <c r="A262" s="3456"/>
      <c r="B262" s="3457" t="s">
        <v>44</v>
      </c>
      <c r="C262" s="3570" t="s">
        <v>1018</v>
      </c>
      <c r="D262" s="3442">
        <v>125000000</v>
      </c>
      <c r="E262" s="3444">
        <v>0.05</v>
      </c>
      <c r="F262" s="3442">
        <f>D262*E262</f>
        <v>6250000</v>
      </c>
      <c r="G262" s="3442">
        <v>6250000</v>
      </c>
      <c r="H262" s="3442" t="s">
        <v>4201</v>
      </c>
      <c r="I262" s="3442" t="s">
        <v>3854</v>
      </c>
      <c r="J262" s="3442">
        <f t="shared" si="26"/>
        <v>6250000</v>
      </c>
      <c r="K262" s="3442">
        <f>F262-J262</f>
        <v>0</v>
      </c>
      <c r="L262" s="431" t="s">
        <v>2899</v>
      </c>
    </row>
    <row r="263" spans="1:12" ht="30" customHeight="1" x14ac:dyDescent="0.2">
      <c r="A263" s="3451"/>
      <c r="B263" s="3458"/>
      <c r="C263" s="3571"/>
      <c r="D263" s="3443"/>
      <c r="E263" s="3445"/>
      <c r="F263" s="3443"/>
      <c r="G263" s="3443"/>
      <c r="H263" s="3443"/>
      <c r="I263" s="3443"/>
      <c r="J263" s="3443"/>
      <c r="K263" s="3443"/>
      <c r="L263" s="431" t="s">
        <v>3302</v>
      </c>
    </row>
    <row r="264" spans="1:12" ht="30" customHeight="1" x14ac:dyDescent="0.2">
      <c r="A264" s="2692">
        <v>183</v>
      </c>
      <c r="B264" s="2690" t="s">
        <v>4290</v>
      </c>
      <c r="C264" s="2660" t="s">
        <v>1131</v>
      </c>
      <c r="D264" s="2634">
        <v>100000000</v>
      </c>
      <c r="E264" s="2688">
        <v>0.05</v>
      </c>
      <c r="F264" s="2634">
        <f t="shared" si="21"/>
        <v>5000000</v>
      </c>
      <c r="G264" s="2634">
        <v>5000000</v>
      </c>
      <c r="H264" s="2634" t="s">
        <v>4286</v>
      </c>
      <c r="I264" s="24" t="s">
        <v>4291</v>
      </c>
      <c r="J264" s="2634">
        <f>G264</f>
        <v>5000000</v>
      </c>
      <c r="K264" s="2634">
        <f t="shared" ref="K264:K270" si="28">F264-J264</f>
        <v>0</v>
      </c>
      <c r="L264" s="2333"/>
    </row>
    <row r="265" spans="1:12" ht="30" customHeight="1" x14ac:dyDescent="0.2">
      <c r="A265" s="2692">
        <v>184</v>
      </c>
      <c r="B265" s="2690" t="s">
        <v>46</v>
      </c>
      <c r="C265" s="2660" t="s">
        <v>1018</v>
      </c>
      <c r="D265" s="2634">
        <v>20000000</v>
      </c>
      <c r="E265" s="2688">
        <v>0.05</v>
      </c>
      <c r="F265" s="2634">
        <f t="shared" si="21"/>
        <v>1000000</v>
      </c>
      <c r="G265" s="2634">
        <v>1000000</v>
      </c>
      <c r="H265" s="2634" t="s">
        <v>4286</v>
      </c>
      <c r="I265" s="24" t="s">
        <v>1125</v>
      </c>
      <c r="J265" s="2634">
        <f>G265</f>
        <v>1000000</v>
      </c>
      <c r="K265" s="2634">
        <f t="shared" si="28"/>
        <v>0</v>
      </c>
      <c r="L265" s="2690"/>
    </row>
    <row r="266" spans="1:12" ht="30" customHeight="1" x14ac:dyDescent="0.2">
      <c r="A266" s="2692">
        <v>185</v>
      </c>
      <c r="B266" s="2690" t="s">
        <v>47</v>
      </c>
      <c r="C266" s="2660" t="s">
        <v>1019</v>
      </c>
      <c r="D266" s="2634">
        <v>70000000</v>
      </c>
      <c r="E266" s="2688">
        <v>0.05</v>
      </c>
      <c r="F266" s="2634">
        <f t="shared" si="21"/>
        <v>3500000</v>
      </c>
      <c r="G266" s="2634"/>
      <c r="H266" s="2634"/>
      <c r="I266" s="24"/>
      <c r="J266" s="2634">
        <f>G266</f>
        <v>0</v>
      </c>
      <c r="K266" s="2634">
        <f t="shared" si="28"/>
        <v>3500000</v>
      </c>
      <c r="L266" s="192" t="s">
        <v>3882</v>
      </c>
    </row>
    <row r="267" spans="1:12" ht="30" customHeight="1" x14ac:dyDescent="0.2">
      <c r="A267" s="2692">
        <v>186</v>
      </c>
      <c r="B267" s="2690" t="s">
        <v>48</v>
      </c>
      <c r="C267" s="2660"/>
      <c r="D267" s="2634">
        <v>8000000</v>
      </c>
      <c r="E267" s="2688">
        <v>0.04</v>
      </c>
      <c r="F267" s="2634">
        <f t="shared" si="21"/>
        <v>320000</v>
      </c>
      <c r="G267" s="2634">
        <v>320000</v>
      </c>
      <c r="H267" s="2634" t="s">
        <v>4276</v>
      </c>
      <c r="I267" s="24" t="s">
        <v>862</v>
      </c>
      <c r="J267" s="2634">
        <f>G267</f>
        <v>320000</v>
      </c>
      <c r="K267" s="2634">
        <f t="shared" si="28"/>
        <v>0</v>
      </c>
      <c r="L267" s="2690"/>
    </row>
    <row r="268" spans="1:12" ht="30" customHeight="1" x14ac:dyDescent="0.2">
      <c r="A268" s="2623">
        <v>187</v>
      </c>
      <c r="B268" s="2690" t="s">
        <v>2601</v>
      </c>
      <c r="C268" s="2689" t="s">
        <v>1175</v>
      </c>
      <c r="D268" s="2622">
        <v>200000000</v>
      </c>
      <c r="E268" s="2688">
        <v>0.05</v>
      </c>
      <c r="F268" s="2622">
        <f t="shared" si="21"/>
        <v>10000000</v>
      </c>
      <c r="G268" s="2634"/>
      <c r="H268" s="2634"/>
      <c r="I268" s="24"/>
      <c r="J268" s="2634"/>
      <c r="K268" s="2634">
        <f t="shared" si="28"/>
        <v>10000000</v>
      </c>
      <c r="L268" s="2715"/>
    </row>
    <row r="269" spans="1:12" ht="30" customHeight="1" x14ac:dyDescent="0.2">
      <c r="A269" s="2692">
        <v>188</v>
      </c>
      <c r="B269" s="2627" t="s">
        <v>50</v>
      </c>
      <c r="C269" s="2660"/>
      <c r="D269" s="2634">
        <v>200000000</v>
      </c>
      <c r="E269" s="2631">
        <v>0.05</v>
      </c>
      <c r="F269" s="2634">
        <f t="shared" si="21"/>
        <v>10000000</v>
      </c>
      <c r="G269" s="2634">
        <v>10000000</v>
      </c>
      <c r="H269" s="2634" t="s">
        <v>4276</v>
      </c>
      <c r="I269" s="24" t="s">
        <v>1923</v>
      </c>
      <c r="J269" s="2634">
        <f>G269</f>
        <v>10000000</v>
      </c>
      <c r="K269" s="2634">
        <f t="shared" si="28"/>
        <v>0</v>
      </c>
      <c r="L269" s="2690"/>
    </row>
    <row r="270" spans="1:12" ht="30" customHeight="1" x14ac:dyDescent="0.2">
      <c r="A270" s="2692">
        <v>189</v>
      </c>
      <c r="B270" s="2690" t="s">
        <v>51</v>
      </c>
      <c r="C270" s="2660" t="s">
        <v>700</v>
      </c>
      <c r="D270" s="2634">
        <v>15000000</v>
      </c>
      <c r="E270" s="2688">
        <v>0.05</v>
      </c>
      <c r="F270" s="2634">
        <f t="shared" si="21"/>
        <v>750000</v>
      </c>
      <c r="G270" s="2634">
        <v>750000</v>
      </c>
      <c r="H270" s="2634" t="s">
        <v>4249</v>
      </c>
      <c r="I270" s="24" t="s">
        <v>860</v>
      </c>
      <c r="J270" s="2634">
        <f>G270</f>
        <v>750000</v>
      </c>
      <c r="K270" s="2634">
        <f t="shared" si="28"/>
        <v>0</v>
      </c>
      <c r="L270" s="2690"/>
    </row>
    <row r="271" spans="1:12" ht="30" customHeight="1" x14ac:dyDescent="0.2">
      <c r="A271" s="3450">
        <v>190</v>
      </c>
      <c r="B271" s="3457" t="s">
        <v>52</v>
      </c>
      <c r="C271" s="2660" t="s">
        <v>1131</v>
      </c>
      <c r="D271" s="2634">
        <v>80000000</v>
      </c>
      <c r="E271" s="2688">
        <v>0.05</v>
      </c>
      <c r="F271" s="2634">
        <f t="shared" si="21"/>
        <v>4000000</v>
      </c>
      <c r="G271" s="3442">
        <v>14000000</v>
      </c>
      <c r="H271" s="3442" t="s">
        <v>4286</v>
      </c>
      <c r="I271" s="3452" t="s">
        <v>3102</v>
      </c>
      <c r="J271" s="3442">
        <f>G271</f>
        <v>14000000</v>
      </c>
      <c r="K271" s="3442">
        <f>(F271+F272)-J271</f>
        <v>0</v>
      </c>
      <c r="L271" s="3525"/>
    </row>
    <row r="272" spans="1:12" ht="30" customHeight="1" x14ac:dyDescent="0.2">
      <c r="A272" s="3456"/>
      <c r="B272" s="3459"/>
      <c r="C272" s="2660" t="s">
        <v>1131</v>
      </c>
      <c r="D272" s="2634">
        <v>200000000</v>
      </c>
      <c r="E272" s="2688">
        <v>0.05</v>
      </c>
      <c r="F272" s="2634">
        <f t="shared" si="21"/>
        <v>10000000</v>
      </c>
      <c r="G272" s="3443"/>
      <c r="H272" s="3443"/>
      <c r="I272" s="3453"/>
      <c r="J272" s="3443"/>
      <c r="K272" s="3443"/>
      <c r="L272" s="3526"/>
    </row>
    <row r="273" spans="1:16" ht="30" customHeight="1" x14ac:dyDescent="0.2">
      <c r="A273" s="3451"/>
      <c r="B273" s="3458"/>
      <c r="C273" s="2661" t="s">
        <v>265</v>
      </c>
      <c r="D273" s="2633">
        <v>220000000</v>
      </c>
      <c r="E273" s="2629">
        <v>0.05</v>
      </c>
      <c r="F273" s="2633">
        <f t="shared" si="21"/>
        <v>11000000</v>
      </c>
      <c r="G273" s="2634">
        <v>11000000</v>
      </c>
      <c r="H273" s="2634" t="s">
        <v>4184</v>
      </c>
      <c r="I273" s="24" t="s">
        <v>3102</v>
      </c>
      <c r="J273" s="2633">
        <f>G273</f>
        <v>11000000</v>
      </c>
      <c r="K273" s="2633">
        <f>F273-J273</f>
        <v>0</v>
      </c>
      <c r="L273" s="2681"/>
    </row>
    <row r="274" spans="1:16" ht="30" customHeight="1" x14ac:dyDescent="0.2">
      <c r="A274" s="3450">
        <v>191</v>
      </c>
      <c r="B274" s="3457" t="s">
        <v>53</v>
      </c>
      <c r="C274" s="3570" t="s">
        <v>265</v>
      </c>
      <c r="D274" s="3442">
        <v>700000000</v>
      </c>
      <c r="E274" s="3444">
        <v>7.6999999999999999E-2</v>
      </c>
      <c r="F274" s="3442">
        <v>54000000</v>
      </c>
      <c r="G274" s="2634">
        <v>34000000</v>
      </c>
      <c r="H274" s="2634" t="s">
        <v>4184</v>
      </c>
      <c r="I274" s="24" t="s">
        <v>696</v>
      </c>
      <c r="J274" s="3442">
        <f>G274+G275</f>
        <v>54000000</v>
      </c>
      <c r="K274" s="3442">
        <f>F274-J274</f>
        <v>0</v>
      </c>
      <c r="L274" s="2679"/>
    </row>
    <row r="275" spans="1:16" ht="30" customHeight="1" x14ac:dyDescent="0.2">
      <c r="A275" s="3451"/>
      <c r="B275" s="3458"/>
      <c r="C275" s="3571"/>
      <c r="D275" s="3443"/>
      <c r="E275" s="3445"/>
      <c r="F275" s="3443"/>
      <c r="G275" s="2634">
        <v>20000000</v>
      </c>
      <c r="H275" s="2634" t="s">
        <v>4201</v>
      </c>
      <c r="I275" s="24" t="s">
        <v>696</v>
      </c>
      <c r="J275" s="3443"/>
      <c r="K275" s="3443"/>
      <c r="L275" s="2684"/>
    </row>
    <row r="276" spans="1:16" ht="30" customHeight="1" x14ac:dyDescent="0.2">
      <c r="A276" s="3450">
        <v>192</v>
      </c>
      <c r="B276" s="3457" t="s">
        <v>54</v>
      </c>
      <c r="C276" s="3570" t="s">
        <v>1342</v>
      </c>
      <c r="D276" s="3442">
        <v>1400000000</v>
      </c>
      <c r="E276" s="3444">
        <v>7.0000000000000007E-2</v>
      </c>
      <c r="F276" s="3442">
        <f>D276*E276</f>
        <v>98000000.000000015</v>
      </c>
      <c r="G276" s="2622">
        <v>82000000</v>
      </c>
      <c r="H276" s="2622" t="s">
        <v>4216</v>
      </c>
      <c r="I276" s="2622" t="s">
        <v>888</v>
      </c>
      <c r="J276" s="3442">
        <f>G277+G276</f>
        <v>82000000</v>
      </c>
      <c r="K276" s="3442">
        <f>38000000-J276</f>
        <v>-44000000</v>
      </c>
      <c r="L276" s="192" t="s">
        <v>4239</v>
      </c>
    </row>
    <row r="277" spans="1:16" ht="30" customHeight="1" x14ac:dyDescent="0.2">
      <c r="A277" s="3456"/>
      <c r="B277" s="3459"/>
      <c r="C277" s="3576"/>
      <c r="D277" s="3461"/>
      <c r="E277" s="3474"/>
      <c r="F277" s="3461"/>
      <c r="G277" s="2622"/>
      <c r="H277" s="2622"/>
      <c r="I277" s="2622" t="s">
        <v>888</v>
      </c>
      <c r="J277" s="3443"/>
      <c r="K277" s="3443"/>
      <c r="L277" s="192" t="s">
        <v>2118</v>
      </c>
    </row>
    <row r="278" spans="1:16" ht="30" customHeight="1" x14ac:dyDescent="0.2">
      <c r="A278" s="3456"/>
      <c r="B278" s="3459"/>
      <c r="C278" s="3576"/>
      <c r="D278" s="3461"/>
      <c r="E278" s="3474"/>
      <c r="F278" s="3461"/>
      <c r="G278" s="247"/>
      <c r="H278" s="247"/>
      <c r="I278" s="247"/>
      <c r="J278" s="2634"/>
      <c r="K278" s="2634"/>
      <c r="L278" s="192" t="s">
        <v>2417</v>
      </c>
    </row>
    <row r="279" spans="1:16" ht="30" customHeight="1" x14ac:dyDescent="0.2">
      <c r="A279" s="3456"/>
      <c r="B279" s="3459"/>
      <c r="C279" s="3576"/>
      <c r="D279" s="3461"/>
      <c r="E279" s="3474"/>
      <c r="F279" s="3461"/>
      <c r="G279" s="247"/>
      <c r="H279" s="247"/>
      <c r="I279" s="247"/>
      <c r="J279" s="2634"/>
      <c r="K279" s="2634"/>
      <c r="L279" s="192" t="s">
        <v>3050</v>
      </c>
    </row>
    <row r="280" spans="1:16" ht="30" customHeight="1" x14ac:dyDescent="0.2">
      <c r="A280" s="3456"/>
      <c r="B280" s="3459"/>
      <c r="C280" s="3576"/>
      <c r="D280" s="3461"/>
      <c r="E280" s="3474"/>
      <c r="F280" s="3461"/>
      <c r="G280" s="2622"/>
      <c r="H280" s="2622"/>
      <c r="I280" s="2622"/>
      <c r="J280" s="2634"/>
      <c r="K280" s="2634"/>
      <c r="L280" s="192" t="s">
        <v>3049</v>
      </c>
    </row>
    <row r="281" spans="1:16" ht="30" customHeight="1" x14ac:dyDescent="0.2">
      <c r="A281" s="3451"/>
      <c r="B281" s="3458"/>
      <c r="C281" s="3571"/>
      <c r="D281" s="3443"/>
      <c r="E281" s="3445"/>
      <c r="F281" s="3443"/>
      <c r="G281" s="2622"/>
      <c r="H281" s="2622"/>
      <c r="I281" s="2622"/>
      <c r="J281" s="2634"/>
      <c r="K281" s="2634"/>
      <c r="L281" s="192" t="s">
        <v>3048</v>
      </c>
    </row>
    <row r="282" spans="1:16" ht="30" customHeight="1" x14ac:dyDescent="0.2">
      <c r="A282" s="2692">
        <v>193</v>
      </c>
      <c r="B282" s="2690" t="s">
        <v>55</v>
      </c>
      <c r="C282" s="2660" t="s">
        <v>1378</v>
      </c>
      <c r="D282" s="2634">
        <v>45000000</v>
      </c>
      <c r="E282" s="2688">
        <v>0.04</v>
      </c>
      <c r="F282" s="2634">
        <f t="shared" ref="F282:F367" si="29">D282*E282</f>
        <v>1800000</v>
      </c>
      <c r="G282" s="2634">
        <v>1800000</v>
      </c>
      <c r="H282" s="2634" t="s">
        <v>4276</v>
      </c>
      <c r="I282" s="2622" t="s">
        <v>4278</v>
      </c>
      <c r="J282" s="2634">
        <f t="shared" ref="J282:J297" si="30">G282</f>
        <v>1800000</v>
      </c>
      <c r="K282" s="2634">
        <f t="shared" ref="K282:K296" si="31">F282-J282</f>
        <v>0</v>
      </c>
      <c r="L282" s="2690"/>
    </row>
    <row r="283" spans="1:16" ht="30" customHeight="1" x14ac:dyDescent="0.2">
      <c r="A283" s="2623">
        <v>194</v>
      </c>
      <c r="B283" s="22" t="s">
        <v>56</v>
      </c>
      <c r="C283" s="421"/>
      <c r="D283" s="2651"/>
      <c r="E283" s="1078"/>
      <c r="F283" s="2651">
        <f t="shared" si="29"/>
        <v>0</v>
      </c>
      <c r="G283" s="2622">
        <v>6500000</v>
      </c>
      <c r="H283" s="2622" t="s">
        <v>4330</v>
      </c>
      <c r="I283" s="2685" t="s">
        <v>3319</v>
      </c>
      <c r="J283" s="2622">
        <f t="shared" si="30"/>
        <v>6500000</v>
      </c>
      <c r="K283" s="2651">
        <f t="shared" si="31"/>
        <v>-6500000</v>
      </c>
      <c r="L283" s="2656"/>
    </row>
    <row r="284" spans="1:16" ht="30" customHeight="1" x14ac:dyDescent="0.2">
      <c r="A284" s="2692">
        <v>195</v>
      </c>
      <c r="B284" s="2627" t="s">
        <v>57</v>
      </c>
      <c r="C284" s="2660" t="s">
        <v>1019</v>
      </c>
      <c r="D284" s="2634">
        <v>10000000</v>
      </c>
      <c r="E284" s="2631">
        <v>0.05</v>
      </c>
      <c r="F284" s="2634">
        <f t="shared" si="29"/>
        <v>500000</v>
      </c>
      <c r="G284" s="2634">
        <v>500000</v>
      </c>
      <c r="H284" s="2634" t="s">
        <v>4330</v>
      </c>
      <c r="I284" s="24" t="s">
        <v>1152</v>
      </c>
      <c r="J284" s="2634">
        <f t="shared" si="30"/>
        <v>500000</v>
      </c>
      <c r="K284" s="2634">
        <f t="shared" si="31"/>
        <v>0</v>
      </c>
      <c r="L284" s="2690"/>
    </row>
    <row r="285" spans="1:16" ht="30" customHeight="1" x14ac:dyDescent="0.2">
      <c r="A285" s="3450">
        <v>196</v>
      </c>
      <c r="B285" s="3457" t="s">
        <v>58</v>
      </c>
      <c r="C285" s="3570" t="s">
        <v>1138</v>
      </c>
      <c r="D285" s="2634">
        <v>20000000</v>
      </c>
      <c r="E285" s="2688">
        <v>0.04</v>
      </c>
      <c r="F285" s="2634">
        <f t="shared" si="29"/>
        <v>800000</v>
      </c>
      <c r="G285" s="3442">
        <v>2300000</v>
      </c>
      <c r="H285" s="3442" t="s">
        <v>4286</v>
      </c>
      <c r="I285" s="3452" t="s">
        <v>3899</v>
      </c>
      <c r="J285" s="3442">
        <f t="shared" si="30"/>
        <v>2300000</v>
      </c>
      <c r="K285" s="3442">
        <f>(F285+F286)-J285</f>
        <v>0</v>
      </c>
      <c r="L285" s="3890" t="s">
        <v>3901</v>
      </c>
    </row>
    <row r="286" spans="1:16" ht="30" customHeight="1" x14ac:dyDescent="0.2">
      <c r="A286" s="3456"/>
      <c r="B286" s="3459"/>
      <c r="C286" s="3571"/>
      <c r="D286" s="2634">
        <v>30000000</v>
      </c>
      <c r="E286" s="2688">
        <v>0.05</v>
      </c>
      <c r="F286" s="2634">
        <f t="shared" si="29"/>
        <v>1500000</v>
      </c>
      <c r="G286" s="3443"/>
      <c r="H286" s="3443"/>
      <c r="I286" s="3453"/>
      <c r="J286" s="3443"/>
      <c r="K286" s="3443"/>
      <c r="L286" s="3890"/>
    </row>
    <row r="287" spans="1:16" ht="30" customHeight="1" x14ac:dyDescent="0.2">
      <c r="A287" s="3450">
        <v>197</v>
      </c>
      <c r="B287" s="3457" t="s">
        <v>4293</v>
      </c>
      <c r="C287" s="3570" t="s">
        <v>1165</v>
      </c>
      <c r="D287" s="2634">
        <v>150000000</v>
      </c>
      <c r="E287" s="2688">
        <v>0.04</v>
      </c>
      <c r="F287" s="2634">
        <f t="shared" si="29"/>
        <v>6000000</v>
      </c>
      <c r="G287" s="2960">
        <v>6000000</v>
      </c>
      <c r="H287" s="2960" t="s">
        <v>4133</v>
      </c>
      <c r="I287" s="2961" t="s">
        <v>2451</v>
      </c>
      <c r="J287" s="2960">
        <f t="shared" si="30"/>
        <v>6000000</v>
      </c>
      <c r="K287" s="2960">
        <f t="shared" si="31"/>
        <v>0</v>
      </c>
      <c r="L287" s="192" t="s">
        <v>4152</v>
      </c>
      <c r="M287" s="406"/>
      <c r="N287" s="406"/>
      <c r="O287" s="406"/>
      <c r="P287" s="406"/>
    </row>
    <row r="288" spans="1:16" ht="30" customHeight="1" x14ac:dyDescent="0.2">
      <c r="A288" s="3451"/>
      <c r="B288" s="3458"/>
      <c r="C288" s="3571"/>
      <c r="D288" s="2634">
        <v>100000000</v>
      </c>
      <c r="E288" s="2688">
        <v>0.05</v>
      </c>
      <c r="F288" s="2634">
        <f t="shared" si="29"/>
        <v>5000000</v>
      </c>
      <c r="G288" s="2634">
        <v>5000000</v>
      </c>
      <c r="H288" s="2634" t="s">
        <v>4286</v>
      </c>
      <c r="I288" s="2622" t="s">
        <v>4294</v>
      </c>
      <c r="J288" s="2634">
        <f>G288</f>
        <v>5000000</v>
      </c>
      <c r="K288" s="2634">
        <f t="shared" si="31"/>
        <v>0</v>
      </c>
      <c r="L288" s="192"/>
      <c r="M288" s="406"/>
      <c r="N288" s="406"/>
      <c r="O288" s="406"/>
      <c r="P288" s="406"/>
    </row>
    <row r="289" spans="1:16" ht="30" customHeight="1" x14ac:dyDescent="0.2">
      <c r="A289" s="2692">
        <v>198</v>
      </c>
      <c r="B289" s="2690" t="s">
        <v>60</v>
      </c>
      <c r="C289" s="2660" t="s">
        <v>1165</v>
      </c>
      <c r="D289" s="2634">
        <v>30000000</v>
      </c>
      <c r="E289" s="2688">
        <v>8.5000000000000006E-2</v>
      </c>
      <c r="F289" s="2634">
        <v>2500000</v>
      </c>
      <c r="G289" s="2634">
        <v>2500000</v>
      </c>
      <c r="H289" s="2634" t="s">
        <v>4276</v>
      </c>
      <c r="I289" s="2622" t="s">
        <v>4279</v>
      </c>
      <c r="J289" s="2634">
        <f t="shared" si="30"/>
        <v>2500000</v>
      </c>
      <c r="K289" s="2634">
        <f t="shared" si="31"/>
        <v>0</v>
      </c>
      <c r="L289" s="2690"/>
      <c r="M289" s="406"/>
      <c r="N289" s="406"/>
      <c r="O289" s="406"/>
      <c r="P289" s="406"/>
    </row>
    <row r="290" spans="1:16" ht="30" customHeight="1" x14ac:dyDescent="0.2">
      <c r="A290" s="2692">
        <v>199</v>
      </c>
      <c r="B290" s="2690" t="s">
        <v>61</v>
      </c>
      <c r="C290" s="2660" t="s">
        <v>1131</v>
      </c>
      <c r="D290" s="2634">
        <v>50000000</v>
      </c>
      <c r="E290" s="2688">
        <v>0.05</v>
      </c>
      <c r="F290" s="2634">
        <f t="shared" si="29"/>
        <v>2500000</v>
      </c>
      <c r="G290" s="2634">
        <v>2500000</v>
      </c>
      <c r="H290" s="2634" t="s">
        <v>4286</v>
      </c>
      <c r="I290" s="2622" t="s">
        <v>1173</v>
      </c>
      <c r="J290" s="2634">
        <f t="shared" si="30"/>
        <v>2500000</v>
      </c>
      <c r="K290" s="2634">
        <f t="shared" si="31"/>
        <v>0</v>
      </c>
      <c r="L290" s="2690"/>
      <c r="M290" s="406"/>
      <c r="N290" s="406"/>
      <c r="O290" s="406"/>
      <c r="P290" s="406"/>
    </row>
    <row r="291" spans="1:16" ht="30" customHeight="1" x14ac:dyDescent="0.2">
      <c r="A291" s="2692">
        <v>200</v>
      </c>
      <c r="B291" s="2690" t="s">
        <v>62</v>
      </c>
      <c r="C291" s="2660" t="s">
        <v>1112</v>
      </c>
      <c r="D291" s="2634">
        <v>350000000</v>
      </c>
      <c r="E291" s="2688">
        <v>7.0000000000000007E-2</v>
      </c>
      <c r="F291" s="2634">
        <f t="shared" si="29"/>
        <v>24500000.000000004</v>
      </c>
      <c r="G291" s="2634">
        <v>24500000</v>
      </c>
      <c r="H291" s="2634" t="s">
        <v>4330</v>
      </c>
      <c r="I291" s="24" t="s">
        <v>1667</v>
      </c>
      <c r="J291" s="2634">
        <f>G291</f>
        <v>24500000</v>
      </c>
      <c r="K291" s="2634">
        <f t="shared" si="31"/>
        <v>0</v>
      </c>
      <c r="L291" s="2690"/>
      <c r="M291" s="406"/>
      <c r="N291" s="406"/>
      <c r="O291" s="406"/>
      <c r="P291" s="406"/>
    </row>
    <row r="292" spans="1:16" ht="30" customHeight="1" x14ac:dyDescent="0.2">
      <c r="A292" s="2692">
        <v>201</v>
      </c>
      <c r="B292" s="2690" t="s">
        <v>63</v>
      </c>
      <c r="C292" s="2660"/>
      <c r="D292" s="2634">
        <v>60000000</v>
      </c>
      <c r="E292" s="2688">
        <v>6.5000000000000002E-2</v>
      </c>
      <c r="F292" s="2634">
        <v>4500000</v>
      </c>
      <c r="G292" s="2634">
        <v>4500000</v>
      </c>
      <c r="H292" s="2634" t="s">
        <v>4330</v>
      </c>
      <c r="I292" s="2697" t="s">
        <v>4039</v>
      </c>
      <c r="J292" s="2634">
        <f t="shared" si="30"/>
        <v>4500000</v>
      </c>
      <c r="K292" s="2634">
        <f t="shared" si="31"/>
        <v>0</v>
      </c>
      <c r="L292" s="2690"/>
      <c r="M292" s="406"/>
      <c r="N292" s="406"/>
      <c r="O292" s="406"/>
      <c r="P292" s="406"/>
    </row>
    <row r="293" spans="1:16" ht="30" customHeight="1" x14ac:dyDescent="0.2">
      <c r="A293" s="2693">
        <v>202</v>
      </c>
      <c r="B293" s="2690" t="s">
        <v>64</v>
      </c>
      <c r="C293" s="2689" t="s">
        <v>1112</v>
      </c>
      <c r="D293" s="2622">
        <v>100000000</v>
      </c>
      <c r="E293" s="2688">
        <v>4.4999999999999998E-2</v>
      </c>
      <c r="F293" s="2622">
        <f t="shared" si="29"/>
        <v>4500000</v>
      </c>
      <c r="G293" s="2622">
        <v>4500000</v>
      </c>
      <c r="H293" s="2634" t="s">
        <v>4330</v>
      </c>
      <c r="I293" s="24" t="s">
        <v>4027</v>
      </c>
      <c r="J293" s="2634">
        <f t="shared" si="30"/>
        <v>4500000</v>
      </c>
      <c r="K293" s="2634">
        <f t="shared" si="31"/>
        <v>0</v>
      </c>
      <c r="L293" s="2715"/>
      <c r="M293" s="406"/>
      <c r="N293" s="406"/>
      <c r="O293" s="406"/>
      <c r="P293" s="406"/>
    </row>
    <row r="294" spans="1:16" ht="30" customHeight="1" x14ac:dyDescent="0.2">
      <c r="A294" s="2692">
        <v>203</v>
      </c>
      <c r="B294" s="2627" t="s">
        <v>1292</v>
      </c>
      <c r="C294" s="2660" t="s">
        <v>1112</v>
      </c>
      <c r="D294" s="2634">
        <v>60000000</v>
      </c>
      <c r="E294" s="2631">
        <v>0.05</v>
      </c>
      <c r="F294" s="2634">
        <f t="shared" si="29"/>
        <v>3000000</v>
      </c>
      <c r="G294" s="2634">
        <v>3000000</v>
      </c>
      <c r="H294" s="2634" t="s">
        <v>4330</v>
      </c>
      <c r="I294" s="24" t="s">
        <v>1792</v>
      </c>
      <c r="J294" s="2634">
        <f t="shared" si="30"/>
        <v>3000000</v>
      </c>
      <c r="K294" s="2634">
        <f t="shared" si="31"/>
        <v>0</v>
      </c>
      <c r="L294" s="2690"/>
    </row>
    <row r="295" spans="1:16" ht="30" customHeight="1" x14ac:dyDescent="0.2">
      <c r="A295" s="2692">
        <v>205</v>
      </c>
      <c r="B295" s="2690" t="s">
        <v>66</v>
      </c>
      <c r="C295" s="2660" t="s">
        <v>3380</v>
      </c>
      <c r="D295" s="2634">
        <v>15000000</v>
      </c>
      <c r="E295" s="2688">
        <v>0.04</v>
      </c>
      <c r="F295" s="2634">
        <f t="shared" si="29"/>
        <v>600000</v>
      </c>
      <c r="G295" s="2634">
        <v>600000</v>
      </c>
      <c r="H295" s="2634" t="s">
        <v>4276</v>
      </c>
      <c r="I295" s="24" t="s">
        <v>3379</v>
      </c>
      <c r="J295" s="2634">
        <f t="shared" si="30"/>
        <v>600000</v>
      </c>
      <c r="K295" s="2634">
        <f t="shared" si="31"/>
        <v>0</v>
      </c>
      <c r="L295" s="2690"/>
    </row>
    <row r="296" spans="1:16" ht="30" customHeight="1" x14ac:dyDescent="0.2">
      <c r="A296" s="2692">
        <v>206</v>
      </c>
      <c r="B296" s="2690" t="s">
        <v>2531</v>
      </c>
      <c r="C296" s="2660" t="s">
        <v>1019</v>
      </c>
      <c r="D296" s="2634">
        <v>150000000</v>
      </c>
      <c r="E296" s="2688">
        <v>0.05</v>
      </c>
      <c r="F296" s="2634">
        <f t="shared" si="29"/>
        <v>7500000</v>
      </c>
      <c r="G296" s="2634">
        <v>7500000</v>
      </c>
      <c r="H296" s="2662" t="s">
        <v>4286</v>
      </c>
      <c r="I296" s="70" t="s">
        <v>3913</v>
      </c>
      <c r="J296" s="2634">
        <f t="shared" si="30"/>
        <v>7500000</v>
      </c>
      <c r="K296" s="2634">
        <f t="shared" si="31"/>
        <v>0</v>
      </c>
      <c r="L296" s="2333" t="s">
        <v>1398</v>
      </c>
    </row>
    <row r="297" spans="1:16" ht="30" customHeight="1" x14ac:dyDescent="0.2">
      <c r="A297" s="3450">
        <v>207</v>
      </c>
      <c r="B297" s="3687" t="s">
        <v>2810</v>
      </c>
      <c r="C297" s="3686" t="s">
        <v>700</v>
      </c>
      <c r="D297" s="2634">
        <v>45000000</v>
      </c>
      <c r="E297" s="2688">
        <v>0.04</v>
      </c>
      <c r="F297" s="2634">
        <f t="shared" si="29"/>
        <v>1800000</v>
      </c>
      <c r="G297" s="3442">
        <v>3800000</v>
      </c>
      <c r="H297" s="3442" t="s">
        <v>4276</v>
      </c>
      <c r="I297" s="3452" t="s">
        <v>3877</v>
      </c>
      <c r="J297" s="3442">
        <f t="shared" si="30"/>
        <v>3800000</v>
      </c>
      <c r="K297" s="3442">
        <f>(F297+F298)-J297</f>
        <v>0</v>
      </c>
      <c r="L297" s="3468"/>
    </row>
    <row r="298" spans="1:16" ht="30" customHeight="1" x14ac:dyDescent="0.2">
      <c r="A298" s="3456"/>
      <c r="B298" s="3687"/>
      <c r="C298" s="3686"/>
      <c r="D298" s="2634">
        <v>50000000</v>
      </c>
      <c r="E298" s="2688">
        <v>0.04</v>
      </c>
      <c r="F298" s="2634">
        <f t="shared" si="29"/>
        <v>2000000</v>
      </c>
      <c r="G298" s="3443"/>
      <c r="H298" s="3443"/>
      <c r="I298" s="3453"/>
      <c r="J298" s="3443"/>
      <c r="K298" s="3443"/>
      <c r="L298" s="3469"/>
    </row>
    <row r="299" spans="1:16" ht="30" customHeight="1" x14ac:dyDescent="0.2">
      <c r="A299" s="2623">
        <v>208</v>
      </c>
      <c r="B299" s="22" t="s">
        <v>70</v>
      </c>
      <c r="C299" s="421" t="s">
        <v>1131</v>
      </c>
      <c r="D299" s="2622">
        <v>15000000</v>
      </c>
      <c r="E299" s="2688">
        <v>0.04</v>
      </c>
      <c r="F299" s="2622">
        <f t="shared" si="29"/>
        <v>600000</v>
      </c>
      <c r="G299" s="2622">
        <v>600000</v>
      </c>
      <c r="H299" s="2622" t="s">
        <v>4330</v>
      </c>
      <c r="I299" s="2685" t="s">
        <v>1130</v>
      </c>
      <c r="J299" s="2622">
        <f t="shared" ref="J299:J309" si="32">G299</f>
        <v>600000</v>
      </c>
      <c r="K299" s="2622">
        <f t="shared" ref="K299:K312" si="33">F299-J299</f>
        <v>0</v>
      </c>
      <c r="L299" s="2333" t="s">
        <v>4092</v>
      </c>
    </row>
    <row r="300" spans="1:16" ht="30" customHeight="1" x14ac:dyDescent="0.2">
      <c r="A300" s="2692">
        <v>209</v>
      </c>
      <c r="B300" s="2627" t="s">
        <v>71</v>
      </c>
      <c r="C300" s="2660" t="s">
        <v>3458</v>
      </c>
      <c r="D300" s="2634">
        <v>10000000</v>
      </c>
      <c r="E300" s="2631">
        <v>0.05</v>
      </c>
      <c r="F300" s="2634">
        <f t="shared" si="29"/>
        <v>500000</v>
      </c>
      <c r="G300" s="2634"/>
      <c r="H300" s="2634"/>
      <c r="I300" s="2665" t="s">
        <v>4044</v>
      </c>
      <c r="J300" s="2634">
        <f t="shared" si="32"/>
        <v>0</v>
      </c>
      <c r="K300" s="2634">
        <f t="shared" si="33"/>
        <v>500000</v>
      </c>
      <c r="L300" s="2690"/>
    </row>
    <row r="301" spans="1:16" ht="30" customHeight="1" x14ac:dyDescent="0.2">
      <c r="A301" s="2692">
        <v>210</v>
      </c>
      <c r="B301" s="2690" t="s">
        <v>73</v>
      </c>
      <c r="C301" s="2660"/>
      <c r="D301" s="2634">
        <v>50000000</v>
      </c>
      <c r="E301" s="2688">
        <v>7.0000000000000007E-2</v>
      </c>
      <c r="F301" s="2634">
        <f t="shared" si="29"/>
        <v>3500000.0000000005</v>
      </c>
      <c r="G301" s="2634">
        <v>3500000</v>
      </c>
      <c r="H301" s="2634" t="s">
        <v>4105</v>
      </c>
      <c r="I301" s="24" t="s">
        <v>4123</v>
      </c>
      <c r="J301" s="2634">
        <f t="shared" si="32"/>
        <v>3500000</v>
      </c>
      <c r="K301" s="2634">
        <f t="shared" si="33"/>
        <v>0</v>
      </c>
      <c r="L301" s="2690"/>
    </row>
    <row r="302" spans="1:16" ht="30" customHeight="1" x14ac:dyDescent="0.2">
      <c r="A302" s="2692">
        <v>211</v>
      </c>
      <c r="B302" s="2690" t="s">
        <v>74</v>
      </c>
      <c r="C302" s="2660" t="s">
        <v>1350</v>
      </c>
      <c r="D302" s="2634">
        <v>100000000</v>
      </c>
      <c r="E302" s="2688">
        <v>0.05</v>
      </c>
      <c r="F302" s="2634">
        <f t="shared" si="29"/>
        <v>5000000</v>
      </c>
      <c r="G302" s="2634">
        <v>5000000</v>
      </c>
      <c r="H302" s="2634" t="s">
        <v>4133</v>
      </c>
      <c r="I302" s="24" t="s">
        <v>4141</v>
      </c>
      <c r="J302" s="2634">
        <f t="shared" si="32"/>
        <v>5000000</v>
      </c>
      <c r="K302" s="2634">
        <f t="shared" si="33"/>
        <v>0</v>
      </c>
      <c r="L302" s="2690"/>
    </row>
    <row r="303" spans="1:16" ht="30" customHeight="1" x14ac:dyDescent="0.2">
      <c r="A303" s="2692">
        <v>212</v>
      </c>
      <c r="B303" s="2690" t="s">
        <v>75</v>
      </c>
      <c r="C303" s="2660" t="s">
        <v>916</v>
      </c>
      <c r="D303" s="2634">
        <v>30000000</v>
      </c>
      <c r="E303" s="2688">
        <v>0.05</v>
      </c>
      <c r="F303" s="2634">
        <f t="shared" si="29"/>
        <v>1500000</v>
      </c>
      <c r="G303" s="2634"/>
      <c r="H303" s="2634"/>
      <c r="I303" s="24" t="s">
        <v>1327</v>
      </c>
      <c r="J303" s="2634">
        <f t="shared" si="32"/>
        <v>0</v>
      </c>
      <c r="K303" s="2634">
        <f t="shared" si="33"/>
        <v>1500000</v>
      </c>
      <c r="L303" s="2690"/>
    </row>
    <row r="304" spans="1:16" ht="30" customHeight="1" x14ac:dyDescent="0.2">
      <c r="A304" s="2692">
        <v>213</v>
      </c>
      <c r="B304" s="2690" t="s">
        <v>76</v>
      </c>
      <c r="C304" s="2660" t="s">
        <v>916</v>
      </c>
      <c r="D304" s="2634">
        <v>15000000</v>
      </c>
      <c r="E304" s="2688">
        <v>4.7E-2</v>
      </c>
      <c r="F304" s="2634">
        <v>700000</v>
      </c>
      <c r="G304" s="2634">
        <v>700000</v>
      </c>
      <c r="H304" s="2634" t="s">
        <v>2141</v>
      </c>
      <c r="I304" s="24" t="s">
        <v>3542</v>
      </c>
      <c r="J304" s="2634">
        <f t="shared" si="32"/>
        <v>700000</v>
      </c>
      <c r="K304" s="2634">
        <f t="shared" si="33"/>
        <v>0</v>
      </c>
      <c r="L304" s="2690"/>
    </row>
    <row r="305" spans="1:12" ht="30" customHeight="1" x14ac:dyDescent="0.2">
      <c r="A305" s="2692">
        <v>214</v>
      </c>
      <c r="B305" s="2690" t="s">
        <v>966</v>
      </c>
      <c r="C305" s="2660"/>
      <c r="D305" s="2634">
        <v>200000000</v>
      </c>
      <c r="E305" s="2688">
        <v>5.5E-2</v>
      </c>
      <c r="F305" s="2634">
        <f t="shared" si="29"/>
        <v>11000000</v>
      </c>
      <c r="G305" s="2634">
        <v>11000000</v>
      </c>
      <c r="H305" s="2634" t="s">
        <v>4059</v>
      </c>
      <c r="I305" s="24" t="s">
        <v>4114</v>
      </c>
      <c r="J305" s="2634">
        <f t="shared" si="32"/>
        <v>11000000</v>
      </c>
      <c r="K305" s="2634">
        <f t="shared" si="33"/>
        <v>0</v>
      </c>
      <c r="L305" s="2690"/>
    </row>
    <row r="306" spans="1:12" ht="30" customHeight="1" x14ac:dyDescent="0.2">
      <c r="A306" s="2692">
        <v>216</v>
      </c>
      <c r="B306" s="2690" t="s">
        <v>78</v>
      </c>
      <c r="C306" s="2660" t="s">
        <v>916</v>
      </c>
      <c r="D306" s="2634">
        <v>250000000</v>
      </c>
      <c r="E306" s="2688">
        <v>0.05</v>
      </c>
      <c r="F306" s="2634">
        <f t="shared" si="29"/>
        <v>12500000</v>
      </c>
      <c r="G306" s="2634">
        <v>12500000</v>
      </c>
      <c r="H306" s="2634" t="s">
        <v>4062</v>
      </c>
      <c r="I306" s="21" t="s">
        <v>3537</v>
      </c>
      <c r="J306" s="2634">
        <f t="shared" si="32"/>
        <v>12500000</v>
      </c>
      <c r="K306" s="2634">
        <f t="shared" si="33"/>
        <v>0</v>
      </c>
      <c r="L306" s="2690"/>
    </row>
    <row r="307" spans="1:12" ht="30" customHeight="1" x14ac:dyDescent="0.2">
      <c r="A307" s="2623">
        <v>217</v>
      </c>
      <c r="B307" s="2690" t="s">
        <v>80</v>
      </c>
      <c r="C307" s="2689"/>
      <c r="D307" s="2622">
        <v>160000000</v>
      </c>
      <c r="E307" s="2688">
        <v>0.05</v>
      </c>
      <c r="F307" s="2622">
        <f t="shared" si="29"/>
        <v>8000000</v>
      </c>
      <c r="G307" s="2622"/>
      <c r="H307" s="2622"/>
      <c r="I307" s="2697"/>
      <c r="J307" s="2622">
        <f t="shared" si="32"/>
        <v>0</v>
      </c>
      <c r="K307" s="2622">
        <f t="shared" si="33"/>
        <v>8000000</v>
      </c>
      <c r="L307" s="2641"/>
    </row>
    <row r="308" spans="1:12" ht="30" customHeight="1" x14ac:dyDescent="0.2">
      <c r="A308" s="3450">
        <v>218</v>
      </c>
      <c r="B308" s="3457" t="s">
        <v>81</v>
      </c>
      <c r="C308" s="3570"/>
      <c r="D308" s="3442">
        <v>45000000</v>
      </c>
      <c r="E308" s="3444">
        <v>0.04</v>
      </c>
      <c r="F308" s="3442">
        <f t="shared" si="29"/>
        <v>1800000</v>
      </c>
      <c r="G308" s="2634"/>
      <c r="H308" s="2634"/>
      <c r="I308" s="70" t="s">
        <v>1794</v>
      </c>
      <c r="J308" s="2634">
        <f t="shared" si="32"/>
        <v>0</v>
      </c>
      <c r="K308" s="2634">
        <f t="shared" si="33"/>
        <v>1800000</v>
      </c>
      <c r="L308" s="2690"/>
    </row>
    <row r="309" spans="1:12" ht="30" customHeight="1" x14ac:dyDescent="0.2">
      <c r="A309" s="3451"/>
      <c r="B309" s="3458"/>
      <c r="C309" s="3571"/>
      <c r="D309" s="3443"/>
      <c r="E309" s="3445"/>
      <c r="F309" s="3443"/>
      <c r="G309" s="2634"/>
      <c r="H309" s="2634"/>
      <c r="I309" s="70" t="s">
        <v>3699</v>
      </c>
      <c r="J309" s="2634">
        <f t="shared" si="32"/>
        <v>0</v>
      </c>
      <c r="K309" s="2634"/>
      <c r="L309" s="2333" t="s">
        <v>3700</v>
      </c>
    </row>
    <row r="310" spans="1:12" ht="30" customHeight="1" x14ac:dyDescent="0.2">
      <c r="A310" s="2692">
        <v>219</v>
      </c>
      <c r="B310" s="2690" t="s">
        <v>1903</v>
      </c>
      <c r="C310" s="2660"/>
      <c r="D310" s="2647"/>
      <c r="E310" s="2720"/>
      <c r="F310" s="2647">
        <f t="shared" si="29"/>
        <v>0</v>
      </c>
      <c r="G310" s="2634"/>
      <c r="H310" s="2634"/>
      <c r="I310" s="24"/>
      <c r="J310" s="2634"/>
      <c r="K310" s="2647">
        <f t="shared" si="33"/>
        <v>0</v>
      </c>
      <c r="L310" s="2690"/>
    </row>
    <row r="311" spans="1:12" ht="30" customHeight="1" x14ac:dyDescent="0.2">
      <c r="A311" s="2692">
        <v>220</v>
      </c>
      <c r="B311" s="2686" t="s">
        <v>83</v>
      </c>
      <c r="C311" s="385"/>
      <c r="D311" s="2632">
        <v>203000000</v>
      </c>
      <c r="E311" s="2629">
        <v>0.05</v>
      </c>
      <c r="F311" s="2632">
        <f t="shared" si="29"/>
        <v>10150000</v>
      </c>
      <c r="G311" s="2634">
        <v>10150000</v>
      </c>
      <c r="H311" s="2634" t="s">
        <v>1964</v>
      </c>
      <c r="I311" s="24" t="s">
        <v>3545</v>
      </c>
      <c r="J311" s="2632">
        <f>G311</f>
        <v>10150000</v>
      </c>
      <c r="K311" s="2632">
        <f t="shared" si="33"/>
        <v>0</v>
      </c>
      <c r="L311" s="2690"/>
    </row>
    <row r="312" spans="1:12" ht="30" customHeight="1" x14ac:dyDescent="0.2">
      <c r="A312" s="2692">
        <v>221</v>
      </c>
      <c r="B312" s="2686" t="s">
        <v>332</v>
      </c>
      <c r="C312" s="2659" t="s">
        <v>1746</v>
      </c>
      <c r="D312" s="2632">
        <v>275000000</v>
      </c>
      <c r="E312" s="2629">
        <v>4.2000000000000003E-2</v>
      </c>
      <c r="F312" s="2632">
        <f>D312*E312</f>
        <v>11550000</v>
      </c>
      <c r="G312" s="2633">
        <v>11550000</v>
      </c>
      <c r="H312" s="2633" t="s">
        <v>4133</v>
      </c>
      <c r="I312" s="427" t="s">
        <v>1748</v>
      </c>
      <c r="J312" s="2632">
        <f>G312</f>
        <v>11550000</v>
      </c>
      <c r="K312" s="2632">
        <f t="shared" si="33"/>
        <v>0</v>
      </c>
      <c r="L312" s="2656"/>
    </row>
    <row r="313" spans="1:12" ht="30" customHeight="1" x14ac:dyDescent="0.2">
      <c r="A313" s="3693">
        <v>222</v>
      </c>
      <c r="B313" s="3457" t="s">
        <v>1931</v>
      </c>
      <c r="C313" s="3570" t="s">
        <v>1342</v>
      </c>
      <c r="D313" s="3442">
        <v>700000000</v>
      </c>
      <c r="E313" s="3444">
        <v>0.06</v>
      </c>
      <c r="F313" s="3442">
        <f>D313*E313</f>
        <v>42000000</v>
      </c>
      <c r="G313" s="3442">
        <v>42000000</v>
      </c>
      <c r="H313" s="3442" t="s">
        <v>4184</v>
      </c>
      <c r="I313" s="3452" t="s">
        <v>3862</v>
      </c>
      <c r="J313" s="3442">
        <f>G313</f>
        <v>42000000</v>
      </c>
      <c r="K313" s="3442">
        <f>F313-J313</f>
        <v>0</v>
      </c>
      <c r="L313" s="2679"/>
    </row>
    <row r="314" spans="1:12" ht="30" customHeight="1" x14ac:dyDescent="0.2">
      <c r="A314" s="3693"/>
      <c r="B314" s="3459"/>
      <c r="C314" s="3576"/>
      <c r="D314" s="3461"/>
      <c r="E314" s="3474"/>
      <c r="F314" s="3461"/>
      <c r="G314" s="3461"/>
      <c r="H314" s="3461"/>
      <c r="I314" s="3653"/>
      <c r="J314" s="3461"/>
      <c r="K314" s="3461"/>
      <c r="L314" s="2684" t="s">
        <v>3831</v>
      </c>
    </row>
    <row r="315" spans="1:12" ht="30" customHeight="1" x14ac:dyDescent="0.2">
      <c r="A315" s="3693"/>
      <c r="B315" s="3458"/>
      <c r="C315" s="3571"/>
      <c r="D315" s="3443"/>
      <c r="E315" s="3445"/>
      <c r="F315" s="3443"/>
      <c r="G315" s="3443"/>
      <c r="H315" s="3443"/>
      <c r="I315" s="3453"/>
      <c r="J315" s="3443"/>
      <c r="K315" s="3443"/>
      <c r="L315" s="2680"/>
    </row>
    <row r="316" spans="1:12" ht="30" customHeight="1" x14ac:dyDescent="0.2">
      <c r="A316" s="2625">
        <v>223</v>
      </c>
      <c r="B316" s="2627" t="s">
        <v>85</v>
      </c>
      <c r="C316" s="2660" t="s">
        <v>1746</v>
      </c>
      <c r="D316" s="2634">
        <v>100000000</v>
      </c>
      <c r="E316" s="2631">
        <v>0.05</v>
      </c>
      <c r="F316" s="2634">
        <f t="shared" si="29"/>
        <v>5000000</v>
      </c>
      <c r="G316" s="2634">
        <v>5000000</v>
      </c>
      <c r="H316" s="2634" t="s">
        <v>4133</v>
      </c>
      <c r="I316" s="24" t="s">
        <v>3627</v>
      </c>
      <c r="J316" s="2634">
        <f t="shared" ref="J316:J322" si="34">G316</f>
        <v>5000000</v>
      </c>
      <c r="K316" s="2634">
        <f t="shared" ref="K316:K322" si="35">F316-J316</f>
        <v>0</v>
      </c>
      <c r="L316" s="2690"/>
    </row>
    <row r="317" spans="1:12" ht="30" customHeight="1" x14ac:dyDescent="0.2">
      <c r="A317" s="3450">
        <v>224</v>
      </c>
      <c r="B317" s="3457" t="s">
        <v>2757</v>
      </c>
      <c r="C317" s="3570"/>
      <c r="D317" s="3442">
        <v>10000000</v>
      </c>
      <c r="E317" s="3444">
        <v>0.05</v>
      </c>
      <c r="F317" s="3442">
        <f t="shared" si="29"/>
        <v>500000</v>
      </c>
      <c r="G317" s="2634">
        <v>500000</v>
      </c>
      <c r="H317" s="2634" t="s">
        <v>4068</v>
      </c>
      <c r="I317" s="24" t="s">
        <v>4073</v>
      </c>
      <c r="J317" s="2634">
        <f t="shared" si="34"/>
        <v>500000</v>
      </c>
      <c r="K317" s="2634">
        <f t="shared" si="35"/>
        <v>0</v>
      </c>
      <c r="L317" s="2690"/>
    </row>
    <row r="318" spans="1:12" ht="30" customHeight="1" x14ac:dyDescent="0.2">
      <c r="A318" s="3451"/>
      <c r="B318" s="3458"/>
      <c r="C318" s="3571"/>
      <c r="D318" s="3443"/>
      <c r="E318" s="3445"/>
      <c r="F318" s="3443"/>
      <c r="G318" s="2647">
        <v>1000000</v>
      </c>
      <c r="H318" s="2647" t="s">
        <v>4184</v>
      </c>
      <c r="I318" s="61" t="s">
        <v>4073</v>
      </c>
      <c r="J318" s="2647">
        <f t="shared" si="34"/>
        <v>1000000</v>
      </c>
      <c r="K318" s="2647"/>
      <c r="L318" s="2627"/>
    </row>
    <row r="319" spans="1:12" ht="30" customHeight="1" x14ac:dyDescent="0.2">
      <c r="A319" s="2625">
        <v>226</v>
      </c>
      <c r="B319" s="2687" t="s">
        <v>88</v>
      </c>
      <c r="C319" s="2660" t="s">
        <v>916</v>
      </c>
      <c r="D319" s="2622">
        <v>410000000</v>
      </c>
      <c r="E319" s="2688">
        <v>0.06</v>
      </c>
      <c r="F319" s="2622">
        <f>D319*E319</f>
        <v>24600000</v>
      </c>
      <c r="G319" s="2622">
        <v>24600000</v>
      </c>
      <c r="H319" s="2622" t="s">
        <v>1964</v>
      </c>
      <c r="I319" s="2622" t="s">
        <v>2521</v>
      </c>
      <c r="J319" s="2622">
        <f t="shared" si="34"/>
        <v>24600000</v>
      </c>
      <c r="K319" s="2634">
        <f t="shared" si="35"/>
        <v>0</v>
      </c>
      <c r="L319" s="2642"/>
    </row>
    <row r="320" spans="1:12" ht="30" customHeight="1" x14ac:dyDescent="0.2">
      <c r="A320" s="2692">
        <v>227</v>
      </c>
      <c r="B320" s="2690" t="s">
        <v>89</v>
      </c>
      <c r="C320" s="2660" t="s">
        <v>916</v>
      </c>
      <c r="D320" s="2634">
        <v>20000000</v>
      </c>
      <c r="E320" s="2688">
        <v>0.05</v>
      </c>
      <c r="F320" s="2634">
        <f>D320*E320</f>
        <v>1000000</v>
      </c>
      <c r="G320" s="2634">
        <v>1000000</v>
      </c>
      <c r="H320" s="2634" t="s">
        <v>4105</v>
      </c>
      <c r="I320" s="21" t="s">
        <v>369</v>
      </c>
      <c r="J320" s="2634">
        <f t="shared" si="34"/>
        <v>1000000</v>
      </c>
      <c r="K320" s="2634">
        <f t="shared" si="35"/>
        <v>0</v>
      </c>
      <c r="L320" s="2690"/>
    </row>
    <row r="321" spans="1:12" ht="30" customHeight="1" x14ac:dyDescent="0.2">
      <c r="A321" s="2692">
        <v>228</v>
      </c>
      <c r="B321" s="2690" t="s">
        <v>90</v>
      </c>
      <c r="C321" s="2660" t="s">
        <v>1219</v>
      </c>
      <c r="D321" s="2634">
        <v>10000000</v>
      </c>
      <c r="E321" s="2688">
        <v>0.04</v>
      </c>
      <c r="F321" s="2634">
        <f t="shared" si="29"/>
        <v>400000</v>
      </c>
      <c r="G321" s="2634">
        <v>400000</v>
      </c>
      <c r="H321" s="2634" t="s">
        <v>4184</v>
      </c>
      <c r="I321" s="30" t="s">
        <v>426</v>
      </c>
      <c r="J321" s="2634">
        <f t="shared" si="34"/>
        <v>400000</v>
      </c>
      <c r="K321" s="2634">
        <f t="shared" si="35"/>
        <v>0</v>
      </c>
      <c r="L321" s="2690"/>
    </row>
    <row r="322" spans="1:12" ht="30" customHeight="1" x14ac:dyDescent="0.2">
      <c r="A322" s="2623">
        <v>229</v>
      </c>
      <c r="B322" s="2626" t="s">
        <v>91</v>
      </c>
      <c r="C322" s="2660" t="s">
        <v>916</v>
      </c>
      <c r="D322" s="2634">
        <v>52000000</v>
      </c>
      <c r="E322" s="2688">
        <v>0.05</v>
      </c>
      <c r="F322" s="2634">
        <f t="shared" si="29"/>
        <v>2600000</v>
      </c>
      <c r="G322" s="2634">
        <v>2600000</v>
      </c>
      <c r="H322" s="2634" t="s">
        <v>4062</v>
      </c>
      <c r="I322" s="24" t="s">
        <v>4109</v>
      </c>
      <c r="J322" s="2634">
        <f t="shared" si="34"/>
        <v>2600000</v>
      </c>
      <c r="K322" s="2634">
        <f t="shared" si="35"/>
        <v>0</v>
      </c>
      <c r="L322" s="2690"/>
    </row>
    <row r="323" spans="1:12" ht="30" customHeight="1" x14ac:dyDescent="0.2">
      <c r="A323" s="3450"/>
      <c r="B323" s="3457" t="s">
        <v>92</v>
      </c>
      <c r="C323" s="3570" t="s">
        <v>1817</v>
      </c>
      <c r="D323" s="2622">
        <v>20000000</v>
      </c>
      <c r="E323" s="2688">
        <v>0.05</v>
      </c>
      <c r="F323" s="2622">
        <f t="shared" si="29"/>
        <v>1000000</v>
      </c>
      <c r="G323" s="2622">
        <v>750000</v>
      </c>
      <c r="H323" s="2622" t="s">
        <v>4133</v>
      </c>
      <c r="I323" s="2622" t="s">
        <v>459</v>
      </c>
      <c r="J323" s="2622">
        <f>G323</f>
        <v>750000</v>
      </c>
      <c r="K323" s="3442">
        <v>0</v>
      </c>
      <c r="L323" s="1715" t="s">
        <v>3624</v>
      </c>
    </row>
    <row r="324" spans="1:12" ht="30" customHeight="1" x14ac:dyDescent="0.2">
      <c r="A324" s="3456"/>
      <c r="B324" s="3459"/>
      <c r="C324" s="3576"/>
      <c r="D324" s="2622">
        <v>5000000</v>
      </c>
      <c r="E324" s="2688">
        <v>0.05</v>
      </c>
      <c r="F324" s="2622">
        <f t="shared" si="29"/>
        <v>250000</v>
      </c>
      <c r="G324" s="3442">
        <v>1538000</v>
      </c>
      <c r="H324" s="3442" t="s">
        <v>4133</v>
      </c>
      <c r="I324" s="3442" t="s">
        <v>459</v>
      </c>
      <c r="J324" s="3442">
        <f>G324</f>
        <v>1538000</v>
      </c>
      <c r="K324" s="3461"/>
      <c r="L324" s="1389" t="s">
        <v>4146</v>
      </c>
    </row>
    <row r="325" spans="1:12" ht="30" customHeight="1" x14ac:dyDescent="0.2">
      <c r="A325" s="3456"/>
      <c r="B325" s="3459"/>
      <c r="C325" s="3576"/>
      <c r="D325" s="2634">
        <v>5000000</v>
      </c>
      <c r="E325" s="2688">
        <v>0.05</v>
      </c>
      <c r="F325" s="2622">
        <f t="shared" si="29"/>
        <v>250000</v>
      </c>
      <c r="G325" s="3461"/>
      <c r="H325" s="3461"/>
      <c r="I325" s="3461"/>
      <c r="J325" s="3461"/>
      <c r="K325" s="3461"/>
      <c r="L325" s="1389" t="s">
        <v>4145</v>
      </c>
    </row>
    <row r="326" spans="1:12" ht="30" customHeight="1" x14ac:dyDescent="0.2">
      <c r="A326" s="3451"/>
      <c r="B326" s="3458"/>
      <c r="C326" s="3571"/>
      <c r="D326" s="2634">
        <v>5000000</v>
      </c>
      <c r="E326" s="2688">
        <v>0.05</v>
      </c>
      <c r="F326" s="2622">
        <f t="shared" si="29"/>
        <v>250000</v>
      </c>
      <c r="G326" s="3443"/>
      <c r="H326" s="3443"/>
      <c r="I326" s="3443"/>
      <c r="J326" s="3443"/>
      <c r="K326" s="3443"/>
      <c r="L326" s="1389" t="s">
        <v>4147</v>
      </c>
    </row>
    <row r="327" spans="1:12" ht="30" customHeight="1" x14ac:dyDescent="0.2">
      <c r="A327" s="3450">
        <v>231</v>
      </c>
      <c r="B327" s="3457" t="s">
        <v>93</v>
      </c>
      <c r="C327" s="3570" t="s">
        <v>1110</v>
      </c>
      <c r="D327" s="2634">
        <v>30000000</v>
      </c>
      <c r="E327" s="2631">
        <v>4.4999999999999998E-2</v>
      </c>
      <c r="F327" s="2634">
        <f t="shared" si="29"/>
        <v>1350000</v>
      </c>
      <c r="G327" s="2634">
        <v>1350000</v>
      </c>
      <c r="H327" s="2634" t="s">
        <v>2141</v>
      </c>
      <c r="I327" s="2718" t="s">
        <v>303</v>
      </c>
      <c r="J327" s="2634">
        <f t="shared" ref="J327:J344" si="36">G327</f>
        <v>1350000</v>
      </c>
      <c r="K327" s="2634">
        <f t="shared" ref="K327:K343" si="37">F327-J327</f>
        <v>0</v>
      </c>
      <c r="L327" s="2690"/>
    </row>
    <row r="328" spans="1:12" ht="30" customHeight="1" x14ac:dyDescent="0.2">
      <c r="A328" s="3451"/>
      <c r="B328" s="3458"/>
      <c r="C328" s="3571"/>
      <c r="D328" s="948">
        <v>20000000</v>
      </c>
      <c r="E328" s="2631">
        <v>4.4999999999999998E-2</v>
      </c>
      <c r="F328" s="2634">
        <f t="shared" si="29"/>
        <v>900000</v>
      </c>
      <c r="G328" s="2634"/>
      <c r="H328" s="2634"/>
      <c r="I328" s="57"/>
      <c r="J328" s="2634"/>
      <c r="K328" s="2634"/>
      <c r="L328" s="2333" t="s">
        <v>4360</v>
      </c>
    </row>
    <row r="329" spans="1:12" ht="30" customHeight="1" x14ac:dyDescent="0.2">
      <c r="A329" s="2692">
        <v>232</v>
      </c>
      <c r="B329" s="2690" t="s">
        <v>1695</v>
      </c>
      <c r="C329" s="2660" t="s">
        <v>1215</v>
      </c>
      <c r="D329" s="2634">
        <v>55000000</v>
      </c>
      <c r="E329" s="2688">
        <v>0.04</v>
      </c>
      <c r="F329" s="2634">
        <f t="shared" si="29"/>
        <v>2200000</v>
      </c>
      <c r="G329" s="2634">
        <v>2200000</v>
      </c>
      <c r="H329" s="2634" t="s">
        <v>4062</v>
      </c>
      <c r="I329" s="24" t="s">
        <v>1697</v>
      </c>
      <c r="J329" s="2634">
        <f t="shared" si="36"/>
        <v>2200000</v>
      </c>
      <c r="K329" s="2634">
        <f t="shared" si="37"/>
        <v>0</v>
      </c>
      <c r="L329" s="2690"/>
    </row>
    <row r="330" spans="1:12" ht="30" customHeight="1" x14ac:dyDescent="0.2">
      <c r="A330" s="2692">
        <v>233</v>
      </c>
      <c r="B330" s="2690" t="s">
        <v>280</v>
      </c>
      <c r="C330" s="2660" t="s">
        <v>380</v>
      </c>
      <c r="D330" s="2634">
        <v>50000000</v>
      </c>
      <c r="E330" s="2688">
        <v>0.05</v>
      </c>
      <c r="F330" s="2634">
        <f t="shared" si="29"/>
        <v>2500000</v>
      </c>
      <c r="G330" s="2634"/>
      <c r="H330" s="2634"/>
      <c r="I330" s="24" t="s">
        <v>278</v>
      </c>
      <c r="J330" s="2634">
        <f t="shared" si="36"/>
        <v>0</v>
      </c>
      <c r="K330" s="2634">
        <f t="shared" si="37"/>
        <v>2500000</v>
      </c>
      <c r="L330" s="2333" t="s">
        <v>279</v>
      </c>
    </row>
    <row r="331" spans="1:12" ht="30" customHeight="1" x14ac:dyDescent="0.2">
      <c r="A331" s="2692">
        <v>234</v>
      </c>
      <c r="B331" s="2686" t="s">
        <v>95</v>
      </c>
      <c r="C331" s="2689" t="s">
        <v>1348</v>
      </c>
      <c r="D331" s="2622">
        <v>400000000</v>
      </c>
      <c r="E331" s="2688">
        <f>F331/D331</f>
        <v>5.2499999999999998E-2</v>
      </c>
      <c r="F331" s="2622">
        <v>21000000</v>
      </c>
      <c r="G331" s="2622">
        <v>21000000</v>
      </c>
      <c r="H331" s="2622" t="s">
        <v>4105</v>
      </c>
      <c r="I331" s="2685" t="s">
        <v>518</v>
      </c>
      <c r="J331" s="2622">
        <f t="shared" si="36"/>
        <v>21000000</v>
      </c>
      <c r="K331" s="2634">
        <f t="shared" si="37"/>
        <v>0</v>
      </c>
      <c r="L331" s="2679"/>
    </row>
    <row r="332" spans="1:12" ht="30" customHeight="1" x14ac:dyDescent="0.2">
      <c r="A332" s="3450">
        <v>235</v>
      </c>
      <c r="B332" s="3457" t="s">
        <v>96</v>
      </c>
      <c r="C332" s="3686" t="s">
        <v>1215</v>
      </c>
      <c r="D332" s="3442">
        <v>60000000</v>
      </c>
      <c r="E332" s="3444">
        <v>0.05</v>
      </c>
      <c r="F332" s="3442">
        <f t="shared" si="29"/>
        <v>3000000</v>
      </c>
      <c r="G332" s="3575">
        <v>3000000</v>
      </c>
      <c r="H332" s="3575" t="s">
        <v>4105</v>
      </c>
      <c r="I332" s="3546" t="s">
        <v>1977</v>
      </c>
      <c r="J332" s="3442">
        <f t="shared" si="36"/>
        <v>3000000</v>
      </c>
      <c r="K332" s="3442">
        <f t="shared" si="37"/>
        <v>0</v>
      </c>
      <c r="L332" s="683" t="s">
        <v>3710</v>
      </c>
    </row>
    <row r="333" spans="1:12" ht="30" customHeight="1" x14ac:dyDescent="0.2">
      <c r="A333" s="3456"/>
      <c r="B333" s="3458"/>
      <c r="C333" s="3686"/>
      <c r="D333" s="3443"/>
      <c r="E333" s="3445"/>
      <c r="F333" s="3443"/>
      <c r="G333" s="3575"/>
      <c r="H333" s="3575"/>
      <c r="I333" s="3548"/>
      <c r="J333" s="3443"/>
      <c r="K333" s="3443"/>
      <c r="L333" s="2680" t="s">
        <v>3519</v>
      </c>
    </row>
    <row r="334" spans="1:12" ht="30" customHeight="1" x14ac:dyDescent="0.2">
      <c r="A334" s="2692">
        <v>236</v>
      </c>
      <c r="B334" s="2690" t="s">
        <v>97</v>
      </c>
      <c r="C334" s="2660"/>
      <c r="D334" s="2634">
        <v>20000000</v>
      </c>
      <c r="E334" s="2688">
        <v>0.05</v>
      </c>
      <c r="F334" s="2634">
        <f>D334*E334</f>
        <v>1000000</v>
      </c>
      <c r="G334" s="2634">
        <v>1000000</v>
      </c>
      <c r="H334" s="2634" t="s">
        <v>4216</v>
      </c>
      <c r="I334" s="2664" t="s">
        <v>340</v>
      </c>
      <c r="J334" s="2634">
        <f t="shared" si="36"/>
        <v>1000000</v>
      </c>
      <c r="K334" s="2634">
        <f t="shared" si="37"/>
        <v>0</v>
      </c>
      <c r="L334" s="2333" t="s">
        <v>2819</v>
      </c>
    </row>
    <row r="335" spans="1:12" ht="30" customHeight="1" x14ac:dyDescent="0.2">
      <c r="A335" s="3450">
        <v>237</v>
      </c>
      <c r="B335" s="3457" t="s">
        <v>98</v>
      </c>
      <c r="C335" s="3570" t="s">
        <v>1817</v>
      </c>
      <c r="D335" s="2634">
        <v>62500000</v>
      </c>
      <c r="E335" s="2688">
        <v>4.8000000000000001E-2</v>
      </c>
      <c r="F335" s="2634">
        <f t="shared" si="29"/>
        <v>3000000</v>
      </c>
      <c r="G335" s="2634">
        <v>3000000</v>
      </c>
      <c r="H335" s="2634" t="s">
        <v>4105</v>
      </c>
      <c r="I335" s="24" t="s">
        <v>3609</v>
      </c>
      <c r="J335" s="2634">
        <f t="shared" si="36"/>
        <v>3000000</v>
      </c>
      <c r="K335" s="2634">
        <f t="shared" si="37"/>
        <v>0</v>
      </c>
      <c r="L335" s="2680"/>
    </row>
    <row r="336" spans="1:12" ht="30" customHeight="1" x14ac:dyDescent="0.2">
      <c r="A336" s="3456"/>
      <c r="B336" s="3459"/>
      <c r="C336" s="3576"/>
      <c r="D336" s="2634">
        <v>5000000</v>
      </c>
      <c r="E336" s="2688">
        <v>0.05</v>
      </c>
      <c r="F336" s="2634">
        <f>D336*E336</f>
        <v>250000</v>
      </c>
      <c r="G336" s="3478" t="s">
        <v>4492</v>
      </c>
      <c r="H336" s="3479"/>
      <c r="I336" s="3479"/>
      <c r="J336" s="3480"/>
      <c r="K336" s="2634"/>
      <c r="L336" s="2680" t="s">
        <v>4149</v>
      </c>
    </row>
    <row r="337" spans="1:14" ht="30" customHeight="1" x14ac:dyDescent="0.2">
      <c r="A337" s="3451"/>
      <c r="B337" s="3458"/>
      <c r="C337" s="3571"/>
      <c r="D337" s="2634">
        <v>10500000</v>
      </c>
      <c r="E337" s="2688">
        <v>0.05</v>
      </c>
      <c r="F337" s="2634">
        <f>D337*E337</f>
        <v>525000</v>
      </c>
      <c r="G337" s="3478" t="s">
        <v>4493</v>
      </c>
      <c r="H337" s="3479"/>
      <c r="I337" s="3479"/>
      <c r="J337" s="3480"/>
      <c r="K337" s="2634"/>
      <c r="L337" s="2643" t="s">
        <v>4151</v>
      </c>
    </row>
    <row r="338" spans="1:14" ht="30" customHeight="1" x14ac:dyDescent="0.2">
      <c r="A338" s="3450"/>
      <c r="B338" s="2627" t="s">
        <v>98</v>
      </c>
      <c r="C338" s="3570" t="s">
        <v>1817</v>
      </c>
      <c r="D338" s="2634">
        <v>55000000</v>
      </c>
      <c r="E338" s="2688">
        <v>0.05</v>
      </c>
      <c r="F338" s="2634">
        <f>D338*E338</f>
        <v>2750000</v>
      </c>
      <c r="G338" s="2706"/>
      <c r="H338" s="2706"/>
      <c r="I338" s="2706"/>
      <c r="J338" s="2706"/>
      <c r="K338" s="2634"/>
      <c r="L338" s="2642" t="s">
        <v>4020</v>
      </c>
    </row>
    <row r="339" spans="1:14" ht="30" customHeight="1" x14ac:dyDescent="0.2">
      <c r="A339" s="3451"/>
      <c r="B339" s="2627" t="s">
        <v>2137</v>
      </c>
      <c r="C339" s="3571"/>
      <c r="D339" s="2634">
        <v>50000000</v>
      </c>
      <c r="E339" s="2688">
        <v>0.05</v>
      </c>
      <c r="F339" s="2634">
        <f>D339*E339</f>
        <v>2500000</v>
      </c>
      <c r="G339" s="2706"/>
      <c r="H339" s="2706"/>
      <c r="I339" s="2706"/>
      <c r="J339" s="2706"/>
      <c r="K339" s="2634"/>
      <c r="L339" s="2642" t="s">
        <v>4020</v>
      </c>
    </row>
    <row r="340" spans="1:14" ht="30" customHeight="1" x14ac:dyDescent="0.2">
      <c r="A340" s="2625"/>
      <c r="B340" s="2627" t="s">
        <v>4148</v>
      </c>
      <c r="C340" s="2660" t="s">
        <v>265</v>
      </c>
      <c r="D340" s="2634">
        <v>10000000</v>
      </c>
      <c r="E340" s="2688">
        <v>0.05</v>
      </c>
      <c r="F340" s="2634">
        <f>D340*E340</f>
        <v>500000</v>
      </c>
      <c r="G340" s="3478" t="s">
        <v>4494</v>
      </c>
      <c r="H340" s="3479"/>
      <c r="I340" s="3479"/>
      <c r="J340" s="3480"/>
      <c r="K340" s="2634"/>
      <c r="L340" s="2642" t="s">
        <v>4150</v>
      </c>
    </row>
    <row r="341" spans="1:14" ht="30" customHeight="1" x14ac:dyDescent="0.2">
      <c r="A341" s="2692">
        <v>238</v>
      </c>
      <c r="B341" s="2690" t="s">
        <v>99</v>
      </c>
      <c r="C341" s="2660" t="s">
        <v>1219</v>
      </c>
      <c r="D341" s="2634">
        <v>100000000</v>
      </c>
      <c r="E341" s="2688">
        <v>0.05</v>
      </c>
      <c r="F341" s="2634">
        <f t="shared" si="29"/>
        <v>5000000</v>
      </c>
      <c r="G341" s="2634">
        <v>5000000</v>
      </c>
      <c r="H341" s="2634" t="s">
        <v>4105</v>
      </c>
      <c r="I341" s="21" t="s">
        <v>3628</v>
      </c>
      <c r="J341" s="2634">
        <f t="shared" si="36"/>
        <v>5000000</v>
      </c>
      <c r="K341" s="2634">
        <f t="shared" si="37"/>
        <v>0</v>
      </c>
      <c r="L341" s="2690"/>
    </row>
    <row r="342" spans="1:14" ht="30" customHeight="1" x14ac:dyDescent="0.2">
      <c r="A342" s="2692">
        <v>239</v>
      </c>
      <c r="B342" s="2690" t="s">
        <v>100</v>
      </c>
      <c r="C342" s="2660" t="s">
        <v>380</v>
      </c>
      <c r="D342" s="2634">
        <v>50000000</v>
      </c>
      <c r="E342" s="2688">
        <v>0.05</v>
      </c>
      <c r="F342" s="2634">
        <f t="shared" si="29"/>
        <v>2500000</v>
      </c>
      <c r="G342" s="2634">
        <v>2500000</v>
      </c>
      <c r="H342" s="2634" t="s">
        <v>4184</v>
      </c>
      <c r="I342" s="24" t="s">
        <v>1996</v>
      </c>
      <c r="J342" s="2634">
        <f t="shared" si="36"/>
        <v>2500000</v>
      </c>
      <c r="K342" s="2634">
        <f t="shared" si="37"/>
        <v>0</v>
      </c>
      <c r="L342" s="2690"/>
    </row>
    <row r="343" spans="1:14" ht="30" customHeight="1" x14ac:dyDescent="0.2">
      <c r="A343" s="2623">
        <v>240</v>
      </c>
      <c r="B343" s="2686" t="s">
        <v>2404</v>
      </c>
      <c r="C343" s="385" t="s">
        <v>1019</v>
      </c>
      <c r="D343" s="2632">
        <v>100000000</v>
      </c>
      <c r="E343" s="2629">
        <v>0.04</v>
      </c>
      <c r="F343" s="2632">
        <f t="shared" si="29"/>
        <v>4000000</v>
      </c>
      <c r="G343" s="2634">
        <v>4000000</v>
      </c>
      <c r="H343" s="2634" t="s">
        <v>4276</v>
      </c>
      <c r="I343" s="24" t="s">
        <v>3914</v>
      </c>
      <c r="J343" s="2634">
        <f t="shared" si="36"/>
        <v>4000000</v>
      </c>
      <c r="K343" s="2634">
        <f t="shared" si="37"/>
        <v>0</v>
      </c>
      <c r="L343" s="2715"/>
    </row>
    <row r="344" spans="1:14" ht="30" customHeight="1" x14ac:dyDescent="0.2">
      <c r="A344" s="3693">
        <v>241</v>
      </c>
      <c r="B344" s="3687" t="s">
        <v>573</v>
      </c>
      <c r="C344" s="3686" t="s">
        <v>1909</v>
      </c>
      <c r="D344" s="2622">
        <v>20000000</v>
      </c>
      <c r="E344" s="2688">
        <v>7.0000000000000007E-2</v>
      </c>
      <c r="F344" s="2622">
        <f>D344*E344</f>
        <v>1400000.0000000002</v>
      </c>
      <c r="G344" s="3442"/>
      <c r="H344" s="3442"/>
      <c r="I344" s="3586" t="s">
        <v>571</v>
      </c>
      <c r="J344" s="3442">
        <f t="shared" si="36"/>
        <v>0</v>
      </c>
      <c r="K344" s="3442">
        <f>(F344+F345)-J344</f>
        <v>2300000</v>
      </c>
      <c r="L344" s="3653"/>
    </row>
    <row r="345" spans="1:14" ht="30" customHeight="1" x14ac:dyDescent="0.2">
      <c r="A345" s="3693"/>
      <c r="B345" s="3687"/>
      <c r="C345" s="3686"/>
      <c r="D345" s="2622">
        <v>10000000</v>
      </c>
      <c r="E345" s="2688">
        <v>0.09</v>
      </c>
      <c r="F345" s="2622">
        <f>D345*E345</f>
        <v>900000</v>
      </c>
      <c r="G345" s="3443"/>
      <c r="H345" s="3443"/>
      <c r="I345" s="3587"/>
      <c r="J345" s="3443"/>
      <c r="K345" s="3443"/>
      <c r="L345" s="3453"/>
    </row>
    <row r="346" spans="1:14" ht="30" customHeight="1" x14ac:dyDescent="0.2">
      <c r="A346" s="2692">
        <v>242</v>
      </c>
      <c r="B346" s="2690" t="s">
        <v>102</v>
      </c>
      <c r="C346" s="2660" t="s">
        <v>1746</v>
      </c>
      <c r="D346" s="2634">
        <v>140000000</v>
      </c>
      <c r="E346" s="2631">
        <v>4.4999999999999998E-2</v>
      </c>
      <c r="F346" s="2634">
        <f t="shared" si="29"/>
        <v>6300000</v>
      </c>
      <c r="G346" s="2634">
        <v>6300000</v>
      </c>
      <c r="H346" s="2634" t="s">
        <v>4105</v>
      </c>
      <c r="I346" s="24" t="s">
        <v>3629</v>
      </c>
      <c r="J346" s="2634">
        <f>G346</f>
        <v>6300000</v>
      </c>
      <c r="K346" s="2634">
        <f t="shared" ref="K346:K358" si="38">F346-J346</f>
        <v>0</v>
      </c>
      <c r="L346" s="2715"/>
    </row>
    <row r="347" spans="1:14" ht="30" customHeight="1" x14ac:dyDescent="0.2">
      <c r="A347" s="2692">
        <v>243</v>
      </c>
      <c r="B347" s="22" t="s">
        <v>519</v>
      </c>
      <c r="C347" s="2689" t="s">
        <v>265</v>
      </c>
      <c r="D347" s="2622">
        <v>20000000</v>
      </c>
      <c r="E347" s="2688">
        <v>0.04</v>
      </c>
      <c r="F347" s="2622">
        <f>D347*E347</f>
        <v>800000</v>
      </c>
      <c r="G347" s="2622">
        <v>800000</v>
      </c>
      <c r="H347" s="2622" t="s">
        <v>4133</v>
      </c>
      <c r="I347" s="2622" t="s">
        <v>3702</v>
      </c>
      <c r="J347" s="2622">
        <f>G347</f>
        <v>800000</v>
      </c>
      <c r="K347" s="2622">
        <f t="shared" si="38"/>
        <v>0</v>
      </c>
      <c r="L347" s="2715"/>
      <c r="M347" s="264"/>
      <c r="N347" s="264"/>
    </row>
    <row r="348" spans="1:14" ht="30" customHeight="1" x14ac:dyDescent="0.2">
      <c r="A348" s="2692">
        <v>244</v>
      </c>
      <c r="B348" s="2627" t="s">
        <v>103</v>
      </c>
      <c r="C348" s="2660" t="s">
        <v>380</v>
      </c>
      <c r="D348" s="2634">
        <v>50000000</v>
      </c>
      <c r="E348" s="2688">
        <v>0.05</v>
      </c>
      <c r="F348" s="2634">
        <f t="shared" si="29"/>
        <v>2500000</v>
      </c>
      <c r="G348" s="2634">
        <v>2500000</v>
      </c>
      <c r="H348" s="2634" t="s">
        <v>4133</v>
      </c>
      <c r="I348" s="24" t="s">
        <v>3666</v>
      </c>
      <c r="J348" s="2634">
        <f>G348</f>
        <v>2500000</v>
      </c>
      <c r="K348" s="2634">
        <f t="shared" si="38"/>
        <v>0</v>
      </c>
      <c r="L348" s="2690"/>
    </row>
    <row r="349" spans="1:14" ht="30" customHeight="1" x14ac:dyDescent="0.2">
      <c r="A349" s="2692">
        <v>245</v>
      </c>
      <c r="B349" s="2690" t="s">
        <v>4199</v>
      </c>
      <c r="C349" s="2660" t="s">
        <v>265</v>
      </c>
      <c r="D349" s="2634">
        <v>70000000</v>
      </c>
      <c r="E349" s="2688">
        <v>0.05</v>
      </c>
      <c r="F349" s="2634">
        <f t="shared" si="29"/>
        <v>3500000</v>
      </c>
      <c r="G349" s="2634">
        <v>3500000</v>
      </c>
      <c r="H349" s="2634" t="s">
        <v>4201</v>
      </c>
      <c r="I349" s="2663" t="s">
        <v>4205</v>
      </c>
      <c r="J349" s="2634">
        <f>G349</f>
        <v>3500000</v>
      </c>
      <c r="K349" s="2634">
        <f t="shared" si="38"/>
        <v>0</v>
      </c>
      <c r="L349" s="2694" t="s">
        <v>4197</v>
      </c>
    </row>
    <row r="350" spans="1:14" ht="30" customHeight="1" x14ac:dyDescent="0.2">
      <c r="A350" s="2692">
        <v>246</v>
      </c>
      <c r="B350" s="2690" t="s">
        <v>105</v>
      </c>
      <c r="C350" s="2660" t="s">
        <v>265</v>
      </c>
      <c r="D350" s="2634">
        <v>85000000</v>
      </c>
      <c r="E350" s="2688">
        <v>5.0999999999999997E-2</v>
      </c>
      <c r="F350" s="2634">
        <v>4300000</v>
      </c>
      <c r="G350" s="2634">
        <v>4300000</v>
      </c>
      <c r="H350" s="2634" t="s">
        <v>4184</v>
      </c>
      <c r="I350" s="31" t="s">
        <v>2998</v>
      </c>
      <c r="J350" s="2634">
        <f t="shared" ref="J350:J359" si="39">G350</f>
        <v>4300000</v>
      </c>
      <c r="K350" s="2634">
        <f t="shared" si="38"/>
        <v>0</v>
      </c>
      <c r="L350" s="2690"/>
    </row>
    <row r="351" spans="1:14" ht="30" customHeight="1" x14ac:dyDescent="0.2">
      <c r="A351" s="2692">
        <v>247</v>
      </c>
      <c r="B351" s="2690" t="s">
        <v>106</v>
      </c>
      <c r="C351" s="2660" t="s">
        <v>265</v>
      </c>
      <c r="D351" s="2634">
        <v>220000000</v>
      </c>
      <c r="E351" s="2688">
        <v>7.0000000000000007E-2</v>
      </c>
      <c r="F351" s="2634">
        <f t="shared" si="29"/>
        <v>15400000.000000002</v>
      </c>
      <c r="G351" s="2634">
        <v>15400000</v>
      </c>
      <c r="H351" s="2634" t="s">
        <v>4184</v>
      </c>
      <c r="I351" s="24" t="s">
        <v>4232</v>
      </c>
      <c r="J351" s="2634">
        <f t="shared" si="39"/>
        <v>15400000</v>
      </c>
      <c r="K351" s="2634">
        <f t="shared" si="38"/>
        <v>0</v>
      </c>
      <c r="L351" s="2715" t="s">
        <v>347</v>
      </c>
      <c r="M351" s="911"/>
      <c r="N351" s="912"/>
    </row>
    <row r="352" spans="1:14" ht="30" customHeight="1" x14ac:dyDescent="0.2">
      <c r="A352" s="3450">
        <v>250</v>
      </c>
      <c r="B352" s="3457" t="s">
        <v>109</v>
      </c>
      <c r="C352" s="3570"/>
      <c r="D352" s="2634">
        <v>200000000</v>
      </c>
      <c r="E352" s="2688">
        <v>0.04</v>
      </c>
      <c r="F352" s="2634">
        <f t="shared" si="29"/>
        <v>8000000</v>
      </c>
      <c r="G352" s="3903" t="s">
        <v>3024</v>
      </c>
      <c r="H352" s="3904"/>
      <c r="I352" s="3904"/>
      <c r="J352" s="3905"/>
      <c r="K352" s="2634">
        <f t="shared" si="38"/>
        <v>8000000</v>
      </c>
      <c r="L352" s="2690"/>
    </row>
    <row r="353" spans="1:15" ht="30" customHeight="1" x14ac:dyDescent="0.2">
      <c r="A353" s="3456"/>
      <c r="B353" s="3459"/>
      <c r="C353" s="3576"/>
      <c r="D353" s="2634">
        <v>110000000</v>
      </c>
      <c r="E353" s="2688">
        <v>0.05</v>
      </c>
      <c r="F353" s="2634">
        <f t="shared" si="29"/>
        <v>5500000</v>
      </c>
      <c r="G353" s="3478" t="s">
        <v>3825</v>
      </c>
      <c r="H353" s="3479"/>
      <c r="I353" s="3479"/>
      <c r="J353" s="3480"/>
      <c r="K353" s="2634">
        <f t="shared" si="38"/>
        <v>5500000</v>
      </c>
      <c r="L353" s="2706"/>
    </row>
    <row r="354" spans="1:15" ht="30" customHeight="1" x14ac:dyDescent="0.2">
      <c r="A354" s="3456"/>
      <c r="B354" s="3459"/>
      <c r="C354" s="3576"/>
      <c r="D354" s="2634">
        <v>26500000</v>
      </c>
      <c r="E354" s="2688"/>
      <c r="F354" s="2634"/>
      <c r="G354" s="3478" t="s">
        <v>4510</v>
      </c>
      <c r="H354" s="3479"/>
      <c r="I354" s="3479"/>
      <c r="J354" s="3480"/>
      <c r="K354" s="2634"/>
      <c r="L354" s="2706"/>
    </row>
    <row r="355" spans="1:15" ht="30" customHeight="1" x14ac:dyDescent="0.2">
      <c r="A355" s="3451"/>
      <c r="B355" s="3458"/>
      <c r="C355" s="3571"/>
      <c r="D355" s="2634">
        <v>100000000</v>
      </c>
      <c r="E355" s="2688"/>
      <c r="F355" s="2634"/>
      <c r="G355" s="3478" t="s">
        <v>4511</v>
      </c>
      <c r="H355" s="3479"/>
      <c r="I355" s="3479"/>
      <c r="J355" s="3480"/>
      <c r="K355" s="2634"/>
      <c r="L355" s="2706"/>
    </row>
    <row r="356" spans="1:15" ht="30" customHeight="1" x14ac:dyDescent="0.2">
      <c r="A356" s="3450">
        <v>251</v>
      </c>
      <c r="B356" s="3525" t="s">
        <v>1944</v>
      </c>
      <c r="C356" s="3570" t="s">
        <v>379</v>
      </c>
      <c r="D356" s="3090">
        <v>90000000</v>
      </c>
      <c r="E356" s="3101">
        <v>0.06</v>
      </c>
      <c r="F356" s="3090">
        <f t="shared" si="29"/>
        <v>5400000</v>
      </c>
      <c r="G356" s="3090">
        <v>5400000</v>
      </c>
      <c r="H356" s="3090" t="s">
        <v>4177</v>
      </c>
      <c r="I356" s="24" t="s">
        <v>2972</v>
      </c>
      <c r="J356" s="3092">
        <f t="shared" si="39"/>
        <v>5400000</v>
      </c>
      <c r="K356" s="3092">
        <f t="shared" si="38"/>
        <v>0</v>
      </c>
      <c r="L356" s="2706"/>
    </row>
    <row r="357" spans="1:15" ht="30" customHeight="1" x14ac:dyDescent="0.2">
      <c r="A357" s="3451"/>
      <c r="B357" s="3526"/>
      <c r="C357" s="3571"/>
      <c r="D357" s="3092">
        <v>100000000</v>
      </c>
      <c r="E357" s="3093">
        <v>7.0000000000000007E-2</v>
      </c>
      <c r="F357" s="3092">
        <f>D357*E357</f>
        <v>7000000.0000000009</v>
      </c>
      <c r="G357" s="3478" t="s">
        <v>4806</v>
      </c>
      <c r="H357" s="3479"/>
      <c r="I357" s="3479"/>
      <c r="J357" s="3480"/>
      <c r="K357" s="3092"/>
      <c r="L357" s="3097"/>
    </row>
    <row r="358" spans="1:15" ht="30" customHeight="1" x14ac:dyDescent="0.2">
      <c r="A358" s="2692">
        <v>252</v>
      </c>
      <c r="B358" s="2627" t="s">
        <v>111</v>
      </c>
      <c r="C358" s="2660" t="s">
        <v>265</v>
      </c>
      <c r="D358" s="2634">
        <v>270000000</v>
      </c>
      <c r="E358" s="2631">
        <v>0.05</v>
      </c>
      <c r="F358" s="2634">
        <f>D358*E358</f>
        <v>13500000</v>
      </c>
      <c r="G358" s="2634">
        <v>13500000</v>
      </c>
      <c r="H358" s="2634" t="s">
        <v>4156</v>
      </c>
      <c r="I358" s="24" t="s">
        <v>1923</v>
      </c>
      <c r="J358" s="2634">
        <f t="shared" si="39"/>
        <v>13500000</v>
      </c>
      <c r="K358" s="2634">
        <f t="shared" si="38"/>
        <v>0</v>
      </c>
      <c r="L358" s="2626"/>
    </row>
    <row r="359" spans="1:15" ht="30" customHeight="1" x14ac:dyDescent="0.2">
      <c r="A359" s="3450">
        <v>253</v>
      </c>
      <c r="B359" s="3457" t="s">
        <v>112</v>
      </c>
      <c r="C359" s="3570" t="s">
        <v>265</v>
      </c>
      <c r="D359" s="2634">
        <v>20000000</v>
      </c>
      <c r="E359" s="2688">
        <v>0.05</v>
      </c>
      <c r="F359" s="2634">
        <f t="shared" si="29"/>
        <v>1000000</v>
      </c>
      <c r="G359" s="3442">
        <v>2000000</v>
      </c>
      <c r="H359" s="3442" t="s">
        <v>4156</v>
      </c>
      <c r="I359" s="3589" t="s">
        <v>3675</v>
      </c>
      <c r="J359" s="3442">
        <f t="shared" si="39"/>
        <v>2000000</v>
      </c>
      <c r="K359" s="3442">
        <f>(F359+F360)-J359</f>
        <v>0</v>
      </c>
      <c r="L359" s="2706" t="s">
        <v>1975</v>
      </c>
      <c r="M359" s="1228"/>
      <c r="N359" s="1228"/>
      <c r="O359" s="1228"/>
    </row>
    <row r="360" spans="1:15" ht="30" customHeight="1" x14ac:dyDescent="0.2">
      <c r="A360" s="3451"/>
      <c r="B360" s="3458"/>
      <c r="C360" s="3571"/>
      <c r="D360" s="2634">
        <v>20000000</v>
      </c>
      <c r="E360" s="2688">
        <v>0.05</v>
      </c>
      <c r="F360" s="2634">
        <f t="shared" si="29"/>
        <v>1000000</v>
      </c>
      <c r="G360" s="3443"/>
      <c r="H360" s="3443"/>
      <c r="I360" s="3591"/>
      <c r="J360" s="3443"/>
      <c r="K360" s="3443"/>
      <c r="L360" s="2706" t="s">
        <v>1989</v>
      </c>
      <c r="M360" s="264"/>
      <c r="N360" s="264"/>
      <c r="O360" s="264"/>
    </row>
    <row r="361" spans="1:15" ht="30" customHeight="1" x14ac:dyDescent="0.2">
      <c r="A361" s="2623">
        <v>254</v>
      </c>
      <c r="B361" s="2686" t="s">
        <v>2013</v>
      </c>
      <c r="C361" s="2689" t="s">
        <v>379</v>
      </c>
      <c r="D361" s="2634">
        <v>175000000</v>
      </c>
      <c r="E361" s="2688">
        <v>0.05</v>
      </c>
      <c r="F361" s="2634">
        <f t="shared" si="29"/>
        <v>8750000</v>
      </c>
      <c r="G361" s="2622">
        <v>8960000</v>
      </c>
      <c r="H361" s="2622" t="s">
        <v>4216</v>
      </c>
      <c r="I361" s="2622" t="s">
        <v>3081</v>
      </c>
      <c r="J361" s="2634">
        <f>G361</f>
        <v>8960000</v>
      </c>
      <c r="K361" s="2634">
        <f>F361-J361</f>
        <v>-210000</v>
      </c>
      <c r="L361" s="2706" t="s">
        <v>4092</v>
      </c>
      <c r="M361" s="1716"/>
      <c r="N361" s="1716"/>
      <c r="O361" s="1716"/>
    </row>
    <row r="362" spans="1:15" ht="30" customHeight="1" x14ac:dyDescent="0.2">
      <c r="A362" s="2692">
        <v>255</v>
      </c>
      <c r="B362" s="2690" t="s">
        <v>115</v>
      </c>
      <c r="C362" s="2660" t="s">
        <v>265</v>
      </c>
      <c r="D362" s="2634">
        <v>40000000</v>
      </c>
      <c r="E362" s="2688">
        <v>0.05</v>
      </c>
      <c r="F362" s="2634">
        <f t="shared" si="29"/>
        <v>2000000</v>
      </c>
      <c r="G362" s="2634">
        <v>2000000</v>
      </c>
      <c r="H362" s="2634" t="s">
        <v>4216</v>
      </c>
      <c r="I362" s="21" t="s">
        <v>3676</v>
      </c>
      <c r="J362" s="2634">
        <f>G362</f>
        <v>2000000</v>
      </c>
      <c r="K362" s="2634">
        <f>F362-J362</f>
        <v>0</v>
      </c>
      <c r="L362" s="2690"/>
    </row>
    <row r="363" spans="1:15" ht="30" customHeight="1" x14ac:dyDescent="0.2">
      <c r="A363" s="2692">
        <v>256</v>
      </c>
      <c r="B363" s="2690" t="s">
        <v>116</v>
      </c>
      <c r="C363" s="2660" t="s">
        <v>379</v>
      </c>
      <c r="D363" s="2634">
        <v>100000000</v>
      </c>
      <c r="E363" s="2688">
        <v>0.05</v>
      </c>
      <c r="F363" s="2634">
        <f t="shared" si="29"/>
        <v>5000000</v>
      </c>
      <c r="G363" s="2634">
        <v>5000000</v>
      </c>
      <c r="H363" s="2634" t="s">
        <v>4156</v>
      </c>
      <c r="I363" s="21" t="s">
        <v>337</v>
      </c>
      <c r="J363" s="2634">
        <f>G363</f>
        <v>5000000</v>
      </c>
      <c r="K363" s="2634">
        <f>F363-J363</f>
        <v>0</v>
      </c>
      <c r="L363" s="2690"/>
    </row>
    <row r="364" spans="1:15" ht="30" customHeight="1" x14ac:dyDescent="0.2">
      <c r="A364" s="2692">
        <v>257</v>
      </c>
      <c r="B364" s="2690" t="s">
        <v>117</v>
      </c>
      <c r="C364" s="2660" t="s">
        <v>1347</v>
      </c>
      <c r="D364" s="2634">
        <v>30000000</v>
      </c>
      <c r="E364" s="2688">
        <v>0.05</v>
      </c>
      <c r="F364" s="2634">
        <f t="shared" si="29"/>
        <v>1500000</v>
      </c>
      <c r="G364" s="2634">
        <v>1500000</v>
      </c>
      <c r="H364" s="2634" t="s">
        <v>4201</v>
      </c>
      <c r="I364" s="24" t="s">
        <v>492</v>
      </c>
      <c r="J364" s="2634">
        <f>G364</f>
        <v>1500000</v>
      </c>
      <c r="K364" s="2634">
        <f>F364-J364</f>
        <v>0</v>
      </c>
      <c r="L364" s="2690"/>
    </row>
    <row r="365" spans="1:15" ht="30" customHeight="1" x14ac:dyDescent="0.2">
      <c r="A365" s="2692">
        <v>258</v>
      </c>
      <c r="B365" s="2690" t="s">
        <v>876</v>
      </c>
      <c r="C365" s="2660" t="s">
        <v>265</v>
      </c>
      <c r="D365" s="2634">
        <v>12000000</v>
      </c>
      <c r="E365" s="2688">
        <v>0.05</v>
      </c>
      <c r="F365" s="2634">
        <f t="shared" si="29"/>
        <v>600000</v>
      </c>
      <c r="G365" s="3442">
        <v>1600000</v>
      </c>
      <c r="H365" s="3442" t="s">
        <v>4216</v>
      </c>
      <c r="I365" s="3586" t="s">
        <v>485</v>
      </c>
      <c r="J365" s="3442">
        <f>G365</f>
        <v>1600000</v>
      </c>
      <c r="K365" s="3442">
        <f>(F365+F366)-J365</f>
        <v>0</v>
      </c>
      <c r="L365" s="3525"/>
    </row>
    <row r="366" spans="1:15" ht="30" customHeight="1" x14ac:dyDescent="0.2">
      <c r="A366" s="2692">
        <v>259</v>
      </c>
      <c r="B366" s="2690" t="s">
        <v>159</v>
      </c>
      <c r="C366" s="2660" t="s">
        <v>265</v>
      </c>
      <c r="D366" s="2634">
        <v>20000000</v>
      </c>
      <c r="E366" s="2688">
        <v>0.05</v>
      </c>
      <c r="F366" s="2634">
        <f>D366*E366</f>
        <v>1000000</v>
      </c>
      <c r="G366" s="3443"/>
      <c r="H366" s="3443"/>
      <c r="I366" s="3587"/>
      <c r="J366" s="3443"/>
      <c r="K366" s="3443"/>
      <c r="L366" s="3526"/>
    </row>
    <row r="367" spans="1:15" ht="30" customHeight="1" x14ac:dyDescent="0.2">
      <c r="A367" s="3450">
        <v>261</v>
      </c>
      <c r="B367" s="3457" t="s">
        <v>120</v>
      </c>
      <c r="C367" s="2660" t="s">
        <v>1355</v>
      </c>
      <c r="D367" s="2634">
        <v>10500000</v>
      </c>
      <c r="E367" s="2688">
        <v>0.05</v>
      </c>
      <c r="F367" s="2634">
        <f t="shared" si="29"/>
        <v>525000</v>
      </c>
      <c r="G367" s="2622"/>
      <c r="H367" s="2622"/>
      <c r="I367" s="21" t="s">
        <v>3809</v>
      </c>
      <c r="J367" s="2622">
        <f t="shared" ref="J367:J372" si="40">G367</f>
        <v>0</v>
      </c>
      <c r="K367" s="2634">
        <f>F367-J367</f>
        <v>525000</v>
      </c>
      <c r="L367" s="2706"/>
    </row>
    <row r="368" spans="1:15" ht="30" customHeight="1" x14ac:dyDescent="0.2">
      <c r="A368" s="3456"/>
      <c r="B368" s="3459"/>
      <c r="C368" s="2660" t="s">
        <v>3458</v>
      </c>
      <c r="D368" s="2634">
        <v>10000000</v>
      </c>
      <c r="E368" s="2688">
        <v>7.0000000000000007E-2</v>
      </c>
      <c r="F368" s="2634">
        <f>D368*E368</f>
        <v>700000.00000000012</v>
      </c>
      <c r="G368" s="2622"/>
      <c r="H368" s="2622"/>
      <c r="I368" s="21" t="s">
        <v>423</v>
      </c>
      <c r="J368" s="2622">
        <f t="shared" si="40"/>
        <v>0</v>
      </c>
      <c r="K368" s="2634"/>
      <c r="L368" s="2672"/>
    </row>
    <row r="369" spans="1:15" ht="30" customHeight="1" x14ac:dyDescent="0.2">
      <c r="A369" s="3456"/>
      <c r="B369" s="3459"/>
      <c r="C369" s="2660" t="s">
        <v>265</v>
      </c>
      <c r="D369" s="2634">
        <v>5000000</v>
      </c>
      <c r="E369" s="2688">
        <v>7.0000000000000007E-2</v>
      </c>
      <c r="F369" s="2634">
        <f>D369*E369</f>
        <v>350000.00000000006</v>
      </c>
      <c r="G369" s="2622"/>
      <c r="H369" s="2622"/>
      <c r="I369" s="21" t="s">
        <v>423</v>
      </c>
      <c r="J369" s="2622">
        <f t="shared" si="40"/>
        <v>0</v>
      </c>
      <c r="K369" s="2634">
        <f>F369-J369</f>
        <v>350000.00000000006</v>
      </c>
      <c r="L369" s="2672"/>
    </row>
    <row r="370" spans="1:15" ht="30" customHeight="1" x14ac:dyDescent="0.2">
      <c r="A370" s="3451"/>
      <c r="B370" s="3458"/>
      <c r="C370" s="2660"/>
      <c r="D370" s="2634"/>
      <c r="E370" s="2688"/>
      <c r="F370" s="2634"/>
      <c r="G370" s="2622"/>
      <c r="H370" s="2622"/>
      <c r="I370" s="21" t="s">
        <v>3809</v>
      </c>
      <c r="J370" s="2622">
        <f t="shared" si="40"/>
        <v>0</v>
      </c>
      <c r="K370" s="2634"/>
      <c r="L370" s="2672"/>
    </row>
    <row r="371" spans="1:15" ht="30" customHeight="1" x14ac:dyDescent="0.2">
      <c r="A371" s="2692">
        <v>263</v>
      </c>
      <c r="B371" s="22" t="s">
        <v>586</v>
      </c>
      <c r="C371" s="2689"/>
      <c r="D371" s="2622">
        <v>105000000</v>
      </c>
      <c r="E371" s="2688">
        <v>5.8000000000000003E-2</v>
      </c>
      <c r="F371" s="2622">
        <v>6000000</v>
      </c>
      <c r="G371" s="2622">
        <v>6000000</v>
      </c>
      <c r="H371" s="2622" t="s">
        <v>4184</v>
      </c>
      <c r="I371" s="2622" t="s">
        <v>461</v>
      </c>
      <c r="J371" s="2622">
        <f t="shared" si="40"/>
        <v>6000000</v>
      </c>
      <c r="K371" s="2622">
        <f>F371-J371</f>
        <v>0</v>
      </c>
      <c r="L371" s="2669" t="s">
        <v>3614</v>
      </c>
    </row>
    <row r="372" spans="1:15" ht="30" customHeight="1" x14ac:dyDescent="0.2">
      <c r="A372" s="2625">
        <v>264</v>
      </c>
      <c r="B372" s="2627" t="s">
        <v>122</v>
      </c>
      <c r="C372" s="2660" t="s">
        <v>265</v>
      </c>
      <c r="D372" s="2634">
        <v>50000000</v>
      </c>
      <c r="E372" s="2631">
        <f>F372/D372</f>
        <v>0.06</v>
      </c>
      <c r="F372" s="2634">
        <v>3000000</v>
      </c>
      <c r="G372" s="2634">
        <v>3000000</v>
      </c>
      <c r="H372" s="2651" t="s">
        <v>4156</v>
      </c>
      <c r="I372" s="28" t="s">
        <v>3701</v>
      </c>
      <c r="J372" s="2634">
        <f t="shared" si="40"/>
        <v>3000000</v>
      </c>
      <c r="K372" s="2634">
        <f>F372-J372</f>
        <v>0</v>
      </c>
      <c r="L372" s="2706" t="s">
        <v>3998</v>
      </c>
    </row>
    <row r="373" spans="1:15" ht="30" customHeight="1" x14ac:dyDescent="0.2">
      <c r="A373" s="3450">
        <v>265</v>
      </c>
      <c r="B373" s="3687" t="s">
        <v>124</v>
      </c>
      <c r="C373" s="3686" t="s">
        <v>265</v>
      </c>
      <c r="D373" s="3442">
        <v>1000000000</v>
      </c>
      <c r="E373" s="3444">
        <v>7.0000000000000007E-2</v>
      </c>
      <c r="F373" s="3442">
        <f>D373*E373</f>
        <v>70000000</v>
      </c>
      <c r="G373" s="2622">
        <v>30000000</v>
      </c>
      <c r="H373" s="2622" t="s">
        <v>4105</v>
      </c>
      <c r="I373" s="2622" t="s">
        <v>3425</v>
      </c>
      <c r="J373" s="3442">
        <f>G373+G374</f>
        <v>70000000</v>
      </c>
      <c r="K373" s="3442">
        <f>F373-J373</f>
        <v>0</v>
      </c>
      <c r="L373" s="2669" t="s">
        <v>3418</v>
      </c>
    </row>
    <row r="374" spans="1:15" ht="30" customHeight="1" x14ac:dyDescent="0.2">
      <c r="A374" s="3456"/>
      <c r="B374" s="3687"/>
      <c r="C374" s="3686"/>
      <c r="D374" s="3443"/>
      <c r="E374" s="3445"/>
      <c r="F374" s="3443"/>
      <c r="G374" s="2622">
        <v>40000000</v>
      </c>
      <c r="H374" s="2622" t="s">
        <v>4156</v>
      </c>
      <c r="I374" s="2622" t="s">
        <v>3425</v>
      </c>
      <c r="J374" s="3443"/>
      <c r="K374" s="3443"/>
      <c r="L374" s="1594"/>
    </row>
    <row r="375" spans="1:15" ht="30" customHeight="1" x14ac:dyDescent="0.2">
      <c r="A375" s="2692">
        <v>266</v>
      </c>
      <c r="B375" s="2627" t="s">
        <v>2038</v>
      </c>
      <c r="C375" s="2660"/>
      <c r="D375" s="2634">
        <v>80000000</v>
      </c>
      <c r="E375" s="2631">
        <v>4.4999999999999998E-2</v>
      </c>
      <c r="F375" s="2634">
        <f t="shared" ref="F375:F441" si="41">D375*E375</f>
        <v>3600000</v>
      </c>
      <c r="G375" s="2634">
        <v>3600000</v>
      </c>
      <c r="H375" s="2634" t="s">
        <v>4201</v>
      </c>
      <c r="I375" s="21" t="s">
        <v>4206</v>
      </c>
      <c r="J375" s="2634">
        <f>G375</f>
        <v>3600000</v>
      </c>
      <c r="K375" s="2634">
        <f>F375-J375</f>
        <v>0</v>
      </c>
      <c r="L375" s="2690"/>
    </row>
    <row r="376" spans="1:15" ht="30" customHeight="1" x14ac:dyDescent="0.2">
      <c r="A376" s="3450">
        <v>267</v>
      </c>
      <c r="B376" s="3457" t="s">
        <v>508</v>
      </c>
      <c r="C376" s="3570" t="s">
        <v>379</v>
      </c>
      <c r="D376" s="3442">
        <v>300000000</v>
      </c>
      <c r="E376" s="3444">
        <v>0.04</v>
      </c>
      <c r="F376" s="3442">
        <f>D376*E376</f>
        <v>12000000</v>
      </c>
      <c r="G376" s="3442">
        <v>12000000</v>
      </c>
      <c r="H376" s="3442" t="s">
        <v>4184</v>
      </c>
      <c r="I376" s="3442" t="s">
        <v>3717</v>
      </c>
      <c r="J376" s="3442">
        <f>G376</f>
        <v>12000000</v>
      </c>
      <c r="K376" s="3442">
        <f>F376-J376</f>
        <v>0</v>
      </c>
      <c r="L376" s="2669" t="s">
        <v>3026</v>
      </c>
    </row>
    <row r="377" spans="1:15" ht="30" customHeight="1" x14ac:dyDescent="0.2">
      <c r="A377" s="3451"/>
      <c r="B377" s="3458"/>
      <c r="C377" s="3571"/>
      <c r="D377" s="3443"/>
      <c r="E377" s="3445"/>
      <c r="F377" s="3443"/>
      <c r="G377" s="3443"/>
      <c r="H377" s="3443"/>
      <c r="I377" s="3443"/>
      <c r="J377" s="3443"/>
      <c r="K377" s="3443"/>
      <c r="L377" s="2669" t="s">
        <v>3516</v>
      </c>
    </row>
    <row r="378" spans="1:15" ht="30" customHeight="1" x14ac:dyDescent="0.2">
      <c r="A378" s="2692">
        <v>268</v>
      </c>
      <c r="B378" s="2690" t="s">
        <v>400</v>
      </c>
      <c r="C378" s="2660" t="s">
        <v>401</v>
      </c>
      <c r="D378" s="2634">
        <v>130000000</v>
      </c>
      <c r="E378" s="2688">
        <v>4.4999999999999998E-2</v>
      </c>
      <c r="F378" s="2634">
        <f t="shared" si="41"/>
        <v>5850000</v>
      </c>
      <c r="G378" s="2634">
        <v>5850000</v>
      </c>
      <c r="H378" s="2634" t="s">
        <v>4184</v>
      </c>
      <c r="I378" s="21" t="s">
        <v>3654</v>
      </c>
      <c r="J378" s="2634">
        <f>G378</f>
        <v>5850000</v>
      </c>
      <c r="K378" s="2634">
        <f>F378-J378</f>
        <v>0</v>
      </c>
      <c r="L378" s="2690"/>
    </row>
    <row r="379" spans="1:15" ht="30" customHeight="1" x14ac:dyDescent="0.2">
      <c r="A379" s="2692">
        <v>269</v>
      </c>
      <c r="B379" s="2690" t="s">
        <v>126</v>
      </c>
      <c r="C379" s="2660" t="s">
        <v>265</v>
      </c>
      <c r="D379" s="2634">
        <v>300000000</v>
      </c>
      <c r="E379" s="2688">
        <v>0.05</v>
      </c>
      <c r="F379" s="2634">
        <f t="shared" si="41"/>
        <v>15000000</v>
      </c>
      <c r="G379" s="2634">
        <v>15000000</v>
      </c>
      <c r="H379" s="2634" t="s">
        <v>4156</v>
      </c>
      <c r="I379" s="24" t="s">
        <v>3683</v>
      </c>
      <c r="J379" s="2634">
        <f>G379</f>
        <v>15000000</v>
      </c>
      <c r="K379" s="2634">
        <f>F379-J379</f>
        <v>0</v>
      </c>
      <c r="L379" s="2690"/>
    </row>
    <row r="380" spans="1:15" ht="30" customHeight="1" x14ac:dyDescent="0.2">
      <c r="A380" s="2692">
        <v>270</v>
      </c>
      <c r="B380" s="2690" t="s">
        <v>127</v>
      </c>
      <c r="C380" s="2660"/>
      <c r="D380" s="2634">
        <v>20000000</v>
      </c>
      <c r="E380" s="2688">
        <v>5.5E-2</v>
      </c>
      <c r="F380" s="2634">
        <f t="shared" si="41"/>
        <v>1100000</v>
      </c>
      <c r="G380" s="2634">
        <v>1000000</v>
      </c>
      <c r="H380" s="2634" t="s">
        <v>4216</v>
      </c>
      <c r="I380" s="24" t="s">
        <v>503</v>
      </c>
      <c r="J380" s="2634">
        <f>G380</f>
        <v>1000000</v>
      </c>
      <c r="K380" s="2634">
        <f>F380-J380</f>
        <v>100000</v>
      </c>
      <c r="L380" s="2715" t="s">
        <v>4223</v>
      </c>
    </row>
    <row r="381" spans="1:15" ht="30" customHeight="1" x14ac:dyDescent="0.2">
      <c r="A381" s="3450">
        <v>271</v>
      </c>
      <c r="B381" s="3457" t="s">
        <v>128</v>
      </c>
      <c r="C381" s="2689" t="s">
        <v>367</v>
      </c>
      <c r="D381" s="2622">
        <v>40000000</v>
      </c>
      <c r="E381" s="2688">
        <v>5.5E-2</v>
      </c>
      <c r="F381" s="2622">
        <f t="shared" si="41"/>
        <v>2200000</v>
      </c>
      <c r="G381" s="2622">
        <v>2200000</v>
      </c>
      <c r="H381" s="2622" t="s">
        <v>4201</v>
      </c>
      <c r="I381" s="21" t="s">
        <v>3711</v>
      </c>
      <c r="J381" s="2622">
        <f>G381</f>
        <v>2200000</v>
      </c>
      <c r="K381" s="2622">
        <f>F381-J381</f>
        <v>0</v>
      </c>
      <c r="L381" s="2690"/>
    </row>
    <row r="382" spans="1:15" ht="30" customHeight="1" x14ac:dyDescent="0.2">
      <c r="A382" s="3456"/>
      <c r="B382" s="3459"/>
      <c r="C382" s="3570" t="s">
        <v>1909</v>
      </c>
      <c r="D382" s="2634">
        <v>10000000</v>
      </c>
      <c r="E382" s="2631">
        <v>0.04</v>
      </c>
      <c r="F382" s="2634">
        <f t="shared" si="41"/>
        <v>400000</v>
      </c>
      <c r="G382" s="3442">
        <v>900000</v>
      </c>
      <c r="H382" s="3442" t="s">
        <v>4330</v>
      </c>
      <c r="I382" s="3442" t="s">
        <v>514</v>
      </c>
      <c r="J382" s="3442">
        <f>G382</f>
        <v>900000</v>
      </c>
      <c r="K382" s="3442">
        <f>(F382+F383)-J382</f>
        <v>0</v>
      </c>
      <c r="L382" s="3815" t="s">
        <v>4406</v>
      </c>
      <c r="M382" s="2412"/>
      <c r="N382" s="2412"/>
      <c r="O382" s="2412"/>
    </row>
    <row r="383" spans="1:15" ht="30" customHeight="1" x14ac:dyDescent="0.2">
      <c r="A383" s="3451"/>
      <c r="B383" s="3458"/>
      <c r="C383" s="3571"/>
      <c r="D383" s="2634">
        <v>10000000</v>
      </c>
      <c r="E383" s="2631">
        <v>0.05</v>
      </c>
      <c r="F383" s="2634">
        <f t="shared" si="41"/>
        <v>500000</v>
      </c>
      <c r="G383" s="3443"/>
      <c r="H383" s="3443"/>
      <c r="I383" s="3443"/>
      <c r="J383" s="3443"/>
      <c r="K383" s="3443"/>
      <c r="L383" s="3815"/>
      <c r="M383" s="264"/>
      <c r="N383" s="264"/>
      <c r="O383" s="264"/>
    </row>
    <row r="384" spans="1:15" ht="30" customHeight="1" x14ac:dyDescent="0.2">
      <c r="A384" s="3450"/>
      <c r="B384" s="3687" t="s">
        <v>2658</v>
      </c>
      <c r="C384" s="3570" t="s">
        <v>1342</v>
      </c>
      <c r="D384" s="2707">
        <v>495000000</v>
      </c>
      <c r="E384" s="2717">
        <v>5.5E-2</v>
      </c>
      <c r="F384" s="2707">
        <f>D384*E384</f>
        <v>27225000</v>
      </c>
      <c r="G384" s="3858" t="s">
        <v>3811</v>
      </c>
      <c r="H384" s="3858"/>
      <c r="I384" s="3858"/>
      <c r="J384" s="3858"/>
      <c r="K384" s="3442">
        <f>F388-J388</f>
        <v>-15000</v>
      </c>
      <c r="L384" s="3627" t="s">
        <v>4092</v>
      </c>
    </row>
    <row r="385" spans="1:12" ht="30" customHeight="1" x14ac:dyDescent="0.2">
      <c r="A385" s="3456"/>
      <c r="B385" s="3687"/>
      <c r="C385" s="3576"/>
      <c r="D385" s="2707">
        <v>65000000</v>
      </c>
      <c r="E385" s="2717">
        <v>0.06</v>
      </c>
      <c r="F385" s="2707">
        <f>D385*E385</f>
        <v>3900000</v>
      </c>
      <c r="G385" s="3858"/>
      <c r="H385" s="3858"/>
      <c r="I385" s="3858"/>
      <c r="J385" s="3858"/>
      <c r="K385" s="3461"/>
      <c r="L385" s="3668"/>
    </row>
    <row r="386" spans="1:12" ht="30" customHeight="1" x14ac:dyDescent="0.2">
      <c r="A386" s="3456"/>
      <c r="B386" s="3687"/>
      <c r="C386" s="3576"/>
      <c r="D386" s="2707">
        <v>246000000</v>
      </c>
      <c r="E386" s="2717">
        <v>0.06</v>
      </c>
      <c r="F386" s="2707">
        <f>D386*E386</f>
        <v>14760000</v>
      </c>
      <c r="G386" s="3858"/>
      <c r="H386" s="3858"/>
      <c r="I386" s="3858"/>
      <c r="J386" s="3858"/>
      <c r="K386" s="3461"/>
      <c r="L386" s="3668"/>
    </row>
    <row r="387" spans="1:12" ht="30" customHeight="1" x14ac:dyDescent="0.2">
      <c r="A387" s="3456"/>
      <c r="B387" s="3687"/>
      <c r="C387" s="3576"/>
      <c r="D387" s="3819" t="s">
        <v>1899</v>
      </c>
      <c r="E387" s="3820"/>
      <c r="F387" s="2707">
        <v>1300000</v>
      </c>
      <c r="G387" s="3858"/>
      <c r="H387" s="3858"/>
      <c r="I387" s="3858"/>
      <c r="J387" s="3858"/>
      <c r="K387" s="3461"/>
      <c r="L387" s="3668"/>
    </row>
    <row r="388" spans="1:12" ht="30" customHeight="1" x14ac:dyDescent="0.2">
      <c r="A388" s="3456"/>
      <c r="B388" s="3687"/>
      <c r="C388" s="3576"/>
      <c r="D388" s="3881">
        <f>D384+D385+D386</f>
        <v>806000000</v>
      </c>
      <c r="E388" s="3883"/>
      <c r="F388" s="3454">
        <f>F384+F385+F386+F387</f>
        <v>47185000</v>
      </c>
      <c r="G388" s="21">
        <v>20000000</v>
      </c>
      <c r="H388" s="21" t="s">
        <v>4184</v>
      </c>
      <c r="I388" s="21" t="s">
        <v>4190</v>
      </c>
      <c r="J388" s="3586">
        <f>G388+G389</f>
        <v>47200000</v>
      </c>
      <c r="K388" s="3461"/>
      <c r="L388" s="3668"/>
    </row>
    <row r="389" spans="1:12" ht="30" customHeight="1" x14ac:dyDescent="0.2">
      <c r="A389" s="3456"/>
      <c r="B389" s="3687"/>
      <c r="C389" s="3576"/>
      <c r="D389" s="3884"/>
      <c r="E389" s="3886"/>
      <c r="F389" s="3455"/>
      <c r="G389" s="21">
        <v>27200000</v>
      </c>
      <c r="H389" s="21" t="s">
        <v>4216</v>
      </c>
      <c r="I389" s="21" t="s">
        <v>841</v>
      </c>
      <c r="J389" s="3587"/>
      <c r="K389" s="3443"/>
      <c r="L389" s="3628"/>
    </row>
    <row r="390" spans="1:12" ht="30" customHeight="1" x14ac:dyDescent="0.2">
      <c r="A390" s="2692">
        <v>273</v>
      </c>
      <c r="B390" s="2690" t="s">
        <v>130</v>
      </c>
      <c r="C390" s="2689" t="s">
        <v>1346</v>
      </c>
      <c r="D390" s="2634">
        <v>20000000</v>
      </c>
      <c r="E390" s="2688">
        <v>0.05</v>
      </c>
      <c r="F390" s="2634">
        <f t="shared" si="41"/>
        <v>1000000</v>
      </c>
      <c r="G390" s="2634">
        <v>1000000</v>
      </c>
      <c r="H390" s="2634" t="s">
        <v>4201</v>
      </c>
      <c r="I390" s="24" t="s">
        <v>3801</v>
      </c>
      <c r="J390" s="2634">
        <f>G390</f>
        <v>1000000</v>
      </c>
      <c r="K390" s="2634">
        <f>F390-J390</f>
        <v>0</v>
      </c>
      <c r="L390" s="2690"/>
    </row>
    <row r="391" spans="1:12" ht="30" customHeight="1" x14ac:dyDescent="0.2">
      <c r="A391" s="3450">
        <v>274</v>
      </c>
      <c r="B391" s="2686" t="s">
        <v>131</v>
      </c>
      <c r="C391" s="385"/>
      <c r="D391" s="2634">
        <v>50000000</v>
      </c>
      <c r="E391" s="2688">
        <v>0.05</v>
      </c>
      <c r="F391" s="2634">
        <f>D391*E391</f>
        <v>2500000</v>
      </c>
      <c r="G391" s="2634"/>
      <c r="H391" s="2634"/>
      <c r="I391" s="24" t="s">
        <v>397</v>
      </c>
      <c r="J391" s="2634">
        <f>G391</f>
        <v>0</v>
      </c>
      <c r="K391" s="2634">
        <f>F391-J391</f>
        <v>2500000</v>
      </c>
      <c r="L391" s="171"/>
    </row>
    <row r="392" spans="1:12" ht="30" customHeight="1" x14ac:dyDescent="0.2">
      <c r="A392" s="3451"/>
      <c r="B392" s="2687"/>
      <c r="C392" s="756"/>
      <c r="D392" s="2634">
        <v>50000000</v>
      </c>
      <c r="E392" s="2688">
        <v>0.05</v>
      </c>
      <c r="F392" s="2634">
        <f>D392*E392</f>
        <v>2500000</v>
      </c>
      <c r="G392" s="247"/>
      <c r="H392" s="247"/>
      <c r="I392" s="247"/>
      <c r="J392" s="247"/>
      <c r="K392" s="2634"/>
      <c r="L392" s="2715" t="s">
        <v>3521</v>
      </c>
    </row>
    <row r="393" spans="1:12" ht="30" customHeight="1" x14ac:dyDescent="0.2">
      <c r="A393" s="2692">
        <v>275</v>
      </c>
      <c r="B393" s="2690" t="s">
        <v>132</v>
      </c>
      <c r="C393" s="2660" t="s">
        <v>1346</v>
      </c>
      <c r="D393" s="2634">
        <v>130000000</v>
      </c>
      <c r="E393" s="2688">
        <v>0.05</v>
      </c>
      <c r="F393" s="2634">
        <f t="shared" si="41"/>
        <v>6500000</v>
      </c>
      <c r="G393" s="2634">
        <v>6500000</v>
      </c>
      <c r="H393" s="2634" t="s">
        <v>4216</v>
      </c>
      <c r="I393" s="24" t="s">
        <v>2310</v>
      </c>
      <c r="J393" s="2634">
        <f>G393</f>
        <v>6500000</v>
      </c>
      <c r="K393" s="2634">
        <f>F393-J393</f>
        <v>0</v>
      </c>
      <c r="L393" s="2690"/>
    </row>
    <row r="394" spans="1:12" ht="30" customHeight="1" x14ac:dyDescent="0.2">
      <c r="A394" s="3450">
        <v>276</v>
      </c>
      <c r="B394" s="3457" t="s">
        <v>133</v>
      </c>
      <c r="C394" s="3570"/>
      <c r="D394" s="3442">
        <v>95000000</v>
      </c>
      <c r="E394" s="3444">
        <v>5.2999999999999999E-2</v>
      </c>
      <c r="F394" s="3442">
        <v>5000000</v>
      </c>
      <c r="G394" s="2634">
        <v>500000</v>
      </c>
      <c r="H394" s="2634" t="s">
        <v>4286</v>
      </c>
      <c r="I394" s="24" t="s">
        <v>3639</v>
      </c>
      <c r="J394" s="3442">
        <f>G394+G395</f>
        <v>5000000</v>
      </c>
      <c r="K394" s="3442">
        <f>F394-J394</f>
        <v>0</v>
      </c>
      <c r="L394" s="3525"/>
    </row>
    <row r="395" spans="1:12" ht="30" customHeight="1" x14ac:dyDescent="0.2">
      <c r="A395" s="3451"/>
      <c r="B395" s="3458"/>
      <c r="C395" s="3571"/>
      <c r="D395" s="3443"/>
      <c r="E395" s="3445"/>
      <c r="F395" s="3443"/>
      <c r="G395" s="2634">
        <v>4500000</v>
      </c>
      <c r="H395" s="2634" t="s">
        <v>4301</v>
      </c>
      <c r="I395" s="24" t="s">
        <v>3639</v>
      </c>
      <c r="J395" s="3443"/>
      <c r="K395" s="3443"/>
      <c r="L395" s="3526"/>
    </row>
    <row r="396" spans="1:12" ht="30" customHeight="1" x14ac:dyDescent="0.2">
      <c r="A396" s="2692">
        <v>277</v>
      </c>
      <c r="B396" s="2690" t="s">
        <v>134</v>
      </c>
      <c r="C396" s="2660" t="s">
        <v>2983</v>
      </c>
      <c r="D396" s="2634">
        <v>200000000</v>
      </c>
      <c r="E396" s="2688">
        <v>0.05</v>
      </c>
      <c r="F396" s="2634">
        <f t="shared" si="41"/>
        <v>10000000</v>
      </c>
      <c r="G396" s="2634">
        <v>10000000</v>
      </c>
      <c r="H396" s="2634" t="s">
        <v>4201</v>
      </c>
      <c r="I396" s="24" t="s">
        <v>4212</v>
      </c>
      <c r="J396" s="2634">
        <f>G396</f>
        <v>10000000</v>
      </c>
      <c r="K396" s="2634">
        <f>F396-J396</f>
        <v>0</v>
      </c>
      <c r="L396" s="2690"/>
    </row>
    <row r="397" spans="1:12" ht="30" customHeight="1" x14ac:dyDescent="0.2">
      <c r="A397" s="3450">
        <v>278</v>
      </c>
      <c r="B397" s="3457" t="s">
        <v>634</v>
      </c>
      <c r="C397" s="3570" t="s">
        <v>3142</v>
      </c>
      <c r="D397" s="3442">
        <v>10000000</v>
      </c>
      <c r="E397" s="3444">
        <v>0.04</v>
      </c>
      <c r="F397" s="3442">
        <f>D397*E397</f>
        <v>400000</v>
      </c>
      <c r="G397" s="2622">
        <v>5000000</v>
      </c>
      <c r="H397" s="2622" t="s">
        <v>4059</v>
      </c>
      <c r="I397" s="2685" t="s">
        <v>2192</v>
      </c>
      <c r="J397" s="3442">
        <f>G397+G398</f>
        <v>10000000</v>
      </c>
      <c r="K397" s="3442">
        <f>D398-J397</f>
        <v>-10000000</v>
      </c>
      <c r="L397" s="3627" t="s">
        <v>4172</v>
      </c>
    </row>
    <row r="398" spans="1:12" ht="30" customHeight="1" x14ac:dyDescent="0.2">
      <c r="A398" s="3456"/>
      <c r="B398" s="3459"/>
      <c r="C398" s="3576"/>
      <c r="D398" s="3443"/>
      <c r="E398" s="3445"/>
      <c r="F398" s="3443"/>
      <c r="G398" s="2622">
        <v>5000000</v>
      </c>
      <c r="H398" s="2622" t="s">
        <v>4133</v>
      </c>
      <c r="I398" s="2685" t="s">
        <v>2192</v>
      </c>
      <c r="J398" s="3443"/>
      <c r="K398" s="3443"/>
      <c r="L398" s="3628"/>
    </row>
    <row r="399" spans="1:12" ht="30" customHeight="1" x14ac:dyDescent="0.2">
      <c r="A399" s="3456"/>
      <c r="B399" s="3459"/>
      <c r="C399" s="3576"/>
      <c r="D399" s="2634">
        <v>10000000</v>
      </c>
      <c r="E399" s="3694" t="s">
        <v>4495</v>
      </c>
      <c r="F399" s="3695"/>
      <c r="G399" s="3442">
        <v>1585000</v>
      </c>
      <c r="H399" s="3442" t="s">
        <v>4216</v>
      </c>
      <c r="I399" s="3452" t="s">
        <v>2192</v>
      </c>
      <c r="J399" s="3442">
        <f>G399</f>
        <v>1585000</v>
      </c>
      <c r="K399" s="3442">
        <v>0</v>
      </c>
      <c r="L399" s="3627" t="s">
        <v>4219</v>
      </c>
    </row>
    <row r="400" spans="1:12" ht="30" customHeight="1" x14ac:dyDescent="0.2">
      <c r="A400" s="3451"/>
      <c r="B400" s="3458"/>
      <c r="C400" s="3571"/>
      <c r="D400" s="2634">
        <v>30000000</v>
      </c>
      <c r="E400" s="2688">
        <v>4.4999999999999998E-2</v>
      </c>
      <c r="F400" s="2634">
        <f>D400*E400</f>
        <v>1350000</v>
      </c>
      <c r="G400" s="3443"/>
      <c r="H400" s="3443"/>
      <c r="I400" s="3453"/>
      <c r="J400" s="3443"/>
      <c r="K400" s="3443"/>
      <c r="L400" s="3628"/>
    </row>
    <row r="401" spans="1:12" ht="30" customHeight="1" x14ac:dyDescent="0.2">
      <c r="A401" s="2692">
        <v>279</v>
      </c>
      <c r="B401" s="2690" t="s">
        <v>135</v>
      </c>
      <c r="C401" s="2660" t="s">
        <v>411</v>
      </c>
      <c r="D401" s="2634">
        <v>11000000</v>
      </c>
      <c r="E401" s="2688">
        <v>4.4999999999999998E-2</v>
      </c>
      <c r="F401" s="2634">
        <v>500000</v>
      </c>
      <c r="G401" s="2634">
        <v>500000</v>
      </c>
      <c r="H401" s="2634" t="s">
        <v>4156</v>
      </c>
      <c r="I401" s="24" t="s">
        <v>3808</v>
      </c>
      <c r="J401" s="2634">
        <f>G401</f>
        <v>500000</v>
      </c>
      <c r="K401" s="2634">
        <f>F401-J401</f>
        <v>0</v>
      </c>
      <c r="L401" s="2690"/>
    </row>
    <row r="402" spans="1:12" ht="30" customHeight="1" x14ac:dyDescent="0.2">
      <c r="A402" s="2692">
        <v>280</v>
      </c>
      <c r="B402" s="2116" t="s">
        <v>468</v>
      </c>
      <c r="C402" s="421"/>
      <c r="D402" s="2622">
        <v>20000000</v>
      </c>
      <c r="E402" s="2688">
        <v>0.05</v>
      </c>
      <c r="F402" s="2622">
        <f t="shared" si="41"/>
        <v>1000000</v>
      </c>
      <c r="G402" s="2622">
        <v>1000000</v>
      </c>
      <c r="H402" s="2622" t="s">
        <v>4249</v>
      </c>
      <c r="I402" s="2622" t="s">
        <v>3894</v>
      </c>
      <c r="J402" s="2622">
        <f>G402</f>
        <v>1000000</v>
      </c>
      <c r="K402" s="2622">
        <f>F402-J402</f>
        <v>0</v>
      </c>
      <c r="L402" s="1077" t="s">
        <v>3232</v>
      </c>
    </row>
    <row r="403" spans="1:12" ht="30" customHeight="1" x14ac:dyDescent="0.2">
      <c r="A403" s="2625">
        <v>281</v>
      </c>
      <c r="B403" s="2686" t="s">
        <v>136</v>
      </c>
      <c r="C403" s="2660" t="s">
        <v>1345</v>
      </c>
      <c r="D403" s="2634">
        <v>40000000</v>
      </c>
      <c r="E403" s="2631">
        <v>0.05</v>
      </c>
      <c r="F403" s="2634">
        <f t="shared" si="41"/>
        <v>2000000</v>
      </c>
      <c r="G403" s="2634">
        <v>2000000</v>
      </c>
      <c r="H403" s="2634" t="s">
        <v>4201</v>
      </c>
      <c r="I403" s="2634" t="s">
        <v>3817</v>
      </c>
      <c r="J403" s="2634">
        <f>G403</f>
        <v>2000000</v>
      </c>
      <c r="K403" s="2634">
        <f>F403-J403</f>
        <v>0</v>
      </c>
      <c r="L403" s="2690"/>
    </row>
    <row r="404" spans="1:12" ht="30" customHeight="1" x14ac:dyDescent="0.2">
      <c r="A404" s="2692">
        <v>282</v>
      </c>
      <c r="B404" s="2690" t="s">
        <v>1054</v>
      </c>
      <c r="C404" s="2660"/>
      <c r="D404" s="2634">
        <v>20000000</v>
      </c>
      <c r="E404" s="2688">
        <v>0.04</v>
      </c>
      <c r="F404" s="2634">
        <f t="shared" si="41"/>
        <v>800000</v>
      </c>
      <c r="G404" s="2634">
        <v>800000</v>
      </c>
      <c r="H404" s="2634" t="s">
        <v>4184</v>
      </c>
      <c r="I404" s="2682" t="s">
        <v>2584</v>
      </c>
      <c r="J404" s="2634">
        <f>G404</f>
        <v>800000</v>
      </c>
      <c r="K404" s="2634">
        <f>F404-J404</f>
        <v>0</v>
      </c>
      <c r="L404" s="2690"/>
    </row>
    <row r="405" spans="1:12" ht="30" customHeight="1" x14ac:dyDescent="0.2">
      <c r="A405" s="3450"/>
      <c r="B405" s="3457" t="s">
        <v>137</v>
      </c>
      <c r="C405" s="2689" t="s">
        <v>1349</v>
      </c>
      <c r="D405" s="2634">
        <f>40823000+3800000</f>
        <v>44623000</v>
      </c>
      <c r="E405" s="2631">
        <v>0.05</v>
      </c>
      <c r="F405" s="2634">
        <f>D405*E405</f>
        <v>2231150</v>
      </c>
      <c r="G405" s="2622">
        <v>2231150</v>
      </c>
      <c r="H405" s="2622" t="s">
        <v>4216</v>
      </c>
      <c r="I405" s="2622" t="s">
        <v>646</v>
      </c>
      <c r="J405" s="2632">
        <f>G405</f>
        <v>2231150</v>
      </c>
      <c r="K405" s="2632">
        <f>F405-J405</f>
        <v>0</v>
      </c>
      <c r="L405" s="813" t="s">
        <v>3805</v>
      </c>
    </row>
    <row r="406" spans="1:12" ht="30" customHeight="1" x14ac:dyDescent="0.2">
      <c r="A406" s="3451"/>
      <c r="B406" s="3458"/>
      <c r="C406" s="2659"/>
      <c r="D406" s="2634">
        <f>D405+5488000</f>
        <v>50111000</v>
      </c>
      <c r="E406" s="2631">
        <v>0.05</v>
      </c>
      <c r="F406" s="2634">
        <f>D406*E406</f>
        <v>2505550</v>
      </c>
      <c r="G406" s="2652"/>
      <c r="H406" s="2670"/>
      <c r="I406" s="2670"/>
      <c r="J406" s="2653"/>
      <c r="K406" s="2632"/>
      <c r="L406" s="813" t="s">
        <v>4388</v>
      </c>
    </row>
    <row r="407" spans="1:12" ht="30" customHeight="1" x14ac:dyDescent="0.2">
      <c r="A407" s="2624"/>
      <c r="B407" s="2628" t="s">
        <v>4389</v>
      </c>
      <c r="C407" s="2659"/>
      <c r="D407" s="2634">
        <v>67000000</v>
      </c>
      <c r="E407" s="2631">
        <v>0.05</v>
      </c>
      <c r="F407" s="2634">
        <f>D407*E407</f>
        <v>3350000</v>
      </c>
      <c r="G407" s="2652"/>
      <c r="H407" s="2670"/>
      <c r="I407" s="2670"/>
      <c r="J407" s="2653"/>
      <c r="K407" s="2632"/>
      <c r="L407" s="813" t="s">
        <v>4390</v>
      </c>
    </row>
    <row r="408" spans="1:12" ht="30" customHeight="1" x14ac:dyDescent="0.2">
      <c r="A408" s="3450"/>
      <c r="B408" s="3525" t="s">
        <v>1197</v>
      </c>
      <c r="C408" s="3570"/>
      <c r="D408" s="2698">
        <v>100000000</v>
      </c>
      <c r="E408" s="2091">
        <v>4.4999999999999998E-2</v>
      </c>
      <c r="F408" s="1596">
        <f t="shared" si="41"/>
        <v>4500000</v>
      </c>
      <c r="G408" s="3806" t="s">
        <v>3916</v>
      </c>
      <c r="H408" s="3807"/>
      <c r="I408" s="3807"/>
      <c r="J408" s="3808"/>
      <c r="K408" s="3442"/>
      <c r="L408" s="813" t="s">
        <v>3920</v>
      </c>
    </row>
    <row r="409" spans="1:12" ht="30" customHeight="1" x14ac:dyDescent="0.2">
      <c r="A409" s="3456"/>
      <c r="B409" s="3643"/>
      <c r="C409" s="3576"/>
      <c r="D409" s="2698">
        <v>60000000</v>
      </c>
      <c r="E409" s="2091">
        <v>0.05</v>
      </c>
      <c r="F409" s="1596">
        <f t="shared" si="41"/>
        <v>3000000</v>
      </c>
      <c r="G409" s="3809"/>
      <c r="H409" s="3810"/>
      <c r="I409" s="3810"/>
      <c r="J409" s="3811"/>
      <c r="K409" s="3461"/>
      <c r="L409" s="1389"/>
    </row>
    <row r="410" spans="1:12" ht="30" customHeight="1" x14ac:dyDescent="0.2">
      <c r="A410" s="3456"/>
      <c r="B410" s="3643"/>
      <c r="C410" s="3576"/>
      <c r="D410" s="2698">
        <v>30000000</v>
      </c>
      <c r="E410" s="2091">
        <v>0.05</v>
      </c>
      <c r="F410" s="1596">
        <f t="shared" si="41"/>
        <v>1500000</v>
      </c>
      <c r="G410" s="3809"/>
      <c r="H410" s="3810"/>
      <c r="I410" s="3810"/>
      <c r="J410" s="3811"/>
      <c r="K410" s="3461"/>
      <c r="L410" s="813" t="s">
        <v>3918</v>
      </c>
    </row>
    <row r="411" spans="1:12" ht="30" customHeight="1" x14ac:dyDescent="0.2">
      <c r="A411" s="3456"/>
      <c r="B411" s="3643"/>
      <c r="C411" s="3576"/>
      <c r="D411" s="2698">
        <v>40000000</v>
      </c>
      <c r="E411" s="2091">
        <v>0.05</v>
      </c>
      <c r="F411" s="1596">
        <f t="shared" si="41"/>
        <v>2000000</v>
      </c>
      <c r="G411" s="3812"/>
      <c r="H411" s="3813"/>
      <c r="I411" s="3813"/>
      <c r="J411" s="3814"/>
      <c r="K411" s="3443"/>
      <c r="L411" s="567" t="s">
        <v>3917</v>
      </c>
    </row>
    <row r="412" spans="1:12" ht="30" customHeight="1" x14ac:dyDescent="0.2">
      <c r="A412" s="3451"/>
      <c r="B412" s="3526"/>
      <c r="C412" s="3571"/>
      <c r="D412" s="2698"/>
      <c r="E412" s="2091"/>
      <c r="F412" s="1596">
        <f>SUM(F408:F411)</f>
        <v>11000000</v>
      </c>
      <c r="G412" s="2634">
        <v>11000000</v>
      </c>
      <c r="H412" s="2622" t="s">
        <v>4201</v>
      </c>
      <c r="I412" s="2622" t="s">
        <v>2345</v>
      </c>
      <c r="J412" s="2622">
        <f>G412</f>
        <v>11000000</v>
      </c>
      <c r="K412" s="2634">
        <f>F412-J412</f>
        <v>0</v>
      </c>
      <c r="L412" s="567"/>
    </row>
    <row r="413" spans="1:12" ht="30" customHeight="1" x14ac:dyDescent="0.2">
      <c r="A413" s="2692">
        <v>285</v>
      </c>
      <c r="B413" s="2690" t="s">
        <v>138</v>
      </c>
      <c r="C413" s="2660" t="s">
        <v>2408</v>
      </c>
      <c r="D413" s="2634">
        <v>100000000</v>
      </c>
      <c r="E413" s="2688">
        <v>7.0000000000000007E-2</v>
      </c>
      <c r="F413" s="2634">
        <f t="shared" si="41"/>
        <v>7000000.0000000009</v>
      </c>
      <c r="G413" s="2634">
        <v>7000000</v>
      </c>
      <c r="H413" s="2634" t="s">
        <v>4216</v>
      </c>
      <c r="I413" s="24" t="s">
        <v>3158</v>
      </c>
      <c r="J413" s="2634">
        <f>G413</f>
        <v>7000000</v>
      </c>
      <c r="K413" s="2634">
        <f>F413-J413</f>
        <v>0</v>
      </c>
      <c r="L413" s="2690"/>
    </row>
    <row r="414" spans="1:12" ht="30" customHeight="1" x14ac:dyDescent="0.2">
      <c r="A414" s="2623">
        <v>286</v>
      </c>
      <c r="B414" s="2686" t="s">
        <v>1715</v>
      </c>
      <c r="C414" s="2689"/>
      <c r="D414" s="2622">
        <v>35000000</v>
      </c>
      <c r="E414" s="1080">
        <v>0.05</v>
      </c>
      <c r="F414" s="2622">
        <v>1700000</v>
      </c>
      <c r="G414" s="2622">
        <v>1700000</v>
      </c>
      <c r="H414" s="2622" t="s">
        <v>4105</v>
      </c>
      <c r="I414" s="21" t="s">
        <v>312</v>
      </c>
      <c r="J414" s="2622">
        <f>G414</f>
        <v>1700000</v>
      </c>
      <c r="K414" s="2622">
        <f>F414-J414</f>
        <v>0</v>
      </c>
      <c r="L414" s="2643"/>
    </row>
    <row r="415" spans="1:12" ht="30" customHeight="1" x14ac:dyDescent="0.2">
      <c r="A415" s="3450">
        <v>287</v>
      </c>
      <c r="B415" s="3457" t="s">
        <v>140</v>
      </c>
      <c r="C415" s="3570"/>
      <c r="D415" s="2634">
        <v>15000000</v>
      </c>
      <c r="E415" s="2631">
        <v>0.05</v>
      </c>
      <c r="F415" s="2634">
        <f t="shared" si="41"/>
        <v>750000</v>
      </c>
      <c r="G415" s="3442">
        <v>3000000</v>
      </c>
      <c r="H415" s="3442" t="s">
        <v>4216</v>
      </c>
      <c r="I415" s="3452" t="s">
        <v>3114</v>
      </c>
      <c r="J415" s="3442">
        <f>G415+G416</f>
        <v>3000000</v>
      </c>
      <c r="K415" s="3442">
        <f>(F415+F416)-J415</f>
        <v>0</v>
      </c>
      <c r="L415" s="3446"/>
    </row>
    <row r="416" spans="1:12" ht="30" customHeight="1" x14ac:dyDescent="0.2">
      <c r="A416" s="3451"/>
      <c r="B416" s="3458"/>
      <c r="C416" s="3571"/>
      <c r="D416" s="2634">
        <v>45000000</v>
      </c>
      <c r="E416" s="2631">
        <v>0.05</v>
      </c>
      <c r="F416" s="2634">
        <f t="shared" si="41"/>
        <v>2250000</v>
      </c>
      <c r="G416" s="3443"/>
      <c r="H416" s="3443"/>
      <c r="I416" s="3453"/>
      <c r="J416" s="3443"/>
      <c r="K416" s="3443"/>
      <c r="L416" s="3447"/>
    </row>
    <row r="417" spans="1:12" ht="30" customHeight="1" x14ac:dyDescent="0.2">
      <c r="A417" s="2692">
        <v>288</v>
      </c>
      <c r="B417" s="2690" t="s">
        <v>141</v>
      </c>
      <c r="C417" s="2660" t="s">
        <v>1344</v>
      </c>
      <c r="D417" s="2634">
        <v>50000000</v>
      </c>
      <c r="E417" s="2688">
        <v>4.4999999999999998E-2</v>
      </c>
      <c r="F417" s="2634">
        <f t="shared" si="41"/>
        <v>2250000</v>
      </c>
      <c r="G417" s="2634">
        <v>2250000</v>
      </c>
      <c r="H417" s="2634" t="s">
        <v>4216</v>
      </c>
      <c r="I417" s="24" t="s">
        <v>2209</v>
      </c>
      <c r="J417" s="2634">
        <f t="shared" ref="J417:J422" si="42">G417</f>
        <v>2250000</v>
      </c>
      <c r="K417" s="2634">
        <f>F417-J417</f>
        <v>0</v>
      </c>
      <c r="L417" s="2690"/>
    </row>
    <row r="418" spans="1:12" ht="30" customHeight="1" x14ac:dyDescent="0.2">
      <c r="A418" s="2692">
        <v>289</v>
      </c>
      <c r="B418" s="2690" t="s">
        <v>653</v>
      </c>
      <c r="C418" s="2660" t="s">
        <v>1354</v>
      </c>
      <c r="D418" s="2634">
        <v>25000000</v>
      </c>
      <c r="E418" s="2688">
        <v>5.3999999999999999E-2</v>
      </c>
      <c r="F418" s="2634">
        <f t="shared" si="41"/>
        <v>1350000</v>
      </c>
      <c r="G418" s="2634">
        <v>1350000</v>
      </c>
      <c r="H418" s="2634" t="s">
        <v>4249</v>
      </c>
      <c r="I418" s="21" t="s">
        <v>654</v>
      </c>
      <c r="J418" s="2634">
        <f t="shared" si="42"/>
        <v>1350000</v>
      </c>
      <c r="K418" s="2634">
        <f>F418-J418</f>
        <v>0</v>
      </c>
      <c r="L418" s="2690"/>
    </row>
    <row r="419" spans="1:12" ht="30" customHeight="1" x14ac:dyDescent="0.2">
      <c r="A419" s="2623">
        <v>290</v>
      </c>
      <c r="B419" s="2686" t="s">
        <v>3986</v>
      </c>
      <c r="C419" s="2660" t="s">
        <v>1343</v>
      </c>
      <c r="D419" s="2634">
        <v>1150000000</v>
      </c>
      <c r="E419" s="2688">
        <v>7.0000000000000007E-2</v>
      </c>
      <c r="F419" s="2634">
        <f>D419*E419</f>
        <v>80500000.000000015</v>
      </c>
      <c r="G419" s="2622">
        <v>80500000</v>
      </c>
      <c r="H419" s="2622" t="s">
        <v>3160</v>
      </c>
      <c r="I419" s="2622" t="s">
        <v>4237</v>
      </c>
      <c r="J419" s="2622">
        <f>G419</f>
        <v>80500000</v>
      </c>
      <c r="K419" s="2634">
        <f>F419-J419</f>
        <v>0</v>
      </c>
      <c r="L419" s="2679" t="s">
        <v>3997</v>
      </c>
    </row>
    <row r="420" spans="1:12" ht="30" customHeight="1" x14ac:dyDescent="0.2">
      <c r="A420" s="2692">
        <v>292</v>
      </c>
      <c r="B420" s="2690" t="s">
        <v>143</v>
      </c>
      <c r="C420" s="2689" t="s">
        <v>1354</v>
      </c>
      <c r="D420" s="2634">
        <v>100000000</v>
      </c>
      <c r="E420" s="2688">
        <v>0.05</v>
      </c>
      <c r="F420" s="2634">
        <f t="shared" si="41"/>
        <v>5000000</v>
      </c>
      <c r="G420" s="2634"/>
      <c r="H420" s="2634"/>
      <c r="I420" s="70" t="s">
        <v>2701</v>
      </c>
      <c r="J420" s="2634">
        <f t="shared" si="42"/>
        <v>0</v>
      </c>
      <c r="K420" s="2634">
        <f>F420-J420</f>
        <v>5000000</v>
      </c>
      <c r="L420" s="2690"/>
    </row>
    <row r="421" spans="1:12" ht="30" customHeight="1" x14ac:dyDescent="0.2">
      <c r="A421" s="2692">
        <v>293</v>
      </c>
      <c r="B421" s="2690" t="s">
        <v>144</v>
      </c>
      <c r="C421" s="2660" t="s">
        <v>1354</v>
      </c>
      <c r="D421" s="2634">
        <v>75000000</v>
      </c>
      <c r="E421" s="2688">
        <v>0.04</v>
      </c>
      <c r="F421" s="2634">
        <f>D421*E421</f>
        <v>3000000</v>
      </c>
      <c r="G421" s="2634">
        <v>3000000</v>
      </c>
      <c r="H421" s="2634" t="s">
        <v>4249</v>
      </c>
      <c r="I421" s="21" t="s">
        <v>746</v>
      </c>
      <c r="J421" s="2634">
        <f t="shared" si="42"/>
        <v>3000000</v>
      </c>
      <c r="K421" s="2634">
        <f>F421-J421</f>
        <v>0</v>
      </c>
      <c r="L421" s="2690"/>
    </row>
    <row r="422" spans="1:12" ht="30" customHeight="1" x14ac:dyDescent="0.2">
      <c r="A422" s="3450">
        <v>295</v>
      </c>
      <c r="B422" s="2686" t="s">
        <v>145</v>
      </c>
      <c r="C422" s="3570" t="s">
        <v>1354</v>
      </c>
      <c r="D422" s="2634">
        <v>100000000</v>
      </c>
      <c r="E422" s="2688">
        <v>0.05</v>
      </c>
      <c r="F422" s="2634">
        <f t="shared" si="41"/>
        <v>5000000</v>
      </c>
      <c r="G422" s="3442">
        <v>5000000</v>
      </c>
      <c r="H422" s="3442" t="s">
        <v>3160</v>
      </c>
      <c r="I422" s="3442" t="s">
        <v>4226</v>
      </c>
      <c r="J422" s="3442">
        <f t="shared" si="42"/>
        <v>5000000</v>
      </c>
      <c r="K422" s="3442">
        <f>(F422+F423)-G422</f>
        <v>500000</v>
      </c>
      <c r="L422" s="3495"/>
    </row>
    <row r="423" spans="1:12" ht="30" customHeight="1" x14ac:dyDescent="0.2">
      <c r="A423" s="3451"/>
      <c r="B423" s="2690" t="s">
        <v>727</v>
      </c>
      <c r="C423" s="3571"/>
      <c r="D423" s="2634">
        <v>10000000</v>
      </c>
      <c r="E423" s="2688">
        <v>0.05</v>
      </c>
      <c r="F423" s="2634">
        <f>D423*E423</f>
        <v>500000</v>
      </c>
      <c r="G423" s="3443"/>
      <c r="H423" s="3443"/>
      <c r="I423" s="3443"/>
      <c r="J423" s="3443"/>
      <c r="K423" s="3443"/>
      <c r="L423" s="3496"/>
    </row>
    <row r="424" spans="1:12" ht="30" customHeight="1" x14ac:dyDescent="0.2">
      <c r="A424" s="2692">
        <v>296</v>
      </c>
      <c r="B424" s="2690" t="s">
        <v>146</v>
      </c>
      <c r="C424" s="2660" t="s">
        <v>1378</v>
      </c>
      <c r="D424" s="2634">
        <v>35000000</v>
      </c>
      <c r="E424" s="2688">
        <v>0.04</v>
      </c>
      <c r="F424" s="2634">
        <f t="shared" si="41"/>
        <v>1400000</v>
      </c>
      <c r="G424" s="2634">
        <v>1400000</v>
      </c>
      <c r="H424" s="2634" t="s">
        <v>4249</v>
      </c>
      <c r="I424" s="24" t="s">
        <v>1140</v>
      </c>
      <c r="J424" s="2634">
        <f>G424</f>
        <v>1400000</v>
      </c>
      <c r="K424" s="2634">
        <f>F424-J424</f>
        <v>0</v>
      </c>
      <c r="L424" s="2690"/>
    </row>
    <row r="425" spans="1:12" ht="30" customHeight="1" x14ac:dyDescent="0.2">
      <c r="A425" s="2692">
        <v>298</v>
      </c>
      <c r="B425" s="2690" t="s">
        <v>148</v>
      </c>
      <c r="C425" s="2660" t="s">
        <v>1165</v>
      </c>
      <c r="D425" s="2634">
        <v>40000000</v>
      </c>
      <c r="E425" s="2688">
        <v>5.1999999999999998E-2</v>
      </c>
      <c r="F425" s="2634">
        <v>2000000</v>
      </c>
      <c r="G425" s="2634">
        <v>2000000</v>
      </c>
      <c r="H425" s="2634" t="s">
        <v>4286</v>
      </c>
      <c r="I425" s="24" t="s">
        <v>4292</v>
      </c>
      <c r="J425" s="2634">
        <f>G425</f>
        <v>2000000</v>
      </c>
      <c r="K425" s="2634">
        <f>F425-J425</f>
        <v>0</v>
      </c>
      <c r="L425" s="2690"/>
    </row>
    <row r="426" spans="1:12" ht="30" customHeight="1" x14ac:dyDescent="0.2">
      <c r="A426" s="2692">
        <v>300</v>
      </c>
      <c r="B426" s="2686" t="s">
        <v>150</v>
      </c>
      <c r="C426" s="2689" t="s">
        <v>917</v>
      </c>
      <c r="D426" s="2622">
        <v>178000000</v>
      </c>
      <c r="E426" s="2688">
        <v>5.8999999999999997E-2</v>
      </c>
      <c r="F426" s="2622">
        <v>10500000</v>
      </c>
      <c r="G426" s="2634">
        <v>10500000</v>
      </c>
      <c r="H426" s="2634" t="s">
        <v>4270</v>
      </c>
      <c r="I426" s="24" t="s">
        <v>3605</v>
      </c>
      <c r="J426" s="2634">
        <f>G426</f>
        <v>10500000</v>
      </c>
      <c r="K426" s="2622">
        <f>F426-J426</f>
        <v>0</v>
      </c>
      <c r="L426" s="2690"/>
    </row>
    <row r="427" spans="1:12" ht="30" customHeight="1" x14ac:dyDescent="0.2">
      <c r="A427" s="2692">
        <v>301</v>
      </c>
      <c r="B427" s="2690" t="s">
        <v>2477</v>
      </c>
      <c r="C427" s="2660"/>
      <c r="D427" s="2634">
        <v>10000000</v>
      </c>
      <c r="E427" s="2631">
        <v>0.04</v>
      </c>
      <c r="F427" s="2634">
        <f>D427*E427</f>
        <v>400000</v>
      </c>
      <c r="G427" s="2634">
        <v>400000</v>
      </c>
      <c r="H427" s="2634" t="s">
        <v>4270</v>
      </c>
      <c r="I427" s="2662" t="s">
        <v>744</v>
      </c>
      <c r="J427" s="2634">
        <f>G427</f>
        <v>400000</v>
      </c>
      <c r="K427" s="2634">
        <f>F427-J427</f>
        <v>0</v>
      </c>
      <c r="L427" s="2715"/>
    </row>
    <row r="428" spans="1:12" ht="30" customHeight="1" x14ac:dyDescent="0.2">
      <c r="A428" s="2692">
        <v>302</v>
      </c>
      <c r="B428" s="2690" t="s">
        <v>152</v>
      </c>
      <c r="C428" s="2660" t="s">
        <v>1351</v>
      </c>
      <c r="D428" s="2634">
        <v>60000000</v>
      </c>
      <c r="E428" s="2688">
        <v>4.4999999999999998E-2</v>
      </c>
      <c r="F428" s="2634">
        <f t="shared" si="41"/>
        <v>2700000</v>
      </c>
      <c r="G428" s="2634">
        <v>2700000</v>
      </c>
      <c r="H428" s="2634" t="s">
        <v>4270</v>
      </c>
      <c r="I428" s="24" t="s">
        <v>3314</v>
      </c>
      <c r="J428" s="2634">
        <f>G428</f>
        <v>2700000</v>
      </c>
      <c r="K428" s="2634">
        <f>F428-J428</f>
        <v>0</v>
      </c>
      <c r="L428" s="2690"/>
    </row>
    <row r="429" spans="1:12" ht="30" customHeight="1" x14ac:dyDescent="0.2">
      <c r="A429" s="3450"/>
      <c r="B429" s="3525" t="s">
        <v>153</v>
      </c>
      <c r="C429" s="3570" t="s">
        <v>1909</v>
      </c>
      <c r="D429" s="3575">
        <v>1916000000</v>
      </c>
      <c r="E429" s="3683"/>
      <c r="F429" s="3575"/>
      <c r="G429" s="3806" t="s">
        <v>4496</v>
      </c>
      <c r="H429" s="3807"/>
      <c r="I429" s="3807"/>
      <c r="J429" s="3808"/>
      <c r="K429" s="2622"/>
      <c r="L429" s="2679" t="s">
        <v>3590</v>
      </c>
    </row>
    <row r="430" spans="1:12" ht="30" customHeight="1" x14ac:dyDescent="0.2">
      <c r="A430" s="3456"/>
      <c r="B430" s="3643"/>
      <c r="C430" s="3576"/>
      <c r="D430" s="3575"/>
      <c r="E430" s="3683"/>
      <c r="F430" s="3575"/>
      <c r="G430" s="3812"/>
      <c r="H430" s="3813"/>
      <c r="I430" s="3813"/>
      <c r="J430" s="3814"/>
      <c r="K430" s="2622"/>
      <c r="L430" s="2679"/>
    </row>
    <row r="431" spans="1:12" ht="30" customHeight="1" x14ac:dyDescent="0.2">
      <c r="A431" s="3456"/>
      <c r="B431" s="3643"/>
      <c r="C431" s="3576"/>
      <c r="D431" s="3203">
        <f>D429-228000000</f>
        <v>1688000000</v>
      </c>
      <c r="E431" s="3205"/>
      <c r="F431" s="3203"/>
      <c r="G431" s="3815" t="s">
        <v>4874</v>
      </c>
      <c r="H431" s="3815"/>
      <c r="I431" s="3815"/>
      <c r="J431" s="3815"/>
      <c r="K431" s="3203"/>
      <c r="L431" s="3217"/>
    </row>
    <row r="432" spans="1:12" ht="30" customHeight="1" x14ac:dyDescent="0.2">
      <c r="A432" s="3456"/>
      <c r="B432" s="3643"/>
      <c r="C432" s="3576"/>
      <c r="D432" s="3203">
        <f>D431+300000000</f>
        <v>1988000000</v>
      </c>
      <c r="E432" s="3205"/>
      <c r="F432" s="3203"/>
      <c r="G432" s="3815" t="s">
        <v>4866</v>
      </c>
      <c r="H432" s="3815"/>
      <c r="I432" s="3815"/>
      <c r="J432" s="3815"/>
      <c r="K432" s="3203"/>
      <c r="L432" s="3217"/>
    </row>
    <row r="433" spans="1:12" ht="30" customHeight="1" x14ac:dyDescent="0.2">
      <c r="A433" s="3456"/>
      <c r="B433" s="3643"/>
      <c r="C433" s="3576"/>
      <c r="D433" s="3203">
        <f>D432+27000000</f>
        <v>2015000000</v>
      </c>
      <c r="E433" s="3205"/>
      <c r="F433" s="3203"/>
      <c r="G433" s="3815" t="s">
        <v>4867</v>
      </c>
      <c r="H433" s="3815"/>
      <c r="I433" s="3815"/>
      <c r="J433" s="3815"/>
      <c r="K433" s="3203"/>
      <c r="L433" s="3217"/>
    </row>
    <row r="434" spans="1:12" ht="30" customHeight="1" x14ac:dyDescent="0.2">
      <c r="A434" s="3451"/>
      <c r="B434" s="3526"/>
      <c r="C434" s="3571"/>
      <c r="D434" s="3221">
        <f>D433+385000000</f>
        <v>2400000000</v>
      </c>
      <c r="E434" s="3205"/>
      <c r="F434" s="3203"/>
      <c r="G434" s="3815" t="s">
        <v>4868</v>
      </c>
      <c r="H434" s="3815"/>
      <c r="I434" s="3815"/>
      <c r="J434" s="3815"/>
      <c r="K434" s="3203"/>
      <c r="L434" s="3217"/>
    </row>
    <row r="435" spans="1:12" ht="30" customHeight="1" x14ac:dyDescent="0.2">
      <c r="A435" s="3450">
        <v>305</v>
      </c>
      <c r="B435" s="3457" t="s">
        <v>155</v>
      </c>
      <c r="C435" s="3570"/>
      <c r="D435" s="3442">
        <v>750000000</v>
      </c>
      <c r="E435" s="3444">
        <v>6.5000000000000002E-2</v>
      </c>
      <c r="F435" s="3442">
        <v>48000000</v>
      </c>
      <c r="G435" s="2634">
        <v>10000000</v>
      </c>
      <c r="H435" s="2634" t="s">
        <v>4156</v>
      </c>
      <c r="I435" s="24" t="s">
        <v>2524</v>
      </c>
      <c r="J435" s="3442">
        <f>G435+G436</f>
        <v>38000000</v>
      </c>
      <c r="K435" s="3442">
        <f>38000000-J435</f>
        <v>0</v>
      </c>
      <c r="L435" s="385"/>
    </row>
    <row r="436" spans="1:12" ht="30" customHeight="1" x14ac:dyDescent="0.2">
      <c r="A436" s="3456"/>
      <c r="B436" s="3459"/>
      <c r="C436" s="3576"/>
      <c r="D436" s="3461"/>
      <c r="E436" s="3474"/>
      <c r="F436" s="3461"/>
      <c r="G436" s="2634">
        <v>28000000</v>
      </c>
      <c r="H436" s="2634" t="s">
        <v>4286</v>
      </c>
      <c r="I436" s="24" t="s">
        <v>2524</v>
      </c>
      <c r="J436" s="3461"/>
      <c r="K436" s="3461"/>
      <c r="L436" s="385" t="s">
        <v>3486</v>
      </c>
    </row>
    <row r="437" spans="1:12" ht="30" customHeight="1" x14ac:dyDescent="0.2">
      <c r="A437" s="3456"/>
      <c r="B437" s="3459"/>
      <c r="C437" s="3576"/>
      <c r="D437" s="3461"/>
      <c r="E437" s="3474"/>
      <c r="F437" s="3461"/>
      <c r="G437" s="2634"/>
      <c r="H437" s="2634"/>
      <c r="I437" s="24" t="s">
        <v>2524</v>
      </c>
      <c r="J437" s="3461"/>
      <c r="K437" s="3461"/>
      <c r="L437" s="385"/>
    </row>
    <row r="438" spans="1:12" ht="30" customHeight="1" x14ac:dyDescent="0.2">
      <c r="A438" s="3451"/>
      <c r="B438" s="3458"/>
      <c r="C438" s="3571"/>
      <c r="D438" s="3443"/>
      <c r="E438" s="3445"/>
      <c r="F438" s="3443"/>
      <c r="G438" s="2634"/>
      <c r="H438" s="2634"/>
      <c r="I438" s="24" t="s">
        <v>2524</v>
      </c>
      <c r="J438" s="3443"/>
      <c r="K438" s="3443"/>
      <c r="L438" s="385"/>
    </row>
    <row r="439" spans="1:12" ht="30" customHeight="1" x14ac:dyDescent="0.2">
      <c r="A439" s="3450">
        <v>307</v>
      </c>
      <c r="B439" s="3525" t="s">
        <v>157</v>
      </c>
      <c r="C439" s="3570" t="s">
        <v>1378</v>
      </c>
      <c r="D439" s="2634">
        <v>260000000</v>
      </c>
      <c r="E439" s="2688">
        <v>0.05</v>
      </c>
      <c r="F439" s="2634">
        <f t="shared" si="41"/>
        <v>13000000</v>
      </c>
      <c r="G439" s="2634">
        <v>13000000</v>
      </c>
      <c r="H439" s="2634" t="s">
        <v>4276</v>
      </c>
      <c r="I439" s="24" t="s">
        <v>2539</v>
      </c>
      <c r="J439" s="2634">
        <f>G439</f>
        <v>13000000</v>
      </c>
      <c r="K439" s="2634">
        <f>F439-J439</f>
        <v>0</v>
      </c>
      <c r="L439" s="2690"/>
    </row>
    <row r="440" spans="1:12" ht="30" customHeight="1" x14ac:dyDescent="0.2">
      <c r="A440" s="3451"/>
      <c r="B440" s="3526"/>
      <c r="C440" s="3571"/>
      <c r="D440" s="2988">
        <v>240000000</v>
      </c>
      <c r="E440" s="2998">
        <v>0.05</v>
      </c>
      <c r="F440" s="2988">
        <f>D440*E440</f>
        <v>12000000</v>
      </c>
      <c r="G440" s="3478" t="s">
        <v>4758</v>
      </c>
      <c r="H440" s="3479"/>
      <c r="I440" s="3479"/>
      <c r="J440" s="3480"/>
      <c r="K440" s="2991"/>
      <c r="L440" s="2989"/>
    </row>
    <row r="441" spans="1:12" ht="30" customHeight="1" x14ac:dyDescent="0.2">
      <c r="A441" s="2623">
        <v>308</v>
      </c>
      <c r="B441" s="2686" t="s">
        <v>158</v>
      </c>
      <c r="C441" s="2689" t="s">
        <v>1349</v>
      </c>
      <c r="D441" s="2622">
        <v>300000000</v>
      </c>
      <c r="E441" s="2688">
        <v>0.05</v>
      </c>
      <c r="F441" s="2622">
        <f t="shared" si="41"/>
        <v>15000000</v>
      </c>
      <c r="G441" s="3442">
        <v>18000000</v>
      </c>
      <c r="H441" s="3442" t="s">
        <v>4216</v>
      </c>
      <c r="I441" s="3586" t="s">
        <v>1993</v>
      </c>
      <c r="J441" s="3442">
        <f>G441</f>
        <v>18000000</v>
      </c>
      <c r="K441" s="3442">
        <f>(F441+F442)-J441</f>
        <v>6000000</v>
      </c>
      <c r="L441" s="3627" t="s">
        <v>4224</v>
      </c>
    </row>
    <row r="442" spans="1:12" ht="30" customHeight="1" x14ac:dyDescent="0.2">
      <c r="A442" s="2692">
        <v>309</v>
      </c>
      <c r="B442" s="2686" t="s">
        <v>1994</v>
      </c>
      <c r="C442" s="2689" t="s">
        <v>380</v>
      </c>
      <c r="D442" s="2634">
        <v>180000000</v>
      </c>
      <c r="E442" s="2631">
        <v>0.05</v>
      </c>
      <c r="F442" s="2634">
        <f>D442*E442</f>
        <v>9000000</v>
      </c>
      <c r="G442" s="3443"/>
      <c r="H442" s="3443"/>
      <c r="I442" s="3587"/>
      <c r="J442" s="3443"/>
      <c r="K442" s="3443"/>
      <c r="L442" s="3628"/>
    </row>
    <row r="443" spans="1:12" ht="30" customHeight="1" x14ac:dyDescent="0.2">
      <c r="A443" s="3450">
        <v>311</v>
      </c>
      <c r="B443" s="3457" t="s">
        <v>161</v>
      </c>
      <c r="C443" s="3570" t="s">
        <v>916</v>
      </c>
      <c r="D443" s="2634">
        <v>85000000</v>
      </c>
      <c r="E443" s="2688">
        <v>0.05</v>
      </c>
      <c r="F443" s="2634">
        <f t="shared" ref="F443:F458" si="43">D443*E443</f>
        <v>4250000</v>
      </c>
      <c r="G443" s="2634">
        <v>4250000</v>
      </c>
      <c r="H443" s="2634" t="s">
        <v>4062</v>
      </c>
      <c r="I443" s="2663" t="s">
        <v>4110</v>
      </c>
      <c r="J443" s="2634">
        <f>G443</f>
        <v>4250000</v>
      </c>
      <c r="K443" s="2634">
        <f t="shared" ref="K443:K449" si="44">F443-J443</f>
        <v>0</v>
      </c>
      <c r="L443" s="2715" t="s">
        <v>3588</v>
      </c>
    </row>
    <row r="444" spans="1:12" ht="30" customHeight="1" x14ac:dyDescent="0.2">
      <c r="A444" s="3451"/>
      <c r="B444" s="3458"/>
      <c r="C444" s="3571"/>
      <c r="D444" s="2634">
        <v>100000000</v>
      </c>
      <c r="E444" s="2688">
        <v>0.05</v>
      </c>
      <c r="F444" s="2634">
        <f t="shared" si="43"/>
        <v>5000000</v>
      </c>
      <c r="G444" s="2634"/>
      <c r="H444" s="2634"/>
      <c r="I444" s="69"/>
      <c r="J444" s="2634"/>
      <c r="K444" s="2634"/>
      <c r="L444" s="2715" t="s">
        <v>4269</v>
      </c>
    </row>
    <row r="445" spans="1:12" ht="30" customHeight="1" x14ac:dyDescent="0.2">
      <c r="A445" s="2623">
        <v>312</v>
      </c>
      <c r="B445" s="2690" t="s">
        <v>162</v>
      </c>
      <c r="C445" s="2660"/>
      <c r="D445" s="2647"/>
      <c r="E445" s="2720"/>
      <c r="F445" s="2647">
        <f t="shared" si="43"/>
        <v>0</v>
      </c>
      <c r="G445" s="2634"/>
      <c r="H445" s="2634"/>
      <c r="I445" s="24"/>
      <c r="J445" s="2634">
        <f>G445</f>
        <v>0</v>
      </c>
      <c r="K445" s="2647">
        <f t="shared" si="44"/>
        <v>0</v>
      </c>
      <c r="L445" s="2690"/>
    </row>
    <row r="446" spans="1:12" ht="30" customHeight="1" x14ac:dyDescent="0.2">
      <c r="A446" s="2704">
        <v>313</v>
      </c>
      <c r="B446" s="2690" t="s">
        <v>164</v>
      </c>
      <c r="C446" s="2689" t="s">
        <v>1746</v>
      </c>
      <c r="D446" s="2622">
        <v>152000000</v>
      </c>
      <c r="E446" s="2688">
        <v>0.05</v>
      </c>
      <c r="F446" s="2622">
        <f>D446*E446</f>
        <v>7600000</v>
      </c>
      <c r="G446" s="2622">
        <v>7600000</v>
      </c>
      <c r="H446" s="2622" t="s">
        <v>4156</v>
      </c>
      <c r="I446" s="2685" t="s">
        <v>328</v>
      </c>
      <c r="J446" s="2622">
        <f>G446</f>
        <v>7600000</v>
      </c>
      <c r="K446" s="2622">
        <f t="shared" si="44"/>
        <v>0</v>
      </c>
      <c r="L446" s="2701"/>
    </row>
    <row r="447" spans="1:12" ht="30" customHeight="1" x14ac:dyDescent="0.2">
      <c r="A447" s="2623">
        <v>315</v>
      </c>
      <c r="B447" s="22" t="s">
        <v>166</v>
      </c>
      <c r="C447" s="2689" t="s">
        <v>1219</v>
      </c>
      <c r="D447" s="2622">
        <v>400000000</v>
      </c>
      <c r="E447" s="2688">
        <v>6.3E-2</v>
      </c>
      <c r="F447" s="2622">
        <v>25000000</v>
      </c>
      <c r="G447" s="2622">
        <v>25000000</v>
      </c>
      <c r="H447" s="2622" t="s">
        <v>4156</v>
      </c>
      <c r="I447" s="2685" t="s">
        <v>1919</v>
      </c>
      <c r="J447" s="2622">
        <f t="shared" ref="J447:J457" si="45">G447</f>
        <v>25000000</v>
      </c>
      <c r="K447" s="2622">
        <f t="shared" si="44"/>
        <v>0</v>
      </c>
      <c r="L447" s="2656"/>
    </row>
    <row r="448" spans="1:12" ht="30" customHeight="1" x14ac:dyDescent="0.2">
      <c r="A448" s="2692">
        <v>316</v>
      </c>
      <c r="B448" s="2627" t="s">
        <v>167</v>
      </c>
      <c r="C448" s="2660"/>
      <c r="D448" s="2634">
        <v>35000000</v>
      </c>
      <c r="E448" s="2631">
        <v>0.04</v>
      </c>
      <c r="F448" s="2634">
        <f>D448*E448</f>
        <v>1400000</v>
      </c>
      <c r="G448" s="2634">
        <v>1400000</v>
      </c>
      <c r="H448" s="2634" t="s">
        <v>4133</v>
      </c>
      <c r="I448" s="2664" t="s">
        <v>293</v>
      </c>
      <c r="J448" s="2634">
        <f t="shared" si="45"/>
        <v>1400000</v>
      </c>
      <c r="K448" s="2634">
        <f t="shared" si="44"/>
        <v>0</v>
      </c>
      <c r="L448" s="2690"/>
    </row>
    <row r="449" spans="1:12" ht="30" customHeight="1" x14ac:dyDescent="0.2">
      <c r="A449" s="3450">
        <v>317</v>
      </c>
      <c r="B449" s="3457" t="s">
        <v>168</v>
      </c>
      <c r="C449" s="2660" t="s">
        <v>367</v>
      </c>
      <c r="D449" s="2634">
        <v>100000000</v>
      </c>
      <c r="E449" s="2688">
        <v>0.05</v>
      </c>
      <c r="F449" s="2634">
        <f>D449*E449</f>
        <v>5000000</v>
      </c>
      <c r="G449" s="2634">
        <v>5000000</v>
      </c>
      <c r="H449" s="2634" t="s">
        <v>1045</v>
      </c>
      <c r="I449" s="24" t="s">
        <v>3722</v>
      </c>
      <c r="J449" s="2634">
        <f t="shared" si="45"/>
        <v>5000000</v>
      </c>
      <c r="K449" s="2634">
        <f t="shared" si="44"/>
        <v>0</v>
      </c>
      <c r="L449" s="2715" t="s">
        <v>2842</v>
      </c>
    </row>
    <row r="450" spans="1:12" ht="30" customHeight="1" x14ac:dyDescent="0.2">
      <c r="A450" s="3456"/>
      <c r="B450" s="3459"/>
      <c r="C450" s="2660" t="s">
        <v>1342</v>
      </c>
      <c r="D450" s="2634">
        <v>210000000</v>
      </c>
      <c r="E450" s="2688">
        <v>0.05</v>
      </c>
      <c r="F450" s="2634">
        <f>D450*E450</f>
        <v>10500000</v>
      </c>
      <c r="G450" s="2634">
        <v>17000000</v>
      </c>
      <c r="H450" s="2634" t="s">
        <v>4201</v>
      </c>
      <c r="I450" s="24" t="s">
        <v>3722</v>
      </c>
      <c r="J450" s="2622">
        <f>G450</f>
        <v>17000000</v>
      </c>
      <c r="K450" s="2622">
        <f>17000000-J450</f>
        <v>0</v>
      </c>
      <c r="L450" s="2715" t="s">
        <v>2843</v>
      </c>
    </row>
    <row r="451" spans="1:12" ht="30" customHeight="1" x14ac:dyDescent="0.2">
      <c r="A451" s="2692">
        <v>318</v>
      </c>
      <c r="B451" s="2690" t="s">
        <v>170</v>
      </c>
      <c r="C451" s="2660"/>
      <c r="D451" s="2634">
        <v>80000000</v>
      </c>
      <c r="E451" s="2688">
        <v>0.05</v>
      </c>
      <c r="F451" s="2634">
        <f t="shared" si="43"/>
        <v>4000000</v>
      </c>
      <c r="G451" s="2634">
        <v>4000000</v>
      </c>
      <c r="H451" s="2634" t="s">
        <v>4184</v>
      </c>
      <c r="I451" s="21" t="s">
        <v>1927</v>
      </c>
      <c r="J451" s="2634">
        <f t="shared" si="45"/>
        <v>4000000</v>
      </c>
      <c r="K451" s="2634">
        <f>F451-J451</f>
        <v>0</v>
      </c>
      <c r="L451" s="2690"/>
    </row>
    <row r="452" spans="1:12" ht="30" customHeight="1" x14ac:dyDescent="0.2">
      <c r="A452" s="2692">
        <v>319</v>
      </c>
      <c r="B452" s="2690" t="s">
        <v>171</v>
      </c>
      <c r="C452" s="2660" t="s">
        <v>1342</v>
      </c>
      <c r="D452" s="2634">
        <v>200000000</v>
      </c>
      <c r="E452" s="2688">
        <v>5.5E-2</v>
      </c>
      <c r="F452" s="2634">
        <f t="shared" si="43"/>
        <v>11000000</v>
      </c>
      <c r="G452" s="2634"/>
      <c r="H452" s="2634"/>
      <c r="I452" s="24" t="s">
        <v>3861</v>
      </c>
      <c r="J452" s="2634">
        <f t="shared" si="45"/>
        <v>0</v>
      </c>
      <c r="K452" s="2634">
        <f>F452-J452</f>
        <v>11000000</v>
      </c>
      <c r="L452" s="2715"/>
    </row>
    <row r="453" spans="1:12" ht="30" customHeight="1" x14ac:dyDescent="0.2">
      <c r="A453" s="3450">
        <v>320</v>
      </c>
      <c r="B453" s="3457" t="s">
        <v>172</v>
      </c>
      <c r="C453" s="3570" t="s">
        <v>2408</v>
      </c>
      <c r="D453" s="2634">
        <v>135000000</v>
      </c>
      <c r="E453" s="2688">
        <v>0.06</v>
      </c>
      <c r="F453" s="2634">
        <v>8000000</v>
      </c>
      <c r="G453" s="3442">
        <v>9750000</v>
      </c>
      <c r="H453" s="3442" t="s">
        <v>4184</v>
      </c>
      <c r="I453" s="3452" t="s">
        <v>3816</v>
      </c>
      <c r="J453" s="3442">
        <f t="shared" si="45"/>
        <v>9750000</v>
      </c>
      <c r="K453" s="3442">
        <f>(F453+F454)-J453</f>
        <v>0</v>
      </c>
      <c r="L453" s="2715"/>
    </row>
    <row r="454" spans="1:12" ht="30" customHeight="1" x14ac:dyDescent="0.2">
      <c r="A454" s="3451"/>
      <c r="B454" s="3458"/>
      <c r="C454" s="3571"/>
      <c r="D454" s="2634">
        <v>35000000</v>
      </c>
      <c r="E454" s="2688">
        <v>0.05</v>
      </c>
      <c r="F454" s="2634">
        <f>D454*E454</f>
        <v>1750000</v>
      </c>
      <c r="G454" s="3443"/>
      <c r="H454" s="3443"/>
      <c r="I454" s="3453"/>
      <c r="J454" s="3443"/>
      <c r="K454" s="3443"/>
      <c r="L454" s="2715" t="s">
        <v>3594</v>
      </c>
    </row>
    <row r="455" spans="1:12" ht="30" customHeight="1" x14ac:dyDescent="0.2">
      <c r="A455" s="2692">
        <v>321</v>
      </c>
      <c r="B455" s="2690" t="s">
        <v>174</v>
      </c>
      <c r="C455" s="2660"/>
      <c r="D455" s="2634">
        <v>5000000</v>
      </c>
      <c r="E455" s="2688">
        <v>0.04</v>
      </c>
      <c r="F455" s="2634">
        <f t="shared" si="43"/>
        <v>200000</v>
      </c>
      <c r="G455" s="2634"/>
      <c r="H455" s="2634"/>
      <c r="I455" s="24" t="s">
        <v>2460</v>
      </c>
      <c r="J455" s="2634">
        <f t="shared" si="45"/>
        <v>0</v>
      </c>
      <c r="K455" s="2634">
        <f>F455-J455</f>
        <v>200000</v>
      </c>
      <c r="L455" s="2690"/>
    </row>
    <row r="456" spans="1:12" ht="30" customHeight="1" x14ac:dyDescent="0.2">
      <c r="A456" s="3450">
        <v>322</v>
      </c>
      <c r="B456" s="3457" t="s">
        <v>1450</v>
      </c>
      <c r="C456" s="3570" t="s">
        <v>1112</v>
      </c>
      <c r="D456" s="2634">
        <v>10000000</v>
      </c>
      <c r="E456" s="2688">
        <v>0.05</v>
      </c>
      <c r="F456" s="2634">
        <f t="shared" si="43"/>
        <v>500000</v>
      </c>
      <c r="G456" s="2634"/>
      <c r="H456" s="2634"/>
      <c r="I456" s="2682" t="s">
        <v>1448</v>
      </c>
      <c r="J456" s="2634">
        <f t="shared" si="45"/>
        <v>0</v>
      </c>
      <c r="K456" s="2634">
        <f>F456-J456</f>
        <v>500000</v>
      </c>
      <c r="L456" s="1077" t="s">
        <v>3575</v>
      </c>
    </row>
    <row r="457" spans="1:12" ht="30" customHeight="1" x14ac:dyDescent="0.2">
      <c r="A457" s="3451"/>
      <c r="B457" s="3458"/>
      <c r="C457" s="3571"/>
      <c r="D457" s="2634">
        <v>10000000</v>
      </c>
      <c r="E457" s="2688">
        <v>0.05</v>
      </c>
      <c r="F457" s="2634">
        <f t="shared" si="43"/>
        <v>500000</v>
      </c>
      <c r="G457" s="2634"/>
      <c r="H457" s="2634"/>
      <c r="I457" s="2682" t="s">
        <v>4043</v>
      </c>
      <c r="J457" s="2634">
        <f t="shared" si="45"/>
        <v>0</v>
      </c>
      <c r="K457" s="2634">
        <f>F457-J457</f>
        <v>500000</v>
      </c>
      <c r="L457" s="2690"/>
    </row>
    <row r="458" spans="1:12" ht="30" customHeight="1" x14ac:dyDescent="0.2">
      <c r="A458" s="2692">
        <v>323</v>
      </c>
      <c r="B458" s="2690" t="s">
        <v>175</v>
      </c>
      <c r="C458" s="2660"/>
      <c r="D458" s="2634">
        <v>60000000</v>
      </c>
      <c r="E458" s="2688">
        <v>4.4999999999999998E-2</v>
      </c>
      <c r="F458" s="2634">
        <f t="shared" si="43"/>
        <v>2700000</v>
      </c>
      <c r="G458" s="2634"/>
      <c r="H458" s="2634"/>
      <c r="I458" s="2662"/>
      <c r="J458" s="2634">
        <f>G458</f>
        <v>0</v>
      </c>
      <c r="K458" s="2634">
        <f>F458-J458</f>
        <v>2700000</v>
      </c>
      <c r="L458" s="2690"/>
    </row>
    <row r="459" spans="1:12" ht="30" customHeight="1" x14ac:dyDescent="0.2">
      <c r="A459" s="2692">
        <v>324</v>
      </c>
      <c r="B459" s="2690" t="s">
        <v>176</v>
      </c>
      <c r="C459" s="2660" t="s">
        <v>916</v>
      </c>
      <c r="D459" s="2634">
        <v>20000000</v>
      </c>
      <c r="E459" s="2688">
        <v>0.05</v>
      </c>
      <c r="F459" s="2634">
        <f>D459*E459</f>
        <v>1000000</v>
      </c>
      <c r="G459" s="2634"/>
      <c r="H459" s="2634"/>
      <c r="I459" s="24" t="s">
        <v>1839</v>
      </c>
      <c r="J459" s="2634">
        <f>G459</f>
        <v>0</v>
      </c>
      <c r="K459" s="2634">
        <f>F459-J459</f>
        <v>1000000</v>
      </c>
      <c r="L459" s="2690"/>
    </row>
    <row r="460" spans="1:12" ht="30" customHeight="1" x14ac:dyDescent="0.2">
      <c r="A460" s="3450">
        <v>325</v>
      </c>
      <c r="B460" s="3457" t="s">
        <v>273</v>
      </c>
      <c r="C460" s="3570"/>
      <c r="D460" s="2634">
        <v>300000000</v>
      </c>
      <c r="E460" s="2688">
        <v>0.1</v>
      </c>
      <c r="F460" s="2634">
        <v>30750000</v>
      </c>
      <c r="G460" s="3442">
        <v>40550000</v>
      </c>
      <c r="H460" s="3442" t="s">
        <v>1045</v>
      </c>
      <c r="I460" s="3452" t="s">
        <v>3062</v>
      </c>
      <c r="J460" s="3442">
        <f>G460</f>
        <v>40550000</v>
      </c>
      <c r="K460" s="3442">
        <f>(F460+F461)-J460</f>
        <v>0</v>
      </c>
      <c r="L460" s="3570"/>
    </row>
    <row r="461" spans="1:12" ht="30" customHeight="1" x14ac:dyDescent="0.2">
      <c r="A461" s="3451"/>
      <c r="B461" s="3458"/>
      <c r="C461" s="3571"/>
      <c r="D461" s="2634">
        <v>140000000</v>
      </c>
      <c r="E461" s="2688">
        <v>7.0000000000000007E-2</v>
      </c>
      <c r="F461" s="2634">
        <v>9800000</v>
      </c>
      <c r="G461" s="3443"/>
      <c r="H461" s="3443"/>
      <c r="I461" s="3453"/>
      <c r="J461" s="3443"/>
      <c r="K461" s="3443"/>
      <c r="L461" s="3571"/>
    </row>
    <row r="462" spans="1:12" ht="30" customHeight="1" x14ac:dyDescent="0.2">
      <c r="A462" s="3450">
        <v>326</v>
      </c>
      <c r="B462" s="3687" t="s">
        <v>179</v>
      </c>
      <c r="C462" s="3686"/>
      <c r="D462" s="3575">
        <v>500000000</v>
      </c>
      <c r="E462" s="3683">
        <v>0.05</v>
      </c>
      <c r="F462" s="3575">
        <f>D462*E462</f>
        <v>25000000</v>
      </c>
      <c r="G462" s="247"/>
      <c r="H462" s="247"/>
      <c r="I462" s="247"/>
      <c r="J462" s="247"/>
      <c r="K462" s="2622">
        <f>F462-J462</f>
        <v>25000000</v>
      </c>
      <c r="L462" s="3495" t="s">
        <v>3523</v>
      </c>
    </row>
    <row r="463" spans="1:12" ht="30" customHeight="1" x14ac:dyDescent="0.2">
      <c r="A463" s="3451"/>
      <c r="B463" s="3687"/>
      <c r="C463" s="3686"/>
      <c r="D463" s="3575"/>
      <c r="E463" s="3683"/>
      <c r="F463" s="3575"/>
      <c r="G463" s="247"/>
      <c r="H463" s="247"/>
      <c r="I463" s="247"/>
      <c r="J463" s="247"/>
      <c r="K463" s="2634"/>
      <c r="L463" s="3496"/>
    </row>
    <row r="464" spans="1:12" ht="30" customHeight="1" x14ac:dyDescent="0.2">
      <c r="A464" s="2692">
        <v>327</v>
      </c>
      <c r="B464" s="2627" t="s">
        <v>1280</v>
      </c>
      <c r="C464" s="2660"/>
      <c r="D464" s="2634">
        <v>60000000</v>
      </c>
      <c r="E464" s="2631">
        <v>0.05</v>
      </c>
      <c r="F464" s="2634">
        <f t="shared" ref="F464:F466" si="46">D464*E464</f>
        <v>3000000</v>
      </c>
      <c r="G464" s="2634"/>
      <c r="H464" s="2634"/>
      <c r="I464" s="24" t="s">
        <v>1279</v>
      </c>
      <c r="J464" s="2634">
        <f>G464</f>
        <v>0</v>
      </c>
      <c r="K464" s="2634">
        <f t="shared" ref="K464:K469" si="47">F464-J464</f>
        <v>3000000</v>
      </c>
      <c r="L464" s="2715"/>
    </row>
    <row r="465" spans="1:12" ht="30" customHeight="1" x14ac:dyDescent="0.2">
      <c r="A465" s="3143">
        <v>328</v>
      </c>
      <c r="B465" s="22" t="s">
        <v>2809</v>
      </c>
      <c r="C465" s="421" t="s">
        <v>971</v>
      </c>
      <c r="D465" s="3119">
        <v>695000000</v>
      </c>
      <c r="E465" s="3137">
        <v>0.06</v>
      </c>
      <c r="F465" s="3119">
        <f>D465*E465</f>
        <v>41700000</v>
      </c>
      <c r="G465" s="3769" t="s">
        <v>4825</v>
      </c>
      <c r="H465" s="3770"/>
      <c r="I465" s="3770"/>
      <c r="J465" s="3771"/>
      <c r="K465" s="3119">
        <f t="shared" si="47"/>
        <v>41700000</v>
      </c>
      <c r="L465" s="2715"/>
    </row>
    <row r="466" spans="1:12" ht="30" customHeight="1" x14ac:dyDescent="0.2">
      <c r="A466" s="2623">
        <v>329</v>
      </c>
      <c r="B466" s="2686" t="s">
        <v>184</v>
      </c>
      <c r="C466" s="421"/>
      <c r="D466" s="2651"/>
      <c r="E466" s="2720"/>
      <c r="F466" s="2651">
        <f t="shared" si="46"/>
        <v>0</v>
      </c>
      <c r="G466" s="2622"/>
      <c r="H466" s="2622"/>
      <c r="I466" s="2685"/>
      <c r="J466" s="2622"/>
      <c r="K466" s="2651">
        <f t="shared" si="47"/>
        <v>0</v>
      </c>
      <c r="L466" s="2656"/>
    </row>
    <row r="467" spans="1:12" ht="30" customHeight="1" x14ac:dyDescent="0.2">
      <c r="A467" s="2692">
        <v>330</v>
      </c>
      <c r="B467" s="2690" t="s">
        <v>1211</v>
      </c>
      <c r="C467" s="2660" t="s">
        <v>1175</v>
      </c>
      <c r="D467" s="2634">
        <v>30000000</v>
      </c>
      <c r="E467" s="2631">
        <f>F467/D467</f>
        <v>0.05</v>
      </c>
      <c r="F467" s="2634">
        <v>1500000</v>
      </c>
      <c r="G467" s="2634">
        <v>1500000</v>
      </c>
      <c r="H467" s="2634" t="s">
        <v>4330</v>
      </c>
      <c r="I467" s="24" t="s">
        <v>4408</v>
      </c>
      <c r="J467" s="2634">
        <f>G467</f>
        <v>1500000</v>
      </c>
      <c r="K467" s="2634">
        <f t="shared" si="47"/>
        <v>0</v>
      </c>
      <c r="L467" s="2690"/>
    </row>
    <row r="468" spans="1:12" ht="30" customHeight="1" x14ac:dyDescent="0.2">
      <c r="A468" s="2704">
        <v>331</v>
      </c>
      <c r="B468" s="2690" t="s">
        <v>345</v>
      </c>
      <c r="C468" s="2689" t="s">
        <v>379</v>
      </c>
      <c r="D468" s="2622">
        <v>290000000</v>
      </c>
      <c r="E468" s="2688">
        <v>0.06</v>
      </c>
      <c r="F468" s="2622">
        <f t="shared" ref="F468:F472" si="48">D468*E468</f>
        <v>17400000</v>
      </c>
      <c r="G468" s="2622">
        <v>17400000</v>
      </c>
      <c r="H468" s="2622" t="s">
        <v>4184</v>
      </c>
      <c r="I468" s="2622" t="s">
        <v>4095</v>
      </c>
      <c r="J468" s="2622">
        <f>G468</f>
        <v>17400000</v>
      </c>
      <c r="K468" s="2622">
        <f t="shared" si="47"/>
        <v>0</v>
      </c>
      <c r="L468" s="2715"/>
    </row>
    <row r="469" spans="1:12" ht="30" customHeight="1" x14ac:dyDescent="0.2">
      <c r="A469" s="2692">
        <v>332</v>
      </c>
      <c r="B469" s="2627" t="s">
        <v>378</v>
      </c>
      <c r="C469" s="2660" t="s">
        <v>379</v>
      </c>
      <c r="D469" s="2634">
        <v>30000000</v>
      </c>
      <c r="E469" s="2631">
        <v>0.05</v>
      </c>
      <c r="F469" s="2634">
        <f t="shared" si="48"/>
        <v>1500000</v>
      </c>
      <c r="G469" s="2634">
        <v>1500000</v>
      </c>
      <c r="H469" s="2634" t="s">
        <v>4216</v>
      </c>
      <c r="I469" s="24" t="s">
        <v>3713</v>
      </c>
      <c r="J469" s="2633">
        <f>G469</f>
        <v>1500000</v>
      </c>
      <c r="K469" s="2633">
        <f t="shared" si="47"/>
        <v>0</v>
      </c>
      <c r="L469" s="2690"/>
    </row>
    <row r="470" spans="1:12" ht="30" customHeight="1" x14ac:dyDescent="0.2">
      <c r="A470" s="3450">
        <v>333</v>
      </c>
      <c r="B470" s="3457" t="s">
        <v>915</v>
      </c>
      <c r="C470" s="3570" t="s">
        <v>916</v>
      </c>
      <c r="D470" s="2634">
        <v>320000000</v>
      </c>
      <c r="E470" s="2688">
        <v>0.05</v>
      </c>
      <c r="F470" s="2634">
        <f t="shared" si="48"/>
        <v>16000000</v>
      </c>
      <c r="G470" s="3442">
        <v>21000000</v>
      </c>
      <c r="H470" s="3442" t="s">
        <v>1263</v>
      </c>
      <c r="I470" s="3452" t="s">
        <v>1395</v>
      </c>
      <c r="J470" s="3575">
        <f>G470</f>
        <v>21000000</v>
      </c>
      <c r="K470" s="3575">
        <f>(F470+F471)-J470</f>
        <v>0</v>
      </c>
      <c r="L470" s="3627"/>
    </row>
    <row r="471" spans="1:12" ht="30" customHeight="1" x14ac:dyDescent="0.2">
      <c r="A471" s="3451"/>
      <c r="B471" s="3458"/>
      <c r="C471" s="3571"/>
      <c r="D471" s="2634">
        <v>100000000</v>
      </c>
      <c r="E471" s="2688">
        <v>0.05</v>
      </c>
      <c r="F471" s="2634">
        <f t="shared" si="48"/>
        <v>5000000</v>
      </c>
      <c r="G471" s="3443"/>
      <c r="H471" s="3443"/>
      <c r="I471" s="3453"/>
      <c r="J471" s="3575"/>
      <c r="K471" s="3575"/>
      <c r="L471" s="3628"/>
    </row>
    <row r="472" spans="1:12" ht="30" customHeight="1" x14ac:dyDescent="0.2">
      <c r="A472" s="2623">
        <v>335</v>
      </c>
      <c r="B472" s="22" t="s">
        <v>1328</v>
      </c>
      <c r="C472" s="2689" t="s">
        <v>916</v>
      </c>
      <c r="D472" s="2634">
        <v>15000000</v>
      </c>
      <c r="E472" s="2688">
        <v>0.05</v>
      </c>
      <c r="F472" s="2634">
        <f t="shared" si="48"/>
        <v>750000</v>
      </c>
      <c r="G472" s="2634">
        <v>750000</v>
      </c>
      <c r="H472" s="2634" t="s">
        <v>4059</v>
      </c>
      <c r="I472" s="24" t="s">
        <v>3546</v>
      </c>
      <c r="J472" s="2634">
        <f>G472</f>
        <v>750000</v>
      </c>
      <c r="K472" s="2634">
        <f>F472-J472</f>
        <v>0</v>
      </c>
      <c r="L472" s="2715" t="s">
        <v>3524</v>
      </c>
    </row>
    <row r="473" spans="1:12" ht="30" customHeight="1" x14ac:dyDescent="0.2">
      <c r="A473" s="2692">
        <v>336</v>
      </c>
      <c r="B473" s="2627" t="s">
        <v>2710</v>
      </c>
      <c r="C473" s="2660" t="s">
        <v>916</v>
      </c>
      <c r="D473" s="2634">
        <v>210000000</v>
      </c>
      <c r="E473" s="2688">
        <v>0.05</v>
      </c>
      <c r="F473" s="2634">
        <f>D473*E473</f>
        <v>10500000</v>
      </c>
      <c r="G473" s="2634">
        <v>10500000</v>
      </c>
      <c r="H473" s="2634" t="s">
        <v>1263</v>
      </c>
      <c r="I473" s="24" t="s">
        <v>3544</v>
      </c>
      <c r="J473" s="2634">
        <f>G473</f>
        <v>10500000</v>
      </c>
      <c r="K473" s="2634">
        <f>F473-J473</f>
        <v>0</v>
      </c>
      <c r="L473" s="2690"/>
    </row>
    <row r="474" spans="1:12" ht="30" customHeight="1" x14ac:dyDescent="0.2">
      <c r="A474" s="2692">
        <v>337</v>
      </c>
      <c r="B474" s="2627" t="s">
        <v>1376</v>
      </c>
      <c r="C474" s="2660" t="s">
        <v>916</v>
      </c>
      <c r="D474" s="2634">
        <v>80000000</v>
      </c>
      <c r="E474" s="2688">
        <v>7.0000000000000007E-2</v>
      </c>
      <c r="F474" s="2634">
        <f t="shared" ref="F474:F491" si="49">D474*E474</f>
        <v>5600000.0000000009</v>
      </c>
      <c r="G474" s="2634">
        <v>5600000</v>
      </c>
      <c r="H474" s="2634" t="s">
        <v>4105</v>
      </c>
      <c r="I474" s="24" t="s">
        <v>4131</v>
      </c>
      <c r="J474" s="2634">
        <f>G474</f>
        <v>5600000</v>
      </c>
      <c r="K474" s="2634">
        <f>G474-J474</f>
        <v>0</v>
      </c>
      <c r="L474" s="2690"/>
    </row>
    <row r="475" spans="1:12" ht="30" customHeight="1" x14ac:dyDescent="0.2">
      <c r="A475" s="3450"/>
      <c r="B475" s="3525" t="s">
        <v>1776</v>
      </c>
      <c r="C475" s="3570" t="s">
        <v>916</v>
      </c>
      <c r="D475" s="2707">
        <v>235500000</v>
      </c>
      <c r="E475" s="2688">
        <v>0.05</v>
      </c>
      <c r="F475" s="2634">
        <f t="shared" si="49"/>
        <v>11775000</v>
      </c>
      <c r="G475" s="2618"/>
      <c r="H475" s="2620"/>
      <c r="I475" s="2620"/>
      <c r="J475" s="2620"/>
      <c r="K475" s="1658"/>
      <c r="L475" s="2669"/>
    </row>
    <row r="476" spans="1:12" ht="30" customHeight="1" x14ac:dyDescent="0.2">
      <c r="A476" s="3456"/>
      <c r="B476" s="3643"/>
      <c r="C476" s="3576"/>
      <c r="D476" s="2634">
        <v>300000000</v>
      </c>
      <c r="E476" s="2688">
        <v>7.0000000000000007E-2</v>
      </c>
      <c r="F476" s="2634">
        <f t="shared" si="49"/>
        <v>21000000.000000004</v>
      </c>
      <c r="G476" s="2618"/>
      <c r="H476" s="2620"/>
      <c r="I476" s="2620"/>
      <c r="J476" s="2620"/>
      <c r="K476" s="1658"/>
      <c r="L476" s="2669"/>
    </row>
    <row r="477" spans="1:12" ht="30" customHeight="1" x14ac:dyDescent="0.2">
      <c r="A477" s="3456"/>
      <c r="B477" s="3643"/>
      <c r="C477" s="3576"/>
      <c r="D477" s="2634">
        <v>30000000</v>
      </c>
      <c r="E477" s="2688">
        <v>7.0000000000000007E-2</v>
      </c>
      <c r="F477" s="2634">
        <f t="shared" si="49"/>
        <v>2100000</v>
      </c>
      <c r="G477" s="2618"/>
      <c r="H477" s="2620"/>
      <c r="I477" s="2620"/>
      <c r="J477" s="2620"/>
      <c r="K477" s="1658"/>
      <c r="L477" s="2669"/>
    </row>
    <row r="478" spans="1:12" ht="30" customHeight="1" x14ac:dyDescent="0.2">
      <c r="A478" s="3456"/>
      <c r="B478" s="3643"/>
      <c r="C478" s="3576"/>
      <c r="D478" s="2622">
        <v>20000000</v>
      </c>
      <c r="E478" s="2629">
        <v>7.0000000000000007E-2</v>
      </c>
      <c r="F478" s="2622">
        <f>D478*E478</f>
        <v>1400000.0000000002</v>
      </c>
      <c r="G478" s="2618"/>
      <c r="H478" s="2620"/>
      <c r="I478" s="2620"/>
      <c r="J478" s="2620"/>
      <c r="K478" s="1658"/>
      <c r="L478" s="2669"/>
    </row>
    <row r="479" spans="1:12" ht="30" customHeight="1" x14ac:dyDescent="0.2">
      <c r="A479" s="3456"/>
      <c r="B479" s="3643"/>
      <c r="C479" s="3576"/>
      <c r="D479" s="2622">
        <v>12000000</v>
      </c>
      <c r="E479" s="2629">
        <v>7.0000000000000007E-2</v>
      </c>
      <c r="F479" s="2622">
        <f>D479*E479</f>
        <v>840000.00000000012</v>
      </c>
      <c r="G479" s="2618"/>
      <c r="H479" s="2620"/>
      <c r="I479" s="2620"/>
      <c r="J479" s="2620"/>
      <c r="K479" s="1658"/>
      <c r="L479" s="2669"/>
    </row>
    <row r="480" spans="1:12" ht="30" customHeight="1" x14ac:dyDescent="0.2">
      <c r="A480" s="3456"/>
      <c r="B480" s="3643"/>
      <c r="C480" s="3576"/>
      <c r="D480" s="1914">
        <f>SUM(D476:D479)</f>
        <v>362000000</v>
      </c>
      <c r="E480" s="2629">
        <v>7.0000000000000007E-2</v>
      </c>
      <c r="F480" s="2622">
        <f>D480*E480</f>
        <v>25340000.000000004</v>
      </c>
      <c r="G480" s="2618"/>
      <c r="H480" s="2620"/>
      <c r="I480" s="2620"/>
      <c r="J480" s="2620"/>
      <c r="K480" s="1658"/>
      <c r="L480" s="2669"/>
    </row>
    <row r="481" spans="1:17" ht="30" customHeight="1" x14ac:dyDescent="0.2">
      <c r="A481" s="3456"/>
      <c r="B481" s="3643"/>
      <c r="C481" s="3576"/>
      <c r="D481" s="3819">
        <f>D475+D480</f>
        <v>597500000</v>
      </c>
      <c r="E481" s="3820"/>
      <c r="F481" s="1914">
        <f>F475+F480</f>
        <v>37115000</v>
      </c>
      <c r="G481" s="2618"/>
      <c r="H481" s="2620"/>
      <c r="I481" s="2620"/>
      <c r="J481" s="2620"/>
      <c r="K481" s="1658"/>
      <c r="L481" s="2669"/>
    </row>
    <row r="482" spans="1:17" ht="30" customHeight="1" x14ac:dyDescent="0.2">
      <c r="A482" s="3456"/>
      <c r="B482" s="3643"/>
      <c r="C482" s="3576"/>
      <c r="D482" s="1914">
        <v>45000000</v>
      </c>
      <c r="E482" s="2716">
        <v>7.0000000000000007E-2</v>
      </c>
      <c r="F482" s="1914">
        <f>D482*E482</f>
        <v>3150000.0000000005</v>
      </c>
      <c r="G482" s="2618"/>
      <c r="H482" s="2620"/>
      <c r="I482" s="2620"/>
      <c r="J482" s="2620"/>
      <c r="K482" s="1658"/>
      <c r="L482" s="2669"/>
    </row>
    <row r="483" spans="1:17" ht="30" customHeight="1" x14ac:dyDescent="0.2">
      <c r="A483" s="3456"/>
      <c r="B483" s="3643"/>
      <c r="C483" s="3576"/>
      <c r="D483" s="1914">
        <v>100000000</v>
      </c>
      <c r="E483" s="2716">
        <v>7.0000000000000007E-2</v>
      </c>
      <c r="F483" s="1914">
        <f>D483*E483</f>
        <v>7000000.0000000009</v>
      </c>
      <c r="G483" s="3478" t="s">
        <v>3929</v>
      </c>
      <c r="H483" s="3479"/>
      <c r="I483" s="3479"/>
      <c r="J483" s="3479"/>
      <c r="K483" s="3480"/>
      <c r="L483" s="2669"/>
    </row>
    <row r="484" spans="1:17" ht="30" customHeight="1" x14ac:dyDescent="0.2">
      <c r="A484" s="3456"/>
      <c r="B484" s="3643"/>
      <c r="C484" s="3576"/>
      <c r="D484" s="1914">
        <v>80000000</v>
      </c>
      <c r="E484" s="2716">
        <v>7.0000000000000007E-2</v>
      </c>
      <c r="F484" s="1914">
        <f t="shared" ref="F484:F485" si="50">D484*E484</f>
        <v>5600000.0000000009</v>
      </c>
      <c r="G484" s="3478" t="s">
        <v>3930</v>
      </c>
      <c r="H484" s="3479"/>
      <c r="I484" s="3479"/>
      <c r="J484" s="3479"/>
      <c r="K484" s="3480"/>
      <c r="L484" s="2669"/>
    </row>
    <row r="485" spans="1:17" ht="30" customHeight="1" x14ac:dyDescent="0.2">
      <c r="A485" s="3456"/>
      <c r="B485" s="3643"/>
      <c r="C485" s="3576"/>
      <c r="D485" s="1914">
        <v>55000000</v>
      </c>
      <c r="E485" s="2716">
        <v>7.0000000000000007E-2</v>
      </c>
      <c r="F485" s="1914">
        <f t="shared" si="50"/>
        <v>3850000.0000000005</v>
      </c>
      <c r="G485" s="3478" t="s">
        <v>3931</v>
      </c>
      <c r="H485" s="3479"/>
      <c r="I485" s="3479"/>
      <c r="J485" s="3479"/>
      <c r="K485" s="3480"/>
      <c r="L485" s="2669"/>
    </row>
    <row r="486" spans="1:17" ht="30" customHeight="1" x14ac:dyDescent="0.2">
      <c r="A486" s="3456"/>
      <c r="B486" s="3643"/>
      <c r="C486" s="3576"/>
      <c r="D486" s="3819">
        <f>D481+D482+D483+D484+D485</f>
        <v>877500000</v>
      </c>
      <c r="E486" s="3820"/>
      <c r="F486" s="1914">
        <f>F481+F482+F483+F484+F485</f>
        <v>56715000</v>
      </c>
      <c r="G486" s="3827" t="s">
        <v>3811</v>
      </c>
      <c r="H486" s="3828"/>
      <c r="I486" s="3828"/>
      <c r="J486" s="3828"/>
      <c r="K486" s="3829"/>
      <c r="L486" s="2669"/>
    </row>
    <row r="487" spans="1:17" ht="30" customHeight="1" x14ac:dyDescent="0.2">
      <c r="A487" s="3456"/>
      <c r="B487" s="3643"/>
      <c r="C487" s="3576"/>
      <c r="D487" s="1914">
        <v>150000000</v>
      </c>
      <c r="E487" s="2716">
        <v>7.0000000000000007E-2</v>
      </c>
      <c r="F487" s="1914">
        <f>D487*E487</f>
        <v>10500000.000000002</v>
      </c>
      <c r="G487" s="3478" t="s">
        <v>4343</v>
      </c>
      <c r="H487" s="3479"/>
      <c r="I487" s="3479"/>
      <c r="J487" s="3479"/>
      <c r="K487" s="3480"/>
      <c r="L487" s="2669"/>
    </row>
    <row r="488" spans="1:17" ht="30" customHeight="1" x14ac:dyDescent="0.2">
      <c r="A488" s="3456"/>
      <c r="B488" s="3643"/>
      <c r="C488" s="3576"/>
      <c r="D488" s="1914">
        <v>100000000</v>
      </c>
      <c r="E488" s="2716">
        <v>7.0000000000000007E-2</v>
      </c>
      <c r="F488" s="1914">
        <f>D488*E488</f>
        <v>7000000.0000000009</v>
      </c>
      <c r="G488" s="3478" t="s">
        <v>4344</v>
      </c>
      <c r="H488" s="3479"/>
      <c r="I488" s="3479"/>
      <c r="J488" s="3479"/>
      <c r="K488" s="3480"/>
      <c r="L488" s="2669"/>
    </row>
    <row r="489" spans="1:17" ht="30" customHeight="1" x14ac:dyDescent="0.2">
      <c r="A489" s="3456"/>
      <c r="B489" s="3643"/>
      <c r="C489" s="3576"/>
      <c r="D489" s="3819">
        <f>D486+D487+D488</f>
        <v>1127500000</v>
      </c>
      <c r="E489" s="3820"/>
      <c r="F489" s="1914">
        <f>F486+F487+F488</f>
        <v>74215000</v>
      </c>
      <c r="G489" s="3827" t="s">
        <v>4020</v>
      </c>
      <c r="H489" s="3828"/>
      <c r="I489" s="3828"/>
      <c r="J489" s="3828"/>
      <c r="K489" s="3829"/>
      <c r="L489" s="2669"/>
    </row>
    <row r="490" spans="1:17" ht="30" customHeight="1" x14ac:dyDescent="0.2">
      <c r="A490" s="3451"/>
      <c r="B490" s="3526"/>
      <c r="C490" s="3571"/>
      <c r="D490" s="1914"/>
      <c r="E490" s="2716"/>
      <c r="F490" s="1914"/>
      <c r="G490" s="2622">
        <v>56715000</v>
      </c>
      <c r="H490" s="2622" t="s">
        <v>2141</v>
      </c>
      <c r="I490" s="2622" t="s">
        <v>1819</v>
      </c>
      <c r="J490" s="2622">
        <f>G490</f>
        <v>56715000</v>
      </c>
      <c r="K490" s="2622">
        <f>F486-J490</f>
        <v>0</v>
      </c>
      <c r="L490" s="2669" t="s">
        <v>4092</v>
      </c>
    </row>
    <row r="491" spans="1:17" ht="30" customHeight="1" x14ac:dyDescent="0.2">
      <c r="A491" s="2705">
        <v>339</v>
      </c>
      <c r="B491" s="2687" t="s">
        <v>173</v>
      </c>
      <c r="C491" s="2660" t="s">
        <v>1378</v>
      </c>
      <c r="D491" s="2622">
        <v>200000000</v>
      </c>
      <c r="E491" s="2688">
        <v>7.0000000000000007E-2</v>
      </c>
      <c r="F491" s="2622">
        <f t="shared" si="49"/>
        <v>14000000.000000002</v>
      </c>
      <c r="G491" s="247"/>
      <c r="H491" s="247"/>
      <c r="I491" s="1441"/>
      <c r="J491" s="247"/>
      <c r="K491" s="430"/>
      <c r="L491" s="2694"/>
      <c r="M491" s="429"/>
      <c r="N491" s="429"/>
      <c r="O491" s="429"/>
      <c r="P491" s="429"/>
      <c r="Q491" s="429"/>
    </row>
    <row r="492" spans="1:17" ht="30" customHeight="1" x14ac:dyDescent="0.2">
      <c r="A492" s="2705">
        <v>340</v>
      </c>
      <c r="B492" s="22" t="s">
        <v>68</v>
      </c>
      <c r="C492" s="421" t="s">
        <v>1175</v>
      </c>
      <c r="D492" s="2634">
        <v>85000000</v>
      </c>
      <c r="E492" s="2688">
        <v>0.05</v>
      </c>
      <c r="F492" s="2634">
        <f>D492*E492</f>
        <v>4250000</v>
      </c>
      <c r="G492" s="2622"/>
      <c r="H492" s="2622"/>
      <c r="I492" s="2685"/>
      <c r="J492" s="2622">
        <f t="shared" ref="J492:J502" si="51">G492</f>
        <v>0</v>
      </c>
      <c r="K492" s="2619">
        <f>F492-J492</f>
        <v>4250000</v>
      </c>
      <c r="L492" s="2674"/>
      <c r="M492" s="429"/>
      <c r="N492" s="429"/>
      <c r="O492" s="429"/>
      <c r="P492" s="429"/>
      <c r="Q492" s="429"/>
    </row>
    <row r="493" spans="1:17" ht="30" customHeight="1" x14ac:dyDescent="0.2">
      <c r="A493" s="3450">
        <v>341</v>
      </c>
      <c r="B493" s="3457" t="s">
        <v>1429</v>
      </c>
      <c r="C493" s="3570" t="s">
        <v>916</v>
      </c>
      <c r="D493" s="3144">
        <v>75000000</v>
      </c>
      <c r="E493" s="949">
        <v>4.4999999999999998E-2</v>
      </c>
      <c r="F493" s="3144">
        <v>3500000</v>
      </c>
      <c r="G493" s="3478" t="s">
        <v>4818</v>
      </c>
      <c r="H493" s="3479"/>
      <c r="I493" s="3479"/>
      <c r="J493" s="3480"/>
      <c r="K493" s="2678"/>
      <c r="L493" s="3140" t="s">
        <v>4817</v>
      </c>
      <c r="M493" s="429"/>
      <c r="N493" s="429"/>
      <c r="O493" s="429"/>
      <c r="P493" s="429"/>
      <c r="Q493" s="429"/>
    </row>
    <row r="494" spans="1:17" ht="30" customHeight="1" x14ac:dyDescent="0.2">
      <c r="A494" s="3451"/>
      <c r="B494" s="3458"/>
      <c r="C494" s="3571"/>
      <c r="D494" s="3144">
        <v>75000000</v>
      </c>
      <c r="E494" s="949">
        <v>4.4999999999999998E-2</v>
      </c>
      <c r="F494" s="3144">
        <v>3500000</v>
      </c>
      <c r="G494" s="3120"/>
      <c r="H494" s="3120"/>
      <c r="I494" s="3129"/>
      <c r="J494" s="3120"/>
      <c r="K494" s="3135"/>
      <c r="L494" s="3140"/>
      <c r="M494" s="429"/>
      <c r="N494" s="429"/>
      <c r="O494" s="429"/>
      <c r="P494" s="429"/>
      <c r="Q494" s="429"/>
    </row>
    <row r="495" spans="1:17" ht="30" customHeight="1" x14ac:dyDescent="0.2">
      <c r="A495" s="3450">
        <v>342</v>
      </c>
      <c r="B495" s="3457" t="s">
        <v>72</v>
      </c>
      <c r="C495" s="3570" t="s">
        <v>2493</v>
      </c>
      <c r="D495" s="2634">
        <v>110000000</v>
      </c>
      <c r="E495" s="2688">
        <v>0.05</v>
      </c>
      <c r="F495" s="2634">
        <f>D495*E495</f>
        <v>5500000</v>
      </c>
      <c r="G495" s="2634">
        <v>5500000</v>
      </c>
      <c r="H495" s="2634" t="s">
        <v>4068</v>
      </c>
      <c r="I495" s="2654" t="s">
        <v>3549</v>
      </c>
      <c r="J495" s="2634">
        <f t="shared" si="51"/>
        <v>5500000</v>
      </c>
      <c r="K495" s="2678">
        <f>F495-J495</f>
        <v>0</v>
      </c>
      <c r="L495" s="2694"/>
      <c r="M495" s="429"/>
      <c r="N495" s="429"/>
      <c r="O495" s="429"/>
      <c r="P495" s="429"/>
      <c r="Q495" s="429"/>
    </row>
    <row r="496" spans="1:17" ht="30" customHeight="1" x14ac:dyDescent="0.2">
      <c r="A496" s="3451"/>
      <c r="B496" s="3458"/>
      <c r="C496" s="3571"/>
      <c r="D496" s="2634">
        <v>70000000</v>
      </c>
      <c r="E496" s="2688">
        <v>0.05</v>
      </c>
      <c r="F496" s="2634">
        <f>D496*E496</f>
        <v>3500000</v>
      </c>
      <c r="G496" s="2634">
        <v>40000000</v>
      </c>
      <c r="H496" s="2634" t="s">
        <v>4249</v>
      </c>
      <c r="I496" s="2654" t="s">
        <v>4250</v>
      </c>
      <c r="J496" s="2634">
        <f>G496</f>
        <v>40000000</v>
      </c>
      <c r="K496" s="2678"/>
      <c r="L496" s="2673" t="s">
        <v>1284</v>
      </c>
      <c r="M496" s="429"/>
      <c r="N496" s="429"/>
      <c r="O496" s="429"/>
      <c r="P496" s="429"/>
      <c r="Q496" s="429"/>
    </row>
    <row r="497" spans="1:17" ht="30" customHeight="1" x14ac:dyDescent="0.2">
      <c r="A497" s="1081">
        <v>343</v>
      </c>
      <c r="B497" s="22" t="s">
        <v>1437</v>
      </c>
      <c r="C497" s="2689" t="s">
        <v>1909</v>
      </c>
      <c r="D497" s="2622">
        <v>8000000</v>
      </c>
      <c r="E497" s="2688">
        <v>0.04</v>
      </c>
      <c r="F497" s="2622">
        <f>D497*E497</f>
        <v>320000</v>
      </c>
      <c r="G497" s="2622">
        <v>320000</v>
      </c>
      <c r="H497" s="2622" t="s">
        <v>4286</v>
      </c>
      <c r="I497" s="2622" t="s">
        <v>1438</v>
      </c>
      <c r="J497" s="2622">
        <f t="shared" si="51"/>
        <v>320000</v>
      </c>
      <c r="K497" s="2619">
        <f>F497-J497</f>
        <v>0</v>
      </c>
      <c r="L497" s="2677"/>
      <c r="M497" s="429"/>
      <c r="N497" s="429"/>
      <c r="O497" s="429"/>
      <c r="P497" s="429"/>
      <c r="Q497" s="429"/>
    </row>
    <row r="498" spans="1:17" ht="30" customHeight="1" x14ac:dyDescent="0.2">
      <c r="A498" s="2625">
        <v>344</v>
      </c>
      <c r="B498" s="2627" t="s">
        <v>1445</v>
      </c>
      <c r="C498" s="2660"/>
      <c r="D498" s="2647"/>
      <c r="E498" s="2649"/>
      <c r="F498" s="2647"/>
      <c r="G498" s="2634">
        <v>6500000</v>
      </c>
      <c r="H498" s="2634" t="s">
        <v>4062</v>
      </c>
      <c r="I498" s="2654" t="s">
        <v>3565</v>
      </c>
      <c r="J498" s="2634">
        <f t="shared" si="51"/>
        <v>6500000</v>
      </c>
      <c r="K498" s="2683">
        <f>F498-J498</f>
        <v>-6500000</v>
      </c>
      <c r="L498" s="2694"/>
      <c r="M498" s="429"/>
      <c r="N498" s="429"/>
      <c r="O498" s="429"/>
      <c r="P498" s="429"/>
      <c r="Q498" s="429"/>
    </row>
    <row r="499" spans="1:17" ht="30" customHeight="1" x14ac:dyDescent="0.2">
      <c r="A499" s="2625">
        <v>345</v>
      </c>
      <c r="B499" s="2627" t="s">
        <v>2206</v>
      </c>
      <c r="C499" s="2660" t="s">
        <v>1354</v>
      </c>
      <c r="D499" s="2634">
        <v>60000000</v>
      </c>
      <c r="E499" s="2688">
        <v>7.0000000000000007E-2</v>
      </c>
      <c r="F499" s="2634">
        <f>D499*E499</f>
        <v>4200000</v>
      </c>
      <c r="G499" s="2634">
        <v>4200000</v>
      </c>
      <c r="H499" s="2634" t="s">
        <v>4249</v>
      </c>
      <c r="I499" s="2654" t="s">
        <v>4268</v>
      </c>
      <c r="J499" s="2634">
        <f t="shared" si="51"/>
        <v>4200000</v>
      </c>
      <c r="K499" s="2678">
        <f>G499-J499</f>
        <v>0</v>
      </c>
      <c r="L499" s="2694"/>
      <c r="M499" s="429"/>
      <c r="N499" s="429"/>
      <c r="O499" s="429"/>
      <c r="P499" s="429"/>
      <c r="Q499" s="429"/>
    </row>
    <row r="500" spans="1:17" ht="30" customHeight="1" x14ac:dyDescent="0.2">
      <c r="A500" s="2625">
        <v>346</v>
      </c>
      <c r="B500" s="2627" t="s">
        <v>1452</v>
      </c>
      <c r="C500" s="2660" t="s">
        <v>1215</v>
      </c>
      <c r="D500" s="2634">
        <v>5000000</v>
      </c>
      <c r="E500" s="2688">
        <v>0.05</v>
      </c>
      <c r="F500" s="2634">
        <f>D500*E500</f>
        <v>250000</v>
      </c>
      <c r="G500" s="2634">
        <v>500000</v>
      </c>
      <c r="H500" s="2634" t="s">
        <v>4105</v>
      </c>
      <c r="I500" s="2654" t="s">
        <v>4124</v>
      </c>
      <c r="J500" s="2634">
        <f t="shared" si="51"/>
        <v>500000</v>
      </c>
      <c r="K500" s="2678">
        <f t="shared" ref="K500:K511" si="52">F500-J500</f>
        <v>-250000</v>
      </c>
      <c r="L500" s="2694" t="s">
        <v>4125</v>
      </c>
      <c r="M500" s="429"/>
      <c r="N500" s="429"/>
      <c r="O500" s="429"/>
      <c r="P500" s="429"/>
      <c r="Q500" s="429"/>
    </row>
    <row r="501" spans="1:17" ht="30" customHeight="1" x14ac:dyDescent="0.2">
      <c r="A501" s="2625">
        <v>347</v>
      </c>
      <c r="B501" s="2627" t="s">
        <v>181</v>
      </c>
      <c r="C501" s="2660" t="s">
        <v>1909</v>
      </c>
      <c r="D501" s="2634">
        <v>130000000</v>
      </c>
      <c r="E501" s="2688">
        <v>0.05</v>
      </c>
      <c r="F501" s="2634">
        <f>D501*E501</f>
        <v>6500000</v>
      </c>
      <c r="G501" s="2634">
        <v>6500000</v>
      </c>
      <c r="H501" s="2634" t="s">
        <v>4286</v>
      </c>
      <c r="I501" s="2654" t="s">
        <v>4091</v>
      </c>
      <c r="J501" s="2634">
        <f t="shared" si="51"/>
        <v>6500000</v>
      </c>
      <c r="K501" s="2678">
        <f t="shared" si="52"/>
        <v>0</v>
      </c>
      <c r="L501" s="2694"/>
      <c r="M501" s="429"/>
      <c r="N501" s="429"/>
      <c r="O501" s="429"/>
      <c r="P501" s="429"/>
      <c r="Q501" s="429"/>
    </row>
    <row r="502" spans="1:17" ht="30" customHeight="1" x14ac:dyDescent="0.2">
      <c r="A502" s="2692">
        <v>348</v>
      </c>
      <c r="B502" s="22" t="s">
        <v>1480</v>
      </c>
      <c r="C502" s="2689" t="s">
        <v>1378</v>
      </c>
      <c r="D502" s="2622">
        <v>50000000</v>
      </c>
      <c r="E502" s="2688">
        <v>0.04</v>
      </c>
      <c r="F502" s="2622">
        <f>D502*E502</f>
        <v>2000000</v>
      </c>
      <c r="G502" s="2622"/>
      <c r="H502" s="2622"/>
      <c r="I502" s="2654" t="s">
        <v>4045</v>
      </c>
      <c r="J502" s="2634">
        <f t="shared" si="51"/>
        <v>0</v>
      </c>
      <c r="K502" s="2678">
        <f t="shared" si="52"/>
        <v>2000000</v>
      </c>
      <c r="L502" s="2694"/>
      <c r="M502" s="429"/>
      <c r="N502" s="429"/>
      <c r="O502" s="429"/>
      <c r="P502" s="429"/>
      <c r="Q502" s="429"/>
    </row>
    <row r="503" spans="1:17" ht="30" customHeight="1" x14ac:dyDescent="0.2">
      <c r="A503" s="3450">
        <v>349</v>
      </c>
      <c r="B503" s="3457" t="s">
        <v>1619</v>
      </c>
      <c r="C503" s="3570"/>
      <c r="D503" s="2634">
        <v>80000000</v>
      </c>
      <c r="E503" s="2631">
        <v>0.04</v>
      </c>
      <c r="F503" s="2634">
        <f>D503*E503</f>
        <v>3200000</v>
      </c>
      <c r="G503" s="2634">
        <v>50000000</v>
      </c>
      <c r="H503" s="2634" t="s">
        <v>4261</v>
      </c>
      <c r="I503" s="2654" t="s">
        <v>4262</v>
      </c>
      <c r="J503" s="3442">
        <f>G503+G504</f>
        <v>105000000</v>
      </c>
      <c r="K503" s="3625">
        <f t="shared" si="52"/>
        <v>-101800000</v>
      </c>
      <c r="L503" s="2694"/>
      <c r="M503" s="429"/>
      <c r="N503" s="429"/>
      <c r="O503" s="429"/>
      <c r="P503" s="429"/>
      <c r="Q503" s="429"/>
    </row>
    <row r="504" spans="1:17" ht="30" customHeight="1" x14ac:dyDescent="0.2">
      <c r="A504" s="3456"/>
      <c r="B504" s="3459"/>
      <c r="C504" s="3576"/>
      <c r="D504" s="3521" t="s">
        <v>4497</v>
      </c>
      <c r="E504" s="3613"/>
      <c r="F504" s="3522"/>
      <c r="G504" s="2634">
        <v>55000000</v>
      </c>
      <c r="H504" s="2634" t="s">
        <v>4249</v>
      </c>
      <c r="I504" s="2654" t="s">
        <v>4253</v>
      </c>
      <c r="J504" s="3443"/>
      <c r="K504" s="3626"/>
      <c r="L504" s="2694"/>
      <c r="M504" s="429"/>
      <c r="N504" s="429"/>
      <c r="O504" s="429"/>
      <c r="P504" s="429"/>
      <c r="Q504" s="429"/>
    </row>
    <row r="505" spans="1:17" ht="30" customHeight="1" x14ac:dyDescent="0.2">
      <c r="A505" s="3456"/>
      <c r="B505" s="3459"/>
      <c r="C505" s="3576"/>
      <c r="D505" s="3691"/>
      <c r="E505" s="3355"/>
      <c r="F505" s="3692"/>
      <c r="G505" s="3325" t="s">
        <v>4498</v>
      </c>
      <c r="H505" s="3340"/>
      <c r="I505" s="3340"/>
      <c r="J505" s="3341"/>
      <c r="K505" s="2678"/>
      <c r="L505" s="2694" t="s">
        <v>4333</v>
      </c>
      <c r="M505" s="429"/>
      <c r="N505" s="429"/>
      <c r="O505" s="429"/>
      <c r="P505" s="429"/>
      <c r="Q505" s="429"/>
    </row>
    <row r="506" spans="1:17" ht="30" customHeight="1" x14ac:dyDescent="0.2">
      <c r="A506" s="3451"/>
      <c r="B506" s="3458"/>
      <c r="C506" s="3571"/>
      <c r="D506" s="3523"/>
      <c r="E506" s="3614"/>
      <c r="F506" s="3524"/>
      <c r="G506" s="2622"/>
      <c r="H506" s="2622"/>
      <c r="I506" s="2622"/>
      <c r="J506" s="2622"/>
      <c r="K506" s="2678"/>
      <c r="L506" s="2694"/>
      <c r="M506" s="429"/>
      <c r="N506" s="429"/>
      <c r="O506" s="429"/>
      <c r="P506" s="429"/>
      <c r="Q506" s="429"/>
    </row>
    <row r="507" spans="1:17" ht="30" customHeight="1" x14ac:dyDescent="0.2">
      <c r="A507" s="2625">
        <v>350</v>
      </c>
      <c r="B507" s="2627" t="s">
        <v>1647</v>
      </c>
      <c r="C507" s="2660"/>
      <c r="D507" s="2634">
        <v>110000000</v>
      </c>
      <c r="E507" s="3712" t="s">
        <v>1649</v>
      </c>
      <c r="F507" s="3713"/>
      <c r="G507" s="2634"/>
      <c r="H507" s="2634"/>
      <c r="I507" s="2654" t="s">
        <v>3605</v>
      </c>
      <c r="J507" s="2634">
        <f t="shared" ref="J507:J513" si="53">G507</f>
        <v>0</v>
      </c>
      <c r="K507" s="2683">
        <f t="shared" si="52"/>
        <v>0</v>
      </c>
      <c r="L507" s="2694"/>
      <c r="M507" s="429"/>
      <c r="N507" s="429"/>
      <c r="O507" s="429"/>
      <c r="P507" s="429"/>
      <c r="Q507" s="429"/>
    </row>
    <row r="508" spans="1:17" ht="30" customHeight="1" x14ac:dyDescent="0.2">
      <c r="A508" s="2692"/>
      <c r="B508" s="22" t="s">
        <v>1651</v>
      </c>
      <c r="C508" s="2689" t="s">
        <v>1215</v>
      </c>
      <c r="D508" s="2622">
        <v>680000000</v>
      </c>
      <c r="E508" s="2688">
        <v>7.0000000000000007E-2</v>
      </c>
      <c r="F508" s="2622">
        <f t="shared" ref="F508:F514" si="54">D508*E508</f>
        <v>47600000.000000007</v>
      </c>
      <c r="G508" s="2622">
        <v>47600000</v>
      </c>
      <c r="H508" s="2622" t="s">
        <v>4156</v>
      </c>
      <c r="I508" s="2622" t="s">
        <v>2591</v>
      </c>
      <c r="J508" s="2622">
        <f t="shared" si="53"/>
        <v>47600000</v>
      </c>
      <c r="K508" s="2678">
        <f t="shared" si="52"/>
        <v>0</v>
      </c>
      <c r="L508" s="2674" t="s">
        <v>4159</v>
      </c>
      <c r="M508" s="429"/>
      <c r="N508" s="429"/>
      <c r="O508" s="429"/>
      <c r="P508" s="429"/>
      <c r="Q508" s="429"/>
    </row>
    <row r="509" spans="1:17" ht="30" customHeight="1" x14ac:dyDescent="0.2">
      <c r="A509" s="2625">
        <v>352</v>
      </c>
      <c r="B509" s="2627" t="s">
        <v>1654</v>
      </c>
      <c r="C509" s="2660" t="s">
        <v>1112</v>
      </c>
      <c r="D509" s="2634">
        <v>50000000</v>
      </c>
      <c r="E509" s="2631">
        <v>7.0000000000000007E-2</v>
      </c>
      <c r="F509" s="2634">
        <f t="shared" si="54"/>
        <v>3500000.0000000005</v>
      </c>
      <c r="G509" s="2634">
        <v>3500000</v>
      </c>
      <c r="H509" s="2634" t="s">
        <v>4133</v>
      </c>
      <c r="I509" s="24" t="s">
        <v>3653</v>
      </c>
      <c r="J509" s="2634">
        <f t="shared" si="53"/>
        <v>3500000</v>
      </c>
      <c r="K509" s="2678">
        <f t="shared" si="52"/>
        <v>0</v>
      </c>
      <c r="L509" s="2694"/>
      <c r="M509" s="429"/>
      <c r="N509" s="429"/>
      <c r="O509" s="429"/>
      <c r="P509" s="429"/>
      <c r="Q509" s="429"/>
    </row>
    <row r="510" spans="1:17" ht="30" customHeight="1" x14ac:dyDescent="0.2">
      <c r="A510" s="3693">
        <v>353</v>
      </c>
      <c r="B510" s="3687" t="s">
        <v>1658</v>
      </c>
      <c r="C510" s="2689" t="s">
        <v>1215</v>
      </c>
      <c r="D510" s="2634">
        <v>50000000</v>
      </c>
      <c r="E510" s="2688">
        <v>0.05</v>
      </c>
      <c r="F510" s="2634">
        <f t="shared" si="54"/>
        <v>2500000</v>
      </c>
      <c r="G510" s="2634">
        <v>2500000</v>
      </c>
      <c r="H510" s="2634" t="s">
        <v>1964</v>
      </c>
      <c r="I510" s="2654" t="s">
        <v>3856</v>
      </c>
      <c r="J510" s="2634">
        <f t="shared" si="53"/>
        <v>2500000</v>
      </c>
      <c r="K510" s="2678">
        <f t="shared" si="52"/>
        <v>0</v>
      </c>
      <c r="L510" s="2694"/>
      <c r="M510" s="429"/>
      <c r="N510" s="429"/>
      <c r="O510" s="429"/>
      <c r="P510" s="429"/>
      <c r="Q510" s="429"/>
    </row>
    <row r="511" spans="1:17" ht="30" customHeight="1" x14ac:dyDescent="0.2">
      <c r="A511" s="3693"/>
      <c r="B511" s="3687"/>
      <c r="C511" s="2689" t="s">
        <v>1354</v>
      </c>
      <c r="D511" s="2634">
        <v>20000000</v>
      </c>
      <c r="E511" s="2688">
        <v>0.05</v>
      </c>
      <c r="F511" s="2634">
        <f t="shared" si="54"/>
        <v>1000000</v>
      </c>
      <c r="G511" s="1508">
        <v>1000000</v>
      </c>
      <c r="H511" s="1508" t="s">
        <v>4249</v>
      </c>
      <c r="I511" s="1508" t="s">
        <v>3856</v>
      </c>
      <c r="J511" s="1508">
        <f t="shared" si="53"/>
        <v>1000000</v>
      </c>
      <c r="K511" s="2678">
        <f t="shared" si="52"/>
        <v>0</v>
      </c>
      <c r="L511" s="2694" t="s">
        <v>3044</v>
      </c>
      <c r="M511" s="429"/>
      <c r="N511" s="429"/>
      <c r="O511" s="429"/>
      <c r="P511" s="429"/>
      <c r="Q511" s="429"/>
    </row>
    <row r="512" spans="1:17" ht="30" customHeight="1" x14ac:dyDescent="0.2">
      <c r="A512" s="2625">
        <v>355</v>
      </c>
      <c r="B512" s="2627" t="s">
        <v>1675</v>
      </c>
      <c r="C512" s="2660" t="s">
        <v>2778</v>
      </c>
      <c r="D512" s="2634">
        <v>115000000</v>
      </c>
      <c r="E512" s="2688">
        <v>0.05</v>
      </c>
      <c r="F512" s="2634">
        <f t="shared" si="54"/>
        <v>5750000</v>
      </c>
      <c r="G512" s="2634">
        <v>5750000</v>
      </c>
      <c r="H512" s="2634" t="s">
        <v>2141</v>
      </c>
      <c r="I512" s="516" t="s">
        <v>3547</v>
      </c>
      <c r="J512" s="2634">
        <f t="shared" si="53"/>
        <v>5750000</v>
      </c>
      <c r="K512" s="2678">
        <f>F512-J512</f>
        <v>0</v>
      </c>
      <c r="L512" s="2694"/>
      <c r="M512" s="429"/>
      <c r="N512" s="429"/>
      <c r="O512" s="429"/>
      <c r="P512" s="429"/>
      <c r="Q512" s="429"/>
    </row>
    <row r="513" spans="1:17" ht="30" customHeight="1" x14ac:dyDescent="0.2">
      <c r="A513" s="3450">
        <v>356</v>
      </c>
      <c r="B513" s="3457" t="s">
        <v>1683</v>
      </c>
      <c r="C513" s="3570"/>
      <c r="D513" s="2634">
        <v>60000000</v>
      </c>
      <c r="E513" s="2688">
        <v>0.04</v>
      </c>
      <c r="F513" s="2634">
        <f t="shared" si="54"/>
        <v>2400000</v>
      </c>
      <c r="G513" s="3442">
        <v>2800000</v>
      </c>
      <c r="H513" s="3442" t="s">
        <v>4062</v>
      </c>
      <c r="I513" s="3703" t="s">
        <v>4063</v>
      </c>
      <c r="J513" s="3442">
        <f t="shared" si="53"/>
        <v>2800000</v>
      </c>
      <c r="K513" s="3625">
        <f>(F513+F514)-J513</f>
        <v>0</v>
      </c>
      <c r="L513" s="3625"/>
      <c r="M513" s="429"/>
      <c r="N513" s="429"/>
      <c r="O513" s="429"/>
      <c r="P513" s="429"/>
      <c r="Q513" s="429"/>
    </row>
    <row r="514" spans="1:17" ht="30" customHeight="1" x14ac:dyDescent="0.2">
      <c r="A514" s="3451"/>
      <c r="B514" s="3458"/>
      <c r="C514" s="3571"/>
      <c r="D514" s="2634">
        <v>10000000</v>
      </c>
      <c r="E514" s="2688">
        <v>0.04</v>
      </c>
      <c r="F514" s="2634">
        <f t="shared" si="54"/>
        <v>400000</v>
      </c>
      <c r="G514" s="3443"/>
      <c r="H514" s="3443"/>
      <c r="I514" s="3704"/>
      <c r="J514" s="3443"/>
      <c r="K514" s="3626"/>
      <c r="L514" s="3626"/>
      <c r="M514" s="429"/>
      <c r="N514" s="429"/>
      <c r="O514" s="429"/>
      <c r="P514" s="429"/>
      <c r="Q514" s="429"/>
    </row>
    <row r="515" spans="1:17" ht="30" customHeight="1" x14ac:dyDescent="0.2">
      <c r="A515" s="2625">
        <v>357</v>
      </c>
      <c r="B515" s="2627" t="s">
        <v>1685</v>
      </c>
      <c r="C515" s="2660"/>
      <c r="D515" s="2634">
        <v>70000000</v>
      </c>
      <c r="E515" s="2720"/>
      <c r="F515" s="2647"/>
      <c r="G515" s="2634"/>
      <c r="H515" s="2634"/>
      <c r="I515" s="516"/>
      <c r="J515" s="2634"/>
      <c r="K515" s="2683"/>
      <c r="L515" s="2694" t="s">
        <v>1686</v>
      </c>
      <c r="M515" s="429"/>
      <c r="N515" s="429"/>
      <c r="O515" s="429"/>
      <c r="P515" s="429"/>
      <c r="Q515" s="429"/>
    </row>
    <row r="516" spans="1:17" ht="30" customHeight="1" x14ac:dyDescent="0.2">
      <c r="A516" s="1081">
        <v>358</v>
      </c>
      <c r="B516" s="2690" t="s">
        <v>1690</v>
      </c>
      <c r="C516" s="2689"/>
      <c r="D516" s="2651"/>
      <c r="E516" s="2720"/>
      <c r="F516" s="2651"/>
      <c r="G516" s="2622">
        <v>20000000</v>
      </c>
      <c r="H516" s="2622" t="s">
        <v>4133</v>
      </c>
      <c r="I516" s="1082" t="s">
        <v>1691</v>
      </c>
      <c r="J516" s="2622">
        <f>G516</f>
        <v>20000000</v>
      </c>
      <c r="K516" s="1083">
        <f>F516-J516</f>
        <v>-20000000</v>
      </c>
      <c r="L516" s="2694" t="s">
        <v>4272</v>
      </c>
      <c r="M516" s="429"/>
      <c r="N516" s="429"/>
      <c r="O516" s="429"/>
      <c r="P516" s="429"/>
      <c r="Q516" s="429"/>
    </row>
    <row r="517" spans="1:17" ht="30" customHeight="1" x14ac:dyDescent="0.2">
      <c r="A517" s="3450">
        <v>359</v>
      </c>
      <c r="B517" s="3457" t="s">
        <v>1692</v>
      </c>
      <c r="C517" s="3570"/>
      <c r="D517" s="3505"/>
      <c r="E517" s="3507"/>
      <c r="F517" s="3505"/>
      <c r="G517" s="2634"/>
      <c r="H517" s="2634"/>
      <c r="I517" s="516"/>
      <c r="J517" s="3442">
        <f>G517+G518</f>
        <v>0</v>
      </c>
      <c r="K517" s="3654">
        <f>F517-J517</f>
        <v>0</v>
      </c>
      <c r="L517" s="3625"/>
      <c r="M517" s="429"/>
      <c r="N517" s="429"/>
      <c r="O517" s="429"/>
      <c r="P517" s="429"/>
      <c r="Q517" s="429"/>
    </row>
    <row r="518" spans="1:17" ht="30" customHeight="1" x14ac:dyDescent="0.2">
      <c r="A518" s="3451"/>
      <c r="B518" s="3458"/>
      <c r="C518" s="3571"/>
      <c r="D518" s="3506"/>
      <c r="E518" s="3508"/>
      <c r="F518" s="3506"/>
      <c r="G518" s="2634"/>
      <c r="H518" s="2634"/>
      <c r="I518" s="516"/>
      <c r="J518" s="3443"/>
      <c r="K518" s="3655"/>
      <c r="L518" s="3626"/>
      <c r="M518" s="429"/>
      <c r="N518" s="429"/>
      <c r="O518" s="429"/>
      <c r="P518" s="429"/>
      <c r="Q518" s="429"/>
    </row>
    <row r="519" spans="1:17" ht="30" customHeight="1" x14ac:dyDescent="0.2">
      <c r="A519" s="3450">
        <v>360</v>
      </c>
      <c r="B519" s="3457" t="s">
        <v>1707</v>
      </c>
      <c r="C519" s="3570" t="s">
        <v>916</v>
      </c>
      <c r="D519" s="2622">
        <v>290000000</v>
      </c>
      <c r="E519" s="2688">
        <v>0.05</v>
      </c>
      <c r="F519" s="2622">
        <f>D519*E519</f>
        <v>14500000</v>
      </c>
      <c r="G519" s="3442">
        <v>27100000</v>
      </c>
      <c r="H519" s="3442" t="s">
        <v>1964</v>
      </c>
      <c r="I519" s="3703" t="s">
        <v>1704</v>
      </c>
      <c r="J519" s="3442">
        <f>G519+G520</f>
        <v>27100000</v>
      </c>
      <c r="K519" s="3625">
        <f>(F519+F520)-G519</f>
        <v>0</v>
      </c>
      <c r="L519" s="3625"/>
      <c r="M519" s="429"/>
      <c r="N519" s="429"/>
      <c r="O519" s="429"/>
      <c r="P519" s="429"/>
      <c r="Q519" s="429"/>
    </row>
    <row r="520" spans="1:17" ht="30" customHeight="1" x14ac:dyDescent="0.2">
      <c r="A520" s="3451"/>
      <c r="B520" s="3458"/>
      <c r="C520" s="3571"/>
      <c r="D520" s="2622">
        <v>210000000</v>
      </c>
      <c r="E520" s="2688">
        <v>0.06</v>
      </c>
      <c r="F520" s="2622">
        <f>D520*E520</f>
        <v>12600000</v>
      </c>
      <c r="G520" s="3443"/>
      <c r="H520" s="3443"/>
      <c r="I520" s="3704"/>
      <c r="J520" s="3443"/>
      <c r="K520" s="3626"/>
      <c r="L520" s="3626"/>
      <c r="M520" s="429"/>
      <c r="N520" s="429"/>
      <c r="O520" s="429"/>
      <c r="P520" s="429"/>
      <c r="Q520" s="429"/>
    </row>
    <row r="521" spans="1:17" ht="30" customHeight="1" x14ac:dyDescent="0.2">
      <c r="A521" s="3450">
        <v>361</v>
      </c>
      <c r="B521" s="3457" t="s">
        <v>1705</v>
      </c>
      <c r="C521" s="3570"/>
      <c r="D521" s="3442">
        <v>3045000000</v>
      </c>
      <c r="E521" s="3444"/>
      <c r="F521" s="3442">
        <v>95800000</v>
      </c>
      <c r="G521" s="2634">
        <v>15000000</v>
      </c>
      <c r="H521" s="2634"/>
      <c r="I521" s="516" t="s">
        <v>1706</v>
      </c>
      <c r="J521" s="3442">
        <f>G521+G522++G523+G524+G525</f>
        <v>95800000</v>
      </c>
      <c r="K521" s="3625">
        <f>F521-J521</f>
        <v>0</v>
      </c>
      <c r="L521" s="2673"/>
      <c r="M521" s="429"/>
      <c r="N521" s="429"/>
      <c r="O521" s="429"/>
      <c r="P521" s="429"/>
      <c r="Q521" s="429"/>
    </row>
    <row r="522" spans="1:17" ht="30" customHeight="1" x14ac:dyDescent="0.2">
      <c r="A522" s="3456"/>
      <c r="B522" s="3459"/>
      <c r="C522" s="3576"/>
      <c r="D522" s="3461"/>
      <c r="E522" s="3474"/>
      <c r="F522" s="3461"/>
      <c r="G522" s="2634">
        <v>39000000</v>
      </c>
      <c r="H522" s="3325" t="s">
        <v>4320</v>
      </c>
      <c r="I522" s="3341"/>
      <c r="J522" s="3461"/>
      <c r="K522" s="3696"/>
      <c r="L522" s="2695"/>
      <c r="M522" s="429"/>
      <c r="N522" s="429"/>
      <c r="O522" s="429"/>
      <c r="P522" s="429"/>
      <c r="Q522" s="429"/>
    </row>
    <row r="523" spans="1:17" ht="30" customHeight="1" x14ac:dyDescent="0.2">
      <c r="A523" s="3456"/>
      <c r="B523" s="3459"/>
      <c r="C523" s="3576"/>
      <c r="D523" s="3461"/>
      <c r="E523" s="3474"/>
      <c r="F523" s="3461"/>
      <c r="G523" s="2634">
        <v>1000000</v>
      </c>
      <c r="H523" s="2634" t="s">
        <v>4156</v>
      </c>
      <c r="I523" s="516" t="s">
        <v>3287</v>
      </c>
      <c r="J523" s="3461"/>
      <c r="K523" s="3696"/>
      <c r="L523" s="898"/>
      <c r="M523" s="429"/>
      <c r="N523" s="429"/>
      <c r="O523" s="429"/>
      <c r="P523" s="429"/>
      <c r="Q523" s="429"/>
    </row>
    <row r="524" spans="1:17" ht="30" customHeight="1" x14ac:dyDescent="0.2">
      <c r="A524" s="3456"/>
      <c r="B524" s="3459"/>
      <c r="C524" s="3576"/>
      <c r="D524" s="3461"/>
      <c r="E524" s="3474"/>
      <c r="F524" s="3461"/>
      <c r="G524" s="2634">
        <v>30000000</v>
      </c>
      <c r="H524" s="2634" t="s">
        <v>4184</v>
      </c>
      <c r="I524" s="516" t="s">
        <v>1706</v>
      </c>
      <c r="J524" s="3461"/>
      <c r="K524" s="3696"/>
      <c r="L524" s="898"/>
      <c r="M524" s="429"/>
      <c r="N524" s="429"/>
      <c r="O524" s="429"/>
      <c r="P524" s="429"/>
      <c r="Q524" s="429"/>
    </row>
    <row r="525" spans="1:17" ht="30" customHeight="1" x14ac:dyDescent="0.2">
      <c r="A525" s="3456"/>
      <c r="B525" s="3459"/>
      <c r="C525" s="3576"/>
      <c r="D525" s="3461"/>
      <c r="E525" s="3474"/>
      <c r="F525" s="3461"/>
      <c r="G525" s="2634">
        <v>10800000</v>
      </c>
      <c r="H525" s="3478" t="s">
        <v>4192</v>
      </c>
      <c r="I525" s="3480"/>
      <c r="J525" s="3461"/>
      <c r="K525" s="3696"/>
      <c r="L525" s="898"/>
      <c r="M525" s="429"/>
      <c r="N525" s="429"/>
      <c r="O525" s="429"/>
      <c r="P525" s="429"/>
      <c r="Q525" s="429"/>
    </row>
    <row r="526" spans="1:17" ht="30" customHeight="1" x14ac:dyDescent="0.2">
      <c r="A526" s="3456"/>
      <c r="B526" s="3459"/>
      <c r="C526" s="3576"/>
      <c r="D526" s="3461"/>
      <c r="E526" s="3474"/>
      <c r="F526" s="3461"/>
      <c r="G526" s="2634"/>
      <c r="H526" s="2634"/>
      <c r="I526" s="516"/>
      <c r="J526" s="3461"/>
      <c r="K526" s="3696"/>
      <c r="L526" s="898"/>
      <c r="M526" s="429"/>
      <c r="N526" s="429"/>
      <c r="O526" s="429"/>
      <c r="P526" s="429"/>
      <c r="Q526" s="429"/>
    </row>
    <row r="527" spans="1:17" ht="30" customHeight="1" x14ac:dyDescent="0.2">
      <c r="A527" s="3456"/>
      <c r="B527" s="3459"/>
      <c r="C527" s="3576"/>
      <c r="D527" s="3461"/>
      <c r="E527" s="3474"/>
      <c r="F527" s="3461"/>
      <c r="G527" s="2634"/>
      <c r="H527" s="2634"/>
      <c r="I527" s="516"/>
      <c r="J527" s="3461"/>
      <c r="K527" s="3696"/>
      <c r="L527" s="898"/>
      <c r="M527" s="429"/>
      <c r="N527" s="429"/>
      <c r="O527" s="429"/>
      <c r="P527" s="429"/>
      <c r="Q527" s="429"/>
    </row>
    <row r="528" spans="1:17" ht="30" customHeight="1" x14ac:dyDescent="0.2">
      <c r="A528" s="3456"/>
      <c r="B528" s="3459"/>
      <c r="C528" s="3576"/>
      <c r="D528" s="3461"/>
      <c r="E528" s="3474"/>
      <c r="F528" s="3461"/>
      <c r="G528" s="2634"/>
      <c r="H528" s="2634"/>
      <c r="I528" s="516"/>
      <c r="J528" s="3461"/>
      <c r="K528" s="3696"/>
      <c r="L528" s="898"/>
      <c r="M528" s="429"/>
      <c r="N528" s="429"/>
      <c r="O528" s="429"/>
      <c r="P528" s="429"/>
      <c r="Q528" s="429"/>
    </row>
    <row r="529" spans="1:17" ht="30" customHeight="1" x14ac:dyDescent="0.2">
      <c r="A529" s="3456"/>
      <c r="B529" s="3459"/>
      <c r="C529" s="3576"/>
      <c r="D529" s="3461"/>
      <c r="E529" s="3474"/>
      <c r="F529" s="3461"/>
      <c r="G529" s="2634"/>
      <c r="H529" s="2634"/>
      <c r="I529" s="516"/>
      <c r="J529" s="3461"/>
      <c r="K529" s="3696"/>
      <c r="L529" s="898"/>
      <c r="M529" s="429"/>
      <c r="N529" s="429"/>
      <c r="O529" s="429"/>
      <c r="P529" s="429"/>
      <c r="Q529" s="429"/>
    </row>
    <row r="530" spans="1:17" ht="30" customHeight="1" x14ac:dyDescent="0.2">
      <c r="A530" s="3451"/>
      <c r="B530" s="3458"/>
      <c r="C530" s="3571"/>
      <c r="D530" s="3443"/>
      <c r="E530" s="3445"/>
      <c r="F530" s="3443"/>
      <c r="G530" s="2634"/>
      <c r="H530" s="2634"/>
      <c r="I530" s="516"/>
      <c r="J530" s="3443"/>
      <c r="K530" s="3626"/>
      <c r="L530" s="951"/>
      <c r="M530" s="429"/>
      <c r="N530" s="429"/>
      <c r="O530" s="429"/>
      <c r="P530" s="429"/>
      <c r="Q530" s="429"/>
    </row>
    <row r="531" spans="1:17" ht="30" customHeight="1" x14ac:dyDescent="0.2">
      <c r="A531" s="3450"/>
      <c r="B531" s="3457" t="s">
        <v>4321</v>
      </c>
      <c r="C531" s="3570"/>
      <c r="D531" s="3442">
        <f>9000000+5000000+10800000</f>
        <v>24800000</v>
      </c>
      <c r="E531" s="3444"/>
      <c r="F531" s="3442"/>
      <c r="G531" s="2634"/>
      <c r="H531" s="2634"/>
      <c r="I531" s="516"/>
      <c r="J531" s="2634"/>
      <c r="K531" s="2678"/>
      <c r="L531" s="2347" t="s">
        <v>4322</v>
      </c>
      <c r="M531" s="429"/>
      <c r="N531" s="429"/>
      <c r="O531" s="429"/>
      <c r="P531" s="429"/>
      <c r="Q531" s="429"/>
    </row>
    <row r="532" spans="1:17" ht="30" customHeight="1" x14ac:dyDescent="0.2">
      <c r="A532" s="3456"/>
      <c r="B532" s="3459"/>
      <c r="C532" s="3576"/>
      <c r="D532" s="3461"/>
      <c r="E532" s="3474"/>
      <c r="F532" s="3461"/>
      <c r="G532" s="2634"/>
      <c r="H532" s="2634"/>
      <c r="I532" s="516"/>
      <c r="J532" s="2634"/>
      <c r="K532" s="2678"/>
      <c r="L532" s="2347" t="s">
        <v>4323</v>
      </c>
      <c r="M532" s="429"/>
      <c r="N532" s="429"/>
      <c r="O532" s="429"/>
      <c r="P532" s="429"/>
      <c r="Q532" s="429"/>
    </row>
    <row r="533" spans="1:17" ht="30" customHeight="1" x14ac:dyDescent="0.2">
      <c r="A533" s="3451"/>
      <c r="B533" s="3458"/>
      <c r="C533" s="3571"/>
      <c r="D533" s="3443"/>
      <c r="E533" s="3445"/>
      <c r="F533" s="3443"/>
      <c r="G533" s="2634"/>
      <c r="H533" s="2634"/>
      <c r="I533" s="516"/>
      <c r="J533" s="2634"/>
      <c r="K533" s="2678"/>
      <c r="L533" s="2347" t="s">
        <v>4324</v>
      </c>
      <c r="M533" s="429"/>
      <c r="N533" s="429"/>
      <c r="O533" s="429"/>
      <c r="P533" s="429"/>
      <c r="Q533" s="429"/>
    </row>
    <row r="534" spans="1:17" ht="30" customHeight="1" x14ac:dyDescent="0.2">
      <c r="A534" s="2692">
        <v>362</v>
      </c>
      <c r="B534" s="22" t="s">
        <v>1712</v>
      </c>
      <c r="C534" s="2689" t="s">
        <v>1746</v>
      </c>
      <c r="D534" s="2634">
        <v>360000000</v>
      </c>
      <c r="E534" s="2688">
        <v>4.4999999999999998E-2</v>
      </c>
      <c r="F534" s="2634">
        <v>16500000</v>
      </c>
      <c r="G534" s="2634">
        <v>16500000</v>
      </c>
      <c r="H534" s="2634" t="s">
        <v>4105</v>
      </c>
      <c r="I534" s="516" t="s">
        <v>1713</v>
      </c>
      <c r="J534" s="2634">
        <f t="shared" ref="J534:J539" si="55">G534</f>
        <v>16500000</v>
      </c>
      <c r="K534" s="2678">
        <f t="shared" ref="K534:K539" si="56">F534-J534</f>
        <v>0</v>
      </c>
      <c r="L534" s="3478" t="s">
        <v>3587</v>
      </c>
      <c r="M534" s="3479"/>
      <c r="N534" s="3479"/>
      <c r="O534" s="3480"/>
      <c r="P534" s="429"/>
      <c r="Q534" s="429"/>
    </row>
    <row r="535" spans="1:17" ht="30" customHeight="1" x14ac:dyDescent="0.2">
      <c r="A535" s="2625">
        <v>363</v>
      </c>
      <c r="B535" s="2627" t="s">
        <v>1734</v>
      </c>
      <c r="C535" s="2660"/>
      <c r="D535" s="2647"/>
      <c r="E535" s="2720"/>
      <c r="F535" s="2647"/>
      <c r="G535" s="2634">
        <v>1175000</v>
      </c>
      <c r="H535" s="2634" t="s">
        <v>4201</v>
      </c>
      <c r="I535" s="516" t="s">
        <v>1714</v>
      </c>
      <c r="J535" s="2634">
        <f t="shared" si="55"/>
        <v>1175000</v>
      </c>
      <c r="K535" s="2678">
        <f t="shared" si="56"/>
        <v>-1175000</v>
      </c>
      <c r="L535" s="2694"/>
      <c r="M535" s="429"/>
      <c r="N535" s="429"/>
      <c r="O535" s="429"/>
      <c r="P535" s="429"/>
      <c r="Q535" s="429"/>
    </row>
    <row r="536" spans="1:17" ht="30" customHeight="1" x14ac:dyDescent="0.2">
      <c r="A536" s="2625">
        <v>364</v>
      </c>
      <c r="B536" s="2627" t="s">
        <v>1730</v>
      </c>
      <c r="C536" s="2660"/>
      <c r="D536" s="2647"/>
      <c r="E536" s="2720"/>
      <c r="F536" s="2647"/>
      <c r="G536" s="2634">
        <v>6600000</v>
      </c>
      <c r="H536" s="2634" t="s">
        <v>4177</v>
      </c>
      <c r="I536" s="516" t="s">
        <v>4180</v>
      </c>
      <c r="J536" s="2634">
        <f t="shared" si="55"/>
        <v>6600000</v>
      </c>
      <c r="K536" s="2683">
        <f t="shared" si="56"/>
        <v>-6600000</v>
      </c>
      <c r="L536" s="2694"/>
      <c r="M536" s="429"/>
      <c r="N536" s="429"/>
      <c r="O536" s="429"/>
      <c r="P536" s="429"/>
      <c r="Q536" s="429"/>
    </row>
    <row r="537" spans="1:17" ht="30" customHeight="1" x14ac:dyDescent="0.2">
      <c r="A537" s="2692">
        <v>365</v>
      </c>
      <c r="B537" s="2690" t="s">
        <v>1732</v>
      </c>
      <c r="C537" s="2689" t="s">
        <v>1817</v>
      </c>
      <c r="D537" s="2634">
        <v>250000000</v>
      </c>
      <c r="E537" s="2688">
        <v>0.05</v>
      </c>
      <c r="F537" s="2634">
        <f>D537*E537</f>
        <v>12500000</v>
      </c>
      <c r="G537" s="2622">
        <v>12500000</v>
      </c>
      <c r="H537" s="2622" t="s">
        <v>4133</v>
      </c>
      <c r="I537" s="2622" t="s">
        <v>2942</v>
      </c>
      <c r="J537" s="2622">
        <f t="shared" si="55"/>
        <v>12500000</v>
      </c>
      <c r="K537" s="2678">
        <f t="shared" si="56"/>
        <v>0</v>
      </c>
      <c r="L537" s="2674"/>
      <c r="M537" s="429"/>
      <c r="N537" s="429"/>
      <c r="O537" s="429"/>
      <c r="P537" s="429"/>
      <c r="Q537" s="429"/>
    </row>
    <row r="538" spans="1:17" ht="30" customHeight="1" x14ac:dyDescent="0.2">
      <c r="A538" s="2625">
        <v>366</v>
      </c>
      <c r="B538" s="2627" t="s">
        <v>1818</v>
      </c>
      <c r="C538" s="2660" t="s">
        <v>1138</v>
      </c>
      <c r="D538" s="2634">
        <v>70000000</v>
      </c>
      <c r="E538" s="2688">
        <v>6.3E-2</v>
      </c>
      <c r="F538" s="2634">
        <v>4400000</v>
      </c>
      <c r="G538" s="2634"/>
      <c r="H538" s="2634"/>
      <c r="I538" s="516" t="s">
        <v>3911</v>
      </c>
      <c r="J538" s="2634">
        <f t="shared" si="55"/>
        <v>0</v>
      </c>
      <c r="K538" s="2678">
        <f t="shared" si="56"/>
        <v>4400000</v>
      </c>
      <c r="L538" s="2694"/>
      <c r="M538" s="429"/>
      <c r="N538" s="429"/>
      <c r="O538" s="429"/>
      <c r="P538" s="429"/>
      <c r="Q538" s="429"/>
    </row>
    <row r="539" spans="1:17" ht="30" customHeight="1" x14ac:dyDescent="0.2">
      <c r="A539" s="2625">
        <v>367</v>
      </c>
      <c r="B539" s="2627" t="s">
        <v>1760</v>
      </c>
      <c r="C539" s="2660"/>
      <c r="D539" s="2634">
        <v>25000000</v>
      </c>
      <c r="E539" s="2688">
        <v>0.05</v>
      </c>
      <c r="F539" s="2634">
        <f>D539*E539</f>
        <v>1250000</v>
      </c>
      <c r="G539" s="2634">
        <v>1250000</v>
      </c>
      <c r="H539" s="2634" t="s">
        <v>4184</v>
      </c>
      <c r="I539" s="516" t="s">
        <v>4191</v>
      </c>
      <c r="J539" s="2634">
        <f t="shared" si="55"/>
        <v>1250000</v>
      </c>
      <c r="K539" s="2678">
        <f t="shared" si="56"/>
        <v>0</v>
      </c>
      <c r="L539" s="2694"/>
      <c r="M539" s="429"/>
      <c r="N539" s="429"/>
      <c r="O539" s="429"/>
      <c r="P539" s="429"/>
      <c r="Q539" s="429"/>
    </row>
    <row r="540" spans="1:17" ht="30" customHeight="1" x14ac:dyDescent="0.2">
      <c r="A540" s="3693">
        <v>368</v>
      </c>
      <c r="B540" s="3687" t="s">
        <v>1905</v>
      </c>
      <c r="C540" s="3686"/>
      <c r="D540" s="3575">
        <v>800000000</v>
      </c>
      <c r="E540" s="3683">
        <v>7.0000000000000007E-2</v>
      </c>
      <c r="F540" s="3575">
        <f>D540*E540</f>
        <v>56000000.000000007</v>
      </c>
      <c r="G540" s="3442">
        <v>56000000</v>
      </c>
      <c r="H540" s="3542" t="s">
        <v>4062</v>
      </c>
      <c r="I540" s="3703" t="s">
        <v>2713</v>
      </c>
      <c r="J540" s="3575">
        <f>G540</f>
        <v>56000000</v>
      </c>
      <c r="K540" s="3329">
        <f>F540-J540</f>
        <v>0</v>
      </c>
      <c r="L540" s="3620"/>
      <c r="M540" s="429"/>
      <c r="N540" s="429"/>
      <c r="O540" s="429"/>
      <c r="P540" s="429"/>
      <c r="Q540" s="429"/>
    </row>
    <row r="541" spans="1:17" ht="30" customHeight="1" x14ac:dyDescent="0.2">
      <c r="A541" s="3693"/>
      <c r="B541" s="3687"/>
      <c r="C541" s="3686"/>
      <c r="D541" s="3575"/>
      <c r="E541" s="3683"/>
      <c r="F541" s="3575"/>
      <c r="G541" s="3443"/>
      <c r="H541" s="3543"/>
      <c r="I541" s="3704"/>
      <c r="J541" s="3575"/>
      <c r="K541" s="3329"/>
      <c r="L541" s="3621"/>
      <c r="M541" s="429"/>
      <c r="N541" s="429"/>
      <c r="O541" s="429"/>
      <c r="P541" s="429"/>
      <c r="Q541" s="429"/>
    </row>
    <row r="542" spans="1:17" ht="30" customHeight="1" x14ac:dyDescent="0.2">
      <c r="A542" s="3450">
        <v>369</v>
      </c>
      <c r="B542" s="3457" t="s">
        <v>1771</v>
      </c>
      <c r="C542" s="3570" t="s">
        <v>1746</v>
      </c>
      <c r="D542" s="2634">
        <v>250000000</v>
      </c>
      <c r="E542" s="2631">
        <v>0.05</v>
      </c>
      <c r="F542" s="2634">
        <f t="shared" ref="F542:F547" si="57">D542*E542</f>
        <v>12500000</v>
      </c>
      <c r="G542" s="2634"/>
      <c r="H542" s="2634"/>
      <c r="I542" s="247"/>
      <c r="J542" s="247"/>
      <c r="K542" s="247"/>
      <c r="L542" s="2694"/>
      <c r="M542" s="429"/>
      <c r="N542" s="429"/>
      <c r="O542" s="429"/>
      <c r="P542" s="429"/>
      <c r="Q542" s="429"/>
    </row>
    <row r="543" spans="1:17" ht="30" customHeight="1" x14ac:dyDescent="0.2">
      <c r="A543" s="3456"/>
      <c r="B543" s="3459"/>
      <c r="C543" s="3576"/>
      <c r="D543" s="2634">
        <v>150000000</v>
      </c>
      <c r="E543" s="2631">
        <v>0.06</v>
      </c>
      <c r="F543" s="2634">
        <f t="shared" si="57"/>
        <v>9000000</v>
      </c>
      <c r="G543" s="247"/>
      <c r="H543" s="247"/>
      <c r="I543" s="247"/>
      <c r="J543" s="247"/>
      <c r="K543" s="2703"/>
      <c r="L543" s="2673" t="s">
        <v>4022</v>
      </c>
      <c r="M543" s="429"/>
      <c r="N543" s="429"/>
      <c r="O543" s="429"/>
      <c r="P543" s="429"/>
      <c r="Q543" s="429"/>
    </row>
    <row r="544" spans="1:17" ht="30" customHeight="1" x14ac:dyDescent="0.2">
      <c r="A544" s="3456"/>
      <c r="B544" s="3459"/>
      <c r="C544" s="3576"/>
      <c r="D544" s="2634">
        <v>50000000</v>
      </c>
      <c r="E544" s="2631">
        <v>0.06</v>
      </c>
      <c r="F544" s="2634">
        <f t="shared" si="57"/>
        <v>3000000</v>
      </c>
      <c r="G544" s="247">
        <f>SUM(F542:F544)</f>
        <v>24500000</v>
      </c>
      <c r="H544" s="247"/>
      <c r="I544" s="247"/>
      <c r="J544" s="247"/>
      <c r="K544" s="2703"/>
      <c r="L544" s="2673" t="s">
        <v>4023</v>
      </c>
      <c r="M544" s="429"/>
      <c r="N544" s="429"/>
      <c r="O544" s="429"/>
      <c r="P544" s="429"/>
      <c r="Q544" s="429"/>
    </row>
    <row r="545" spans="1:17" ht="30" customHeight="1" x14ac:dyDescent="0.2">
      <c r="A545" s="3451"/>
      <c r="B545" s="3458"/>
      <c r="C545" s="3571"/>
      <c r="D545" s="2634">
        <v>105000000</v>
      </c>
      <c r="E545" s="2631">
        <v>0.06</v>
      </c>
      <c r="F545" s="2634">
        <f t="shared" si="57"/>
        <v>6300000</v>
      </c>
      <c r="G545" s="7">
        <f>SUM(F542:F545)</f>
        <v>30800000</v>
      </c>
      <c r="H545" s="7"/>
      <c r="I545" s="2150"/>
      <c r="J545" s="7"/>
      <c r="K545" s="2703"/>
      <c r="L545" s="2673" t="s">
        <v>4118</v>
      </c>
      <c r="M545" s="429"/>
      <c r="N545" s="429"/>
      <c r="O545" s="429"/>
      <c r="P545" s="429"/>
      <c r="Q545" s="429"/>
    </row>
    <row r="546" spans="1:17" ht="30" customHeight="1" x14ac:dyDescent="0.2">
      <c r="A546" s="2623">
        <v>370</v>
      </c>
      <c r="B546" s="2686" t="s">
        <v>1795</v>
      </c>
      <c r="C546" s="2660" t="s">
        <v>3458</v>
      </c>
      <c r="D546" s="2634">
        <v>200000000</v>
      </c>
      <c r="E546" s="2688">
        <v>0.05</v>
      </c>
      <c r="F546" s="2634">
        <f t="shared" si="57"/>
        <v>10000000</v>
      </c>
      <c r="G546" s="2634">
        <v>10000000</v>
      </c>
      <c r="H546" s="2634" t="s">
        <v>4133</v>
      </c>
      <c r="I546" s="516" t="s">
        <v>3536</v>
      </c>
      <c r="J546" s="2634">
        <f t="shared" ref="J546:J555" si="58">G546</f>
        <v>10000000</v>
      </c>
      <c r="K546" s="2678">
        <f>F546-J546</f>
        <v>0</v>
      </c>
      <c r="L546" s="2677"/>
      <c r="M546" s="429"/>
      <c r="N546" s="429"/>
      <c r="O546" s="429"/>
      <c r="P546" s="429"/>
      <c r="Q546" s="429"/>
    </row>
    <row r="547" spans="1:17" ht="30" customHeight="1" x14ac:dyDescent="0.2">
      <c r="A547" s="3450">
        <v>371</v>
      </c>
      <c r="B547" s="3457" t="s">
        <v>1797</v>
      </c>
      <c r="C547" s="3570" t="s">
        <v>971</v>
      </c>
      <c r="D547" s="3442">
        <v>50000000</v>
      </c>
      <c r="E547" s="3444">
        <v>0.04</v>
      </c>
      <c r="F547" s="3442">
        <f t="shared" si="57"/>
        <v>2000000</v>
      </c>
      <c r="G547" s="2634"/>
      <c r="H547" s="2634"/>
      <c r="I547" s="516" t="s">
        <v>1798</v>
      </c>
      <c r="J547" s="2634">
        <f t="shared" si="58"/>
        <v>0</v>
      </c>
      <c r="K547" s="2678">
        <f>F547-J547</f>
        <v>2000000</v>
      </c>
      <c r="L547" s="2694"/>
      <c r="M547" s="429"/>
      <c r="N547" s="429"/>
      <c r="O547" s="429"/>
      <c r="P547" s="429"/>
      <c r="Q547" s="429"/>
    </row>
    <row r="548" spans="1:17" ht="30" customHeight="1" x14ac:dyDescent="0.2">
      <c r="A548" s="3451"/>
      <c r="B548" s="3458"/>
      <c r="C548" s="3571"/>
      <c r="D548" s="3443"/>
      <c r="E548" s="3445"/>
      <c r="F548" s="3443"/>
      <c r="G548" s="2634"/>
      <c r="H548" s="2634"/>
      <c r="I548" s="516" t="s">
        <v>1798</v>
      </c>
      <c r="J548" s="2634">
        <f t="shared" si="58"/>
        <v>0</v>
      </c>
      <c r="K548" s="2678">
        <f>F547-J548</f>
        <v>2000000</v>
      </c>
      <c r="L548" s="2694"/>
      <c r="M548" s="429"/>
      <c r="N548" s="429"/>
      <c r="O548" s="429"/>
      <c r="P548" s="429"/>
      <c r="Q548" s="429"/>
    </row>
    <row r="549" spans="1:17" ht="30" customHeight="1" x14ac:dyDescent="0.2">
      <c r="A549" s="2625">
        <v>372</v>
      </c>
      <c r="B549" s="2627" t="s">
        <v>1805</v>
      </c>
      <c r="C549" s="2660"/>
      <c r="D549" s="2647"/>
      <c r="E549" s="2720"/>
      <c r="F549" s="2647"/>
      <c r="G549" s="2634"/>
      <c r="H549" s="2634"/>
      <c r="I549" s="516"/>
      <c r="J549" s="2634">
        <f t="shared" si="58"/>
        <v>0</v>
      </c>
      <c r="K549" s="2683"/>
      <c r="L549" s="2694"/>
      <c r="M549" s="429"/>
      <c r="N549" s="429"/>
      <c r="O549" s="429"/>
      <c r="P549" s="429"/>
      <c r="Q549" s="429"/>
    </row>
    <row r="550" spans="1:17" ht="30" customHeight="1" x14ac:dyDescent="0.2">
      <c r="A550" s="1081"/>
      <c r="B550" s="2690" t="s">
        <v>1824</v>
      </c>
      <c r="C550" s="2689"/>
      <c r="D550" s="2622">
        <v>20000000</v>
      </c>
      <c r="E550" s="2688">
        <v>0.05</v>
      </c>
      <c r="F550" s="2622">
        <f>D550*E550</f>
        <v>1000000</v>
      </c>
      <c r="G550" s="2622">
        <v>1000000</v>
      </c>
      <c r="H550" s="2622" t="s">
        <v>4133</v>
      </c>
      <c r="I550" s="2622" t="s">
        <v>3622</v>
      </c>
      <c r="J550" s="2622">
        <f t="shared" si="58"/>
        <v>1000000</v>
      </c>
      <c r="K550" s="2619">
        <f>F550-J550</f>
        <v>0</v>
      </c>
      <c r="L550" s="2694"/>
      <c r="M550" s="429"/>
      <c r="N550" s="429"/>
      <c r="O550" s="429"/>
      <c r="P550" s="429"/>
      <c r="Q550" s="429"/>
    </row>
    <row r="551" spans="1:17" ht="30" customHeight="1" x14ac:dyDescent="0.2">
      <c r="A551" s="2625">
        <v>374</v>
      </c>
      <c r="B551" s="2627" t="s">
        <v>1826</v>
      </c>
      <c r="C551" s="2660"/>
      <c r="D551" s="2647"/>
      <c r="E551" s="2649"/>
      <c r="F551" s="2647"/>
      <c r="G551" s="2634"/>
      <c r="H551" s="2634"/>
      <c r="I551" s="516"/>
      <c r="J551" s="2634">
        <f t="shared" si="58"/>
        <v>0</v>
      </c>
      <c r="K551" s="2683">
        <f t="shared" ref="K551:K556" si="59">F551-J551</f>
        <v>0</v>
      </c>
      <c r="L551" s="2694"/>
      <c r="M551" s="429"/>
      <c r="N551" s="429"/>
      <c r="O551" s="429"/>
      <c r="P551" s="429"/>
      <c r="Q551" s="429"/>
    </row>
    <row r="552" spans="1:17" ht="30" customHeight="1" x14ac:dyDescent="0.2">
      <c r="A552" s="2625">
        <v>375</v>
      </c>
      <c r="B552" s="2627" t="s">
        <v>1834</v>
      </c>
      <c r="C552" s="2660"/>
      <c r="D552" s="2634">
        <v>100000000</v>
      </c>
      <c r="E552" s="2688">
        <v>0.05</v>
      </c>
      <c r="F552" s="2634">
        <f>D552*E552</f>
        <v>5000000</v>
      </c>
      <c r="G552" s="2634"/>
      <c r="H552" s="2634"/>
      <c r="I552" s="516" t="s">
        <v>3562</v>
      </c>
      <c r="J552" s="2634">
        <f t="shared" si="58"/>
        <v>0</v>
      </c>
      <c r="K552" s="2678">
        <f t="shared" si="59"/>
        <v>5000000</v>
      </c>
      <c r="L552" s="2694"/>
      <c r="M552" s="429"/>
      <c r="N552" s="429"/>
      <c r="O552" s="429"/>
      <c r="P552" s="429"/>
      <c r="Q552" s="429"/>
    </row>
    <row r="553" spans="1:17" ht="30" customHeight="1" x14ac:dyDescent="0.2">
      <c r="A553" s="2625">
        <v>376</v>
      </c>
      <c r="B553" s="2627" t="s">
        <v>3718</v>
      </c>
      <c r="C553" s="2660" t="s">
        <v>265</v>
      </c>
      <c r="D553" s="2634">
        <v>50000000</v>
      </c>
      <c r="E553" s="2688">
        <v>0.06</v>
      </c>
      <c r="F553" s="2634">
        <f>D553*E553</f>
        <v>3000000</v>
      </c>
      <c r="G553" s="2634">
        <v>3000000</v>
      </c>
      <c r="H553" s="2634" t="s">
        <v>4184</v>
      </c>
      <c r="I553" s="516" t="s">
        <v>4235</v>
      </c>
      <c r="J553" s="2634">
        <f t="shared" si="58"/>
        <v>3000000</v>
      </c>
      <c r="K553" s="2678">
        <f t="shared" si="59"/>
        <v>0</v>
      </c>
      <c r="L553" s="2694"/>
      <c r="M553" s="429"/>
      <c r="N553" s="429"/>
      <c r="O553" s="429"/>
      <c r="P553" s="429"/>
      <c r="Q553" s="429"/>
    </row>
    <row r="554" spans="1:17" ht="30" customHeight="1" x14ac:dyDescent="0.2">
      <c r="A554" s="2625">
        <v>377</v>
      </c>
      <c r="B554" s="2627" t="s">
        <v>1855</v>
      </c>
      <c r="C554" s="2660" t="s">
        <v>1746</v>
      </c>
      <c r="D554" s="2634">
        <v>153000000</v>
      </c>
      <c r="E554" s="2688">
        <v>7.0000000000000007E-2</v>
      </c>
      <c r="F554" s="2634">
        <f>D554*E554</f>
        <v>10710000.000000002</v>
      </c>
      <c r="G554" s="2634">
        <v>10710000</v>
      </c>
      <c r="H554" s="2634" t="s">
        <v>4105</v>
      </c>
      <c r="I554" s="516" t="s">
        <v>2072</v>
      </c>
      <c r="J554" s="2634">
        <f t="shared" si="58"/>
        <v>10710000</v>
      </c>
      <c r="K554" s="2678">
        <f t="shared" si="59"/>
        <v>0</v>
      </c>
      <c r="L554" s="2694"/>
      <c r="M554" s="429"/>
      <c r="N554" s="429"/>
      <c r="O554" s="429"/>
      <c r="P554" s="429"/>
      <c r="Q554" s="429"/>
    </row>
    <row r="555" spans="1:17" ht="30" customHeight="1" x14ac:dyDescent="0.2">
      <c r="A555" s="2625">
        <v>378</v>
      </c>
      <c r="B555" s="2627" t="s">
        <v>1902</v>
      </c>
      <c r="C555" s="2660" t="s">
        <v>916</v>
      </c>
      <c r="D555" s="2634">
        <v>300000000</v>
      </c>
      <c r="E555" s="2688">
        <v>5.0999999999999997E-2</v>
      </c>
      <c r="F555" s="2634">
        <v>15500000</v>
      </c>
      <c r="G555" s="2634">
        <v>15500000</v>
      </c>
      <c r="H555" s="2634" t="s">
        <v>2141</v>
      </c>
      <c r="I555" s="516" t="s">
        <v>3197</v>
      </c>
      <c r="J555" s="2634">
        <f t="shared" si="58"/>
        <v>15500000</v>
      </c>
      <c r="K555" s="2678">
        <f t="shared" si="59"/>
        <v>0</v>
      </c>
      <c r="L555" s="2694"/>
      <c r="M555" s="429"/>
      <c r="N555" s="429"/>
      <c r="O555" s="429"/>
      <c r="P555" s="429"/>
      <c r="Q555" s="429"/>
    </row>
    <row r="556" spans="1:17" ht="30" customHeight="1" x14ac:dyDescent="0.2">
      <c r="A556" s="3450">
        <v>379</v>
      </c>
      <c r="B556" s="3457" t="s">
        <v>1861</v>
      </c>
      <c r="C556" s="3570" t="s">
        <v>380</v>
      </c>
      <c r="D556" s="3442">
        <v>50000000</v>
      </c>
      <c r="E556" s="3444">
        <v>0.04</v>
      </c>
      <c r="F556" s="3442">
        <f>D556*E556</f>
        <v>2000000</v>
      </c>
      <c r="G556" s="3442">
        <v>2000000</v>
      </c>
      <c r="H556" s="3442" t="s">
        <v>4133</v>
      </c>
      <c r="I556" s="3703" t="s">
        <v>3674</v>
      </c>
      <c r="J556" s="3442">
        <f>G556+G557</f>
        <v>2000000</v>
      </c>
      <c r="K556" s="3625">
        <f t="shared" si="59"/>
        <v>0</v>
      </c>
      <c r="L556" s="3625"/>
      <c r="M556" s="429"/>
      <c r="N556" s="429"/>
      <c r="O556" s="429"/>
      <c r="P556" s="429"/>
      <c r="Q556" s="429"/>
    </row>
    <row r="557" spans="1:17" ht="30" customHeight="1" x14ac:dyDescent="0.2">
      <c r="A557" s="3451"/>
      <c r="B557" s="3458"/>
      <c r="C557" s="3571"/>
      <c r="D557" s="3443"/>
      <c r="E557" s="3445"/>
      <c r="F557" s="3443"/>
      <c r="G557" s="3443"/>
      <c r="H557" s="3443"/>
      <c r="I557" s="3704"/>
      <c r="J557" s="3443"/>
      <c r="K557" s="3626"/>
      <c r="L557" s="3626"/>
      <c r="M557" s="429"/>
      <c r="N557" s="429"/>
      <c r="O557" s="429"/>
      <c r="P557" s="429"/>
      <c r="Q557" s="429"/>
    </row>
    <row r="558" spans="1:17" ht="30" customHeight="1" x14ac:dyDescent="0.2">
      <c r="A558" s="3450">
        <v>380</v>
      </c>
      <c r="B558" s="3457" t="s">
        <v>1907</v>
      </c>
      <c r="C558" s="3570" t="s">
        <v>1131</v>
      </c>
      <c r="D558" s="3442">
        <v>10000000</v>
      </c>
      <c r="E558" s="3444">
        <v>0.05</v>
      </c>
      <c r="F558" s="3442">
        <f>D558*E558</f>
        <v>500000</v>
      </c>
      <c r="G558" s="2634">
        <v>500000</v>
      </c>
      <c r="H558" s="2634" t="s">
        <v>4156</v>
      </c>
      <c r="I558" s="516" t="s">
        <v>4158</v>
      </c>
      <c r="J558" s="2634">
        <f>G558</f>
        <v>500000</v>
      </c>
      <c r="K558" s="2678">
        <f>F558-J558</f>
        <v>0</v>
      </c>
      <c r="L558" s="2694" t="s">
        <v>3473</v>
      </c>
      <c r="M558" s="429"/>
      <c r="N558" s="429"/>
      <c r="O558" s="429"/>
      <c r="P558" s="429"/>
      <c r="Q558" s="429"/>
    </row>
    <row r="559" spans="1:17" ht="30" customHeight="1" x14ac:dyDescent="0.2">
      <c r="A559" s="3451"/>
      <c r="B559" s="3458"/>
      <c r="C559" s="3571"/>
      <c r="D559" s="3443"/>
      <c r="E559" s="3445"/>
      <c r="F559" s="3443"/>
      <c r="G559" s="2634">
        <v>500000</v>
      </c>
      <c r="H559" s="2634" t="s">
        <v>4286</v>
      </c>
      <c r="I559" s="516" t="s">
        <v>4158</v>
      </c>
      <c r="J559" s="2634">
        <f>G559</f>
        <v>500000</v>
      </c>
      <c r="K559" s="2678">
        <f>F558-J559</f>
        <v>0</v>
      </c>
      <c r="L559" s="2694" t="s">
        <v>4092</v>
      </c>
      <c r="M559" s="429"/>
      <c r="N559" s="429"/>
      <c r="O559" s="429"/>
      <c r="P559" s="429"/>
      <c r="Q559" s="429"/>
    </row>
    <row r="560" spans="1:17" ht="30" customHeight="1" x14ac:dyDescent="0.2">
      <c r="A560" s="2625">
        <v>381</v>
      </c>
      <c r="B560" s="2627" t="s">
        <v>1910</v>
      </c>
      <c r="C560" s="2660" t="s">
        <v>916</v>
      </c>
      <c r="D560" s="2634">
        <v>50000000</v>
      </c>
      <c r="E560" s="2688">
        <v>0.05</v>
      </c>
      <c r="F560" s="2634">
        <f>D560*E560</f>
        <v>2500000</v>
      </c>
      <c r="G560" s="2634">
        <v>2500000</v>
      </c>
      <c r="H560" s="2634" t="s">
        <v>2141</v>
      </c>
      <c r="I560" s="516" t="s">
        <v>3652</v>
      </c>
      <c r="J560" s="2634">
        <f>G560</f>
        <v>2500000</v>
      </c>
      <c r="K560" s="2678">
        <f>F560-J560</f>
        <v>0</v>
      </c>
      <c r="L560" s="2694"/>
      <c r="M560" s="429"/>
      <c r="N560" s="429"/>
      <c r="O560" s="429"/>
      <c r="P560" s="429"/>
      <c r="Q560" s="429"/>
    </row>
    <row r="561" spans="1:17" ht="30" customHeight="1" x14ac:dyDescent="0.2">
      <c r="A561" s="2625">
        <v>382</v>
      </c>
      <c r="B561" s="2627" t="s">
        <v>1925</v>
      </c>
      <c r="C561" s="2660" t="s">
        <v>265</v>
      </c>
      <c r="D561" s="2634">
        <v>150000000</v>
      </c>
      <c r="E561" s="2688"/>
      <c r="F561" s="2634"/>
      <c r="G561" s="2634"/>
      <c r="H561" s="2634"/>
      <c r="I561" s="516"/>
      <c r="J561" s="2634"/>
      <c r="K561" s="2678"/>
      <c r="L561" s="2694"/>
      <c r="M561" s="429"/>
      <c r="N561" s="429"/>
      <c r="O561" s="429"/>
      <c r="P561" s="429"/>
      <c r="Q561" s="429"/>
    </row>
    <row r="562" spans="1:17" ht="30" customHeight="1" x14ac:dyDescent="0.2">
      <c r="A562" s="2625">
        <v>383</v>
      </c>
      <c r="B562" s="2627" t="s">
        <v>1936</v>
      </c>
      <c r="C562" s="2660" t="s">
        <v>265</v>
      </c>
      <c r="D562" s="2634">
        <v>10000000</v>
      </c>
      <c r="E562" s="2688">
        <v>7.0000000000000007E-2</v>
      </c>
      <c r="F562" s="2634">
        <f t="shared" ref="F562:F567" si="60">D562*E562</f>
        <v>700000.00000000012</v>
      </c>
      <c r="G562" s="2634">
        <v>700000</v>
      </c>
      <c r="H562" s="2634" t="s">
        <v>4201</v>
      </c>
      <c r="I562" s="516" t="s">
        <v>3063</v>
      </c>
      <c r="J562" s="2634">
        <f t="shared" ref="J562:J567" si="61">G562</f>
        <v>700000</v>
      </c>
      <c r="K562" s="2678">
        <f t="shared" ref="K562:K567" si="62">F562-J562</f>
        <v>0</v>
      </c>
      <c r="L562" s="2694"/>
      <c r="M562" s="429"/>
      <c r="N562" s="429"/>
      <c r="O562" s="429"/>
      <c r="P562" s="429"/>
      <c r="Q562" s="429"/>
    </row>
    <row r="563" spans="1:17" ht="30" customHeight="1" x14ac:dyDescent="0.2">
      <c r="A563" s="670">
        <v>384</v>
      </c>
      <c r="B563" s="2627" t="s">
        <v>1981</v>
      </c>
      <c r="C563" s="2660" t="s">
        <v>265</v>
      </c>
      <c r="D563" s="2634">
        <v>150000000</v>
      </c>
      <c r="E563" s="2688">
        <v>7.0000000000000007E-2</v>
      </c>
      <c r="F563" s="2634">
        <f t="shared" si="60"/>
        <v>10500000.000000002</v>
      </c>
      <c r="G563" s="2634">
        <v>10500000</v>
      </c>
      <c r="H563" s="2634" t="s">
        <v>4216</v>
      </c>
      <c r="I563" s="516" t="s">
        <v>2080</v>
      </c>
      <c r="J563" s="2634">
        <f t="shared" si="61"/>
        <v>10500000</v>
      </c>
      <c r="K563" s="2678">
        <f t="shared" si="62"/>
        <v>0</v>
      </c>
      <c r="L563" s="2694"/>
      <c r="M563" s="429"/>
      <c r="N563" s="429"/>
      <c r="O563" s="429"/>
      <c r="P563" s="429"/>
      <c r="Q563" s="429"/>
    </row>
    <row r="564" spans="1:17" ht="30" customHeight="1" x14ac:dyDescent="0.2">
      <c r="A564" s="2625">
        <v>385</v>
      </c>
      <c r="B564" s="2627" t="s">
        <v>1997</v>
      </c>
      <c r="C564" s="2660" t="s">
        <v>379</v>
      </c>
      <c r="D564" s="2634">
        <v>12000000</v>
      </c>
      <c r="E564" s="2688">
        <v>0.05</v>
      </c>
      <c r="F564" s="2634">
        <f t="shared" si="60"/>
        <v>600000</v>
      </c>
      <c r="G564" s="2634">
        <v>600000</v>
      </c>
      <c r="H564" s="2634" t="s">
        <v>4201</v>
      </c>
      <c r="I564" s="516" t="s">
        <v>2989</v>
      </c>
      <c r="J564" s="2634">
        <f t="shared" si="61"/>
        <v>600000</v>
      </c>
      <c r="K564" s="2678">
        <f t="shared" si="62"/>
        <v>0</v>
      </c>
      <c r="L564" s="2694" t="s">
        <v>1998</v>
      </c>
      <c r="M564" s="429"/>
      <c r="N564" s="429"/>
      <c r="O564" s="429"/>
      <c r="P564" s="429"/>
      <c r="Q564" s="429"/>
    </row>
    <row r="565" spans="1:17" ht="30" customHeight="1" x14ac:dyDescent="0.2">
      <c r="A565" s="2704">
        <v>386</v>
      </c>
      <c r="B565" s="2686" t="s">
        <v>3227</v>
      </c>
      <c r="C565" s="2659" t="s">
        <v>1378</v>
      </c>
      <c r="D565" s="2632">
        <v>200000000</v>
      </c>
      <c r="E565" s="2629">
        <v>0.06</v>
      </c>
      <c r="F565" s="2632">
        <f t="shared" si="60"/>
        <v>12000000</v>
      </c>
      <c r="G565" s="2634">
        <v>12000000</v>
      </c>
      <c r="H565" s="2634" t="s">
        <v>4261</v>
      </c>
      <c r="I565" s="516" t="s">
        <v>2063</v>
      </c>
      <c r="J565" s="2632">
        <f t="shared" si="61"/>
        <v>12000000</v>
      </c>
      <c r="K565" s="2677">
        <f t="shared" si="62"/>
        <v>0</v>
      </c>
      <c r="L565" s="2677"/>
      <c r="M565" s="429"/>
      <c r="N565" s="429"/>
      <c r="O565" s="429"/>
      <c r="P565" s="429"/>
      <c r="Q565" s="429"/>
    </row>
    <row r="566" spans="1:17" ht="30" customHeight="1" x14ac:dyDescent="0.2">
      <c r="A566" s="2623">
        <v>387</v>
      </c>
      <c r="B566" s="2690" t="s">
        <v>2043</v>
      </c>
      <c r="C566" s="2689"/>
      <c r="D566" s="2622">
        <v>60000000</v>
      </c>
      <c r="E566" s="2688">
        <v>0.04</v>
      </c>
      <c r="F566" s="2622">
        <f t="shared" si="60"/>
        <v>2400000</v>
      </c>
      <c r="G566" s="2622">
        <v>2400000</v>
      </c>
      <c r="H566" s="2622" t="s">
        <v>4286</v>
      </c>
      <c r="I566" s="1082" t="s">
        <v>4287</v>
      </c>
      <c r="J566" s="2622">
        <f t="shared" si="61"/>
        <v>2400000</v>
      </c>
      <c r="K566" s="2619">
        <f t="shared" si="62"/>
        <v>0</v>
      </c>
      <c r="L566" s="2677"/>
      <c r="M566" s="429"/>
      <c r="N566" s="429"/>
      <c r="O566" s="429"/>
      <c r="P566" s="429"/>
      <c r="Q566" s="429"/>
    </row>
    <row r="567" spans="1:17" ht="30" customHeight="1" x14ac:dyDescent="0.2">
      <c r="A567" s="3693"/>
      <c r="B567" s="3687" t="s">
        <v>2073</v>
      </c>
      <c r="C567" s="3686" t="s">
        <v>3437</v>
      </c>
      <c r="D567" s="3575">
        <v>150000000</v>
      </c>
      <c r="E567" s="3683">
        <v>0.05</v>
      </c>
      <c r="F567" s="3575">
        <f t="shared" si="60"/>
        <v>7500000</v>
      </c>
      <c r="G567" s="3586">
        <v>4000000</v>
      </c>
      <c r="H567" s="3586" t="s">
        <v>4270</v>
      </c>
      <c r="I567" s="3586" t="s">
        <v>4744</v>
      </c>
      <c r="J567" s="3586">
        <f t="shared" si="61"/>
        <v>4000000</v>
      </c>
      <c r="K567" s="3625">
        <f t="shared" si="62"/>
        <v>3500000</v>
      </c>
      <c r="L567" s="2706" t="s">
        <v>3435</v>
      </c>
      <c r="M567" s="429"/>
      <c r="N567" s="429"/>
      <c r="O567" s="429"/>
      <c r="P567" s="429"/>
      <c r="Q567" s="429"/>
    </row>
    <row r="568" spans="1:17" ht="30" customHeight="1" x14ac:dyDescent="0.2">
      <c r="A568" s="3693"/>
      <c r="B568" s="3687"/>
      <c r="C568" s="3686"/>
      <c r="D568" s="3575"/>
      <c r="E568" s="3683"/>
      <c r="F568" s="3575"/>
      <c r="G568" s="3587"/>
      <c r="H568" s="3587"/>
      <c r="I568" s="3587"/>
      <c r="J568" s="3587"/>
      <c r="K568" s="3626"/>
      <c r="L568" s="2694" t="s">
        <v>3436</v>
      </c>
      <c r="M568" s="429"/>
      <c r="N568" s="429"/>
      <c r="O568" s="429"/>
      <c r="P568" s="429"/>
      <c r="Q568" s="429"/>
    </row>
    <row r="569" spans="1:17" ht="30" customHeight="1" x14ac:dyDescent="0.2">
      <c r="A569" s="2625">
        <v>390</v>
      </c>
      <c r="B569" s="2627" t="s">
        <v>2122</v>
      </c>
      <c r="C569" s="2660" t="s">
        <v>916</v>
      </c>
      <c r="D569" s="2634">
        <v>5000000</v>
      </c>
      <c r="E569" s="2631">
        <v>0.05</v>
      </c>
      <c r="F569" s="2634">
        <f>D569*E569</f>
        <v>250000</v>
      </c>
      <c r="G569" s="2634">
        <v>250000</v>
      </c>
      <c r="H569" s="2634" t="s">
        <v>1263</v>
      </c>
      <c r="I569" s="516" t="s">
        <v>2667</v>
      </c>
      <c r="J569" s="2634">
        <f>G569</f>
        <v>250000</v>
      </c>
      <c r="K569" s="2678">
        <f>F569-J569</f>
        <v>0</v>
      </c>
      <c r="L569" s="2694"/>
      <c r="M569" s="429"/>
      <c r="N569" s="429"/>
      <c r="O569" s="429"/>
      <c r="P569" s="429"/>
      <c r="Q569" s="429"/>
    </row>
    <row r="570" spans="1:17" ht="30" customHeight="1" x14ac:dyDescent="0.2">
      <c r="A570" s="3693">
        <v>391</v>
      </c>
      <c r="B570" s="3687" t="s">
        <v>2129</v>
      </c>
      <c r="C570" s="3686" t="s">
        <v>3526</v>
      </c>
      <c r="D570" s="3575">
        <v>1000000000</v>
      </c>
      <c r="E570" s="3683">
        <v>0.05</v>
      </c>
      <c r="F570" s="3575">
        <f>D570*E570</f>
        <v>50000000</v>
      </c>
      <c r="G570" s="3442">
        <v>50000000</v>
      </c>
      <c r="H570" s="3442" t="s">
        <v>3160</v>
      </c>
      <c r="I570" s="3442" t="s">
        <v>4236</v>
      </c>
      <c r="J570" s="3442">
        <f>G570</f>
        <v>50000000</v>
      </c>
      <c r="K570" s="3442">
        <f>F570-J570</f>
        <v>0</v>
      </c>
      <c r="L570" s="3620" t="s">
        <v>3337</v>
      </c>
      <c r="M570" s="429"/>
      <c r="N570" s="429"/>
      <c r="O570" s="429"/>
      <c r="P570" s="429"/>
      <c r="Q570" s="429"/>
    </row>
    <row r="571" spans="1:17" ht="30" customHeight="1" x14ac:dyDescent="0.2">
      <c r="A571" s="3693"/>
      <c r="B571" s="3687"/>
      <c r="C571" s="3686"/>
      <c r="D571" s="3575"/>
      <c r="E571" s="3683"/>
      <c r="F571" s="3575"/>
      <c r="G571" s="3443"/>
      <c r="H571" s="3443"/>
      <c r="I571" s="3443"/>
      <c r="J571" s="3443"/>
      <c r="K571" s="3443"/>
      <c r="L571" s="3621"/>
      <c r="M571" s="429"/>
      <c r="N571" s="429"/>
      <c r="O571" s="429"/>
      <c r="P571" s="429"/>
      <c r="Q571" s="429"/>
    </row>
    <row r="572" spans="1:17" ht="30" customHeight="1" x14ac:dyDescent="0.2">
      <c r="A572" s="2625">
        <v>392</v>
      </c>
      <c r="B572" s="2627" t="s">
        <v>2174</v>
      </c>
      <c r="C572" s="2660" t="s">
        <v>1349</v>
      </c>
      <c r="D572" s="2634">
        <v>50000000</v>
      </c>
      <c r="E572" s="2688">
        <v>0.05</v>
      </c>
      <c r="F572" s="2634">
        <f>D572*E572</f>
        <v>2500000</v>
      </c>
      <c r="G572" s="2634">
        <v>2500000</v>
      </c>
      <c r="H572" s="2634" t="s">
        <v>4249</v>
      </c>
      <c r="I572" s="516" t="s">
        <v>3182</v>
      </c>
      <c r="J572" s="2634">
        <f>G572</f>
        <v>2500000</v>
      </c>
      <c r="K572" s="2678">
        <f>F572-J572</f>
        <v>0</v>
      </c>
      <c r="L572" s="2694" t="s">
        <v>2162</v>
      </c>
      <c r="M572" s="429"/>
      <c r="N572" s="429"/>
      <c r="O572" s="429"/>
      <c r="P572" s="429"/>
      <c r="Q572" s="429"/>
    </row>
    <row r="573" spans="1:17" ht="30" customHeight="1" x14ac:dyDescent="0.2">
      <c r="A573" s="3450">
        <v>393</v>
      </c>
      <c r="B573" s="3457" t="s">
        <v>2166</v>
      </c>
      <c r="C573" s="2660"/>
      <c r="D573" s="2634">
        <v>30000000</v>
      </c>
      <c r="E573" s="2688">
        <f>F573/D573</f>
        <v>0.05</v>
      </c>
      <c r="F573" s="2634">
        <v>1500000</v>
      </c>
      <c r="G573" s="2634"/>
      <c r="H573" s="2634"/>
      <c r="I573" s="516" t="s">
        <v>3839</v>
      </c>
      <c r="J573" s="2634">
        <f>G573</f>
        <v>0</v>
      </c>
      <c r="K573" s="2678">
        <f>F573-J573</f>
        <v>1500000</v>
      </c>
      <c r="L573" s="2694"/>
      <c r="M573" s="429"/>
      <c r="N573" s="429"/>
      <c r="O573" s="429"/>
      <c r="P573" s="429"/>
      <c r="Q573" s="429"/>
    </row>
    <row r="574" spans="1:17" ht="30" customHeight="1" x14ac:dyDescent="0.2">
      <c r="A574" s="3456"/>
      <c r="B574" s="3459"/>
      <c r="C574" s="3570"/>
      <c r="D574" s="3575">
        <v>40000000</v>
      </c>
      <c r="E574" s="3575"/>
      <c r="F574" s="2088"/>
      <c r="G574" s="247"/>
      <c r="H574" s="247"/>
      <c r="I574" s="247"/>
      <c r="J574" s="247"/>
      <c r="K574" s="3625"/>
      <c r="L574" s="2694" t="s">
        <v>3723</v>
      </c>
      <c r="M574" s="429"/>
      <c r="N574" s="429"/>
      <c r="O574" s="429"/>
      <c r="P574" s="429"/>
      <c r="Q574" s="429"/>
    </row>
    <row r="575" spans="1:17" ht="30" customHeight="1" x14ac:dyDescent="0.2">
      <c r="A575" s="3456"/>
      <c r="B575" s="3459"/>
      <c r="C575" s="3576"/>
      <c r="D575" s="3575"/>
      <c r="E575" s="3575"/>
      <c r="F575" s="2089"/>
      <c r="G575" s="247"/>
      <c r="H575" s="247"/>
      <c r="I575" s="247"/>
      <c r="J575" s="247"/>
      <c r="K575" s="3696"/>
      <c r="L575" s="2694" t="s">
        <v>3724</v>
      </c>
      <c r="M575" s="429"/>
      <c r="N575" s="429"/>
      <c r="O575" s="429"/>
      <c r="P575" s="429"/>
      <c r="Q575" s="429"/>
    </row>
    <row r="576" spans="1:17" ht="30" customHeight="1" x14ac:dyDescent="0.2">
      <c r="A576" s="3456"/>
      <c r="B576" s="3459"/>
      <c r="C576" s="3576"/>
      <c r="D576" s="3575"/>
      <c r="E576" s="3575"/>
      <c r="F576" s="2089"/>
      <c r="G576" s="247"/>
      <c r="H576" s="247"/>
      <c r="I576" s="247"/>
      <c r="J576" s="247"/>
      <c r="K576" s="3696"/>
      <c r="L576" s="2694" t="s">
        <v>3725</v>
      </c>
      <c r="M576" s="429"/>
      <c r="N576" s="429"/>
      <c r="O576" s="429"/>
      <c r="P576" s="429"/>
      <c r="Q576" s="429"/>
    </row>
    <row r="577" spans="1:17" ht="30" customHeight="1" x14ac:dyDescent="0.2">
      <c r="A577" s="3456"/>
      <c r="B577" s="3459"/>
      <c r="C577" s="3576"/>
      <c r="D577" s="3575"/>
      <c r="E577" s="3575"/>
      <c r="F577" s="2090"/>
      <c r="G577" s="247"/>
      <c r="H577" s="247"/>
      <c r="I577" s="247"/>
      <c r="J577" s="247"/>
      <c r="K577" s="3626"/>
      <c r="L577" s="2694" t="s">
        <v>3726</v>
      </c>
      <c r="M577" s="429"/>
      <c r="N577" s="429"/>
      <c r="O577" s="429"/>
      <c r="P577" s="429"/>
      <c r="Q577" s="429"/>
    </row>
    <row r="578" spans="1:17" ht="30" customHeight="1" x14ac:dyDescent="0.2">
      <c r="A578" s="3451"/>
      <c r="B578" s="3458"/>
      <c r="C578" s="3571"/>
      <c r="D578" s="2640">
        <v>70000000</v>
      </c>
      <c r="E578" s="2688">
        <v>0.05</v>
      </c>
      <c r="F578" s="2634">
        <f>D578*E578</f>
        <v>3500000</v>
      </c>
      <c r="G578" s="2622">
        <v>3500000</v>
      </c>
      <c r="H578" s="2622" t="s">
        <v>4216</v>
      </c>
      <c r="I578" s="2622" t="s">
        <v>3839</v>
      </c>
      <c r="J578" s="2622">
        <f>G578</f>
        <v>3500000</v>
      </c>
      <c r="K578" s="2678">
        <f>F578-J578</f>
        <v>0</v>
      </c>
      <c r="L578" s="2694"/>
      <c r="M578" s="429"/>
      <c r="N578" s="429"/>
      <c r="O578" s="429"/>
      <c r="P578" s="429"/>
      <c r="Q578" s="429"/>
    </row>
    <row r="579" spans="1:17" ht="30" customHeight="1" x14ac:dyDescent="0.2">
      <c r="A579" s="3450"/>
      <c r="B579" s="2709" t="s">
        <v>2178</v>
      </c>
      <c r="C579" s="3845" t="s">
        <v>1378</v>
      </c>
      <c r="D579" s="2707">
        <v>600000000</v>
      </c>
      <c r="E579" s="725">
        <v>0.06</v>
      </c>
      <c r="F579" s="2707">
        <f>D579*E579</f>
        <v>36000000</v>
      </c>
      <c r="G579" s="3442"/>
      <c r="H579" s="3442"/>
      <c r="I579" s="3703"/>
      <c r="J579" s="3442"/>
      <c r="K579" s="2678"/>
      <c r="L579" s="2694"/>
      <c r="M579" s="429"/>
      <c r="N579" s="429"/>
      <c r="O579" s="429"/>
      <c r="P579" s="429"/>
      <c r="Q579" s="429"/>
    </row>
    <row r="580" spans="1:17" ht="30" customHeight="1" x14ac:dyDescent="0.2">
      <c r="A580" s="3456"/>
      <c r="B580" s="2709" t="s">
        <v>2175</v>
      </c>
      <c r="C580" s="3847"/>
      <c r="D580" s="2707">
        <v>310000000</v>
      </c>
      <c r="E580" s="725">
        <v>0.06</v>
      </c>
      <c r="F580" s="2707">
        <f t="shared" ref="F580:F583" si="63">D580*E580</f>
        <v>18600000</v>
      </c>
      <c r="G580" s="3461"/>
      <c r="H580" s="3461"/>
      <c r="I580" s="3854"/>
      <c r="J580" s="3461"/>
      <c r="K580" s="2678"/>
      <c r="L580" s="2694"/>
      <c r="M580" s="429"/>
      <c r="N580" s="429"/>
      <c r="O580" s="429"/>
      <c r="P580" s="429"/>
      <c r="Q580" s="429"/>
    </row>
    <row r="581" spans="1:17" ht="30" customHeight="1" x14ac:dyDescent="0.2">
      <c r="A581" s="3456"/>
      <c r="B581" s="2709" t="s">
        <v>2179</v>
      </c>
      <c r="C581" s="3847"/>
      <c r="D581" s="2707">
        <v>50000000</v>
      </c>
      <c r="E581" s="725">
        <v>0.06</v>
      </c>
      <c r="F581" s="2707">
        <f t="shared" si="63"/>
        <v>3000000</v>
      </c>
      <c r="G581" s="3461"/>
      <c r="H581" s="3461"/>
      <c r="I581" s="3854"/>
      <c r="J581" s="3461"/>
      <c r="K581" s="2678"/>
      <c r="L581" s="2694"/>
      <c r="M581" s="429"/>
      <c r="N581" s="429"/>
      <c r="O581" s="429"/>
      <c r="P581" s="429"/>
      <c r="Q581" s="429"/>
    </row>
    <row r="582" spans="1:17" ht="30" customHeight="1" x14ac:dyDescent="0.2">
      <c r="A582" s="3456"/>
      <c r="B582" s="2709" t="s">
        <v>2176</v>
      </c>
      <c r="C582" s="3847"/>
      <c r="D582" s="2707">
        <v>110000000</v>
      </c>
      <c r="E582" s="725">
        <v>0.06</v>
      </c>
      <c r="F582" s="2707">
        <f t="shared" si="63"/>
        <v>6600000</v>
      </c>
      <c r="G582" s="3461"/>
      <c r="H582" s="3461"/>
      <c r="I582" s="3854"/>
      <c r="J582" s="3461"/>
      <c r="K582" s="2678"/>
      <c r="L582" s="2694"/>
      <c r="M582" s="429"/>
      <c r="N582" s="429"/>
      <c r="O582" s="429"/>
      <c r="P582" s="429"/>
      <c r="Q582" s="429"/>
    </row>
    <row r="583" spans="1:17" ht="30" customHeight="1" x14ac:dyDescent="0.2">
      <c r="A583" s="3456"/>
      <c r="B583" s="2709" t="s">
        <v>2177</v>
      </c>
      <c r="C583" s="3846"/>
      <c r="D583" s="2707">
        <v>100000000</v>
      </c>
      <c r="E583" s="725">
        <v>0.06</v>
      </c>
      <c r="F583" s="2707">
        <f t="shared" si="63"/>
        <v>6000000</v>
      </c>
      <c r="G583" s="3443"/>
      <c r="H583" s="3443"/>
      <c r="I583" s="3704"/>
      <c r="J583" s="3443"/>
      <c r="K583" s="2678"/>
      <c r="L583" s="2694"/>
      <c r="M583" s="429"/>
      <c r="N583" s="429"/>
      <c r="O583" s="429"/>
      <c r="P583" s="429"/>
      <c r="Q583" s="429"/>
    </row>
    <row r="584" spans="1:17" ht="30" customHeight="1" x14ac:dyDescent="0.2">
      <c r="A584" s="3456"/>
      <c r="B584" s="3839" t="s">
        <v>3559</v>
      </c>
      <c r="C584" s="3845" t="s">
        <v>1378</v>
      </c>
      <c r="D584" s="3816">
        <f>SUM(D579:D583)</f>
        <v>1170000000</v>
      </c>
      <c r="E584" s="3899"/>
      <c r="F584" s="3816">
        <f>SUM(F579:F583)</f>
        <v>70200000</v>
      </c>
      <c r="G584" s="2634"/>
      <c r="H584" s="2634"/>
      <c r="I584" s="516" t="s">
        <v>3558</v>
      </c>
      <c r="J584" s="3442">
        <f>G584+G585</f>
        <v>0</v>
      </c>
      <c r="K584" s="3625">
        <f>F584-J584</f>
        <v>70200000</v>
      </c>
      <c r="L584" s="3625"/>
      <c r="M584" s="429"/>
      <c r="N584" s="429"/>
      <c r="O584" s="429"/>
      <c r="P584" s="429"/>
      <c r="Q584" s="429"/>
    </row>
    <row r="585" spans="1:17" ht="30" customHeight="1" x14ac:dyDescent="0.2">
      <c r="A585" s="3451"/>
      <c r="B585" s="3840"/>
      <c r="C585" s="3846"/>
      <c r="D585" s="3817"/>
      <c r="E585" s="3900"/>
      <c r="F585" s="3817"/>
      <c r="G585" s="2634"/>
      <c r="H585" s="2634"/>
      <c r="I585" s="516">
        <v>8792421809</v>
      </c>
      <c r="J585" s="3443"/>
      <c r="K585" s="3626"/>
      <c r="L585" s="3626"/>
      <c r="M585" s="429"/>
      <c r="N585" s="429"/>
      <c r="O585" s="429"/>
      <c r="P585" s="429"/>
      <c r="Q585" s="429"/>
    </row>
    <row r="586" spans="1:17" ht="30" customHeight="1" x14ac:dyDescent="0.2">
      <c r="A586" s="2692"/>
      <c r="B586" s="2690" t="s">
        <v>2195</v>
      </c>
      <c r="C586" s="2689"/>
      <c r="D586" s="2622">
        <v>200000000</v>
      </c>
      <c r="E586" s="2688">
        <v>7.0000000000000007E-2</v>
      </c>
      <c r="F586" s="2622">
        <f t="shared" ref="F586:F590" si="64">D586*E586</f>
        <v>14000000.000000002</v>
      </c>
      <c r="G586" s="2634">
        <v>14000000</v>
      </c>
      <c r="H586" s="2634" t="s">
        <v>4330</v>
      </c>
      <c r="I586" s="516" t="s">
        <v>1106</v>
      </c>
      <c r="J586" s="2622">
        <f>G586</f>
        <v>14000000</v>
      </c>
      <c r="K586" s="2619">
        <f>F586-J586</f>
        <v>0</v>
      </c>
      <c r="L586" s="2677"/>
      <c r="M586" s="429"/>
      <c r="N586" s="429"/>
      <c r="O586" s="429"/>
      <c r="P586" s="429"/>
      <c r="Q586" s="429"/>
    </row>
    <row r="587" spans="1:17" ht="30" customHeight="1" x14ac:dyDescent="0.2">
      <c r="A587" s="2625"/>
      <c r="B587" s="2627" t="s">
        <v>2215</v>
      </c>
      <c r="C587" s="2660"/>
      <c r="D587" s="2634">
        <v>13000000</v>
      </c>
      <c r="E587" s="2688">
        <v>0.05</v>
      </c>
      <c r="F587" s="2634">
        <f t="shared" si="64"/>
        <v>650000</v>
      </c>
      <c r="G587" s="2634">
        <v>650000</v>
      </c>
      <c r="H587" s="2634" t="s">
        <v>4201</v>
      </c>
      <c r="I587" s="516" t="s">
        <v>3119</v>
      </c>
      <c r="J587" s="2634">
        <f>G587</f>
        <v>650000</v>
      </c>
      <c r="K587" s="2678">
        <f>F587-J587</f>
        <v>0</v>
      </c>
      <c r="L587" s="2694"/>
      <c r="M587" s="429"/>
      <c r="N587" s="429"/>
      <c r="O587" s="429"/>
      <c r="P587" s="429"/>
      <c r="Q587" s="429"/>
    </row>
    <row r="588" spans="1:17" ht="30" customHeight="1" x14ac:dyDescent="0.2">
      <c r="A588" s="2625"/>
      <c r="B588" s="2627" t="s">
        <v>2254</v>
      </c>
      <c r="C588" s="2660" t="s">
        <v>1342</v>
      </c>
      <c r="D588" s="2634">
        <v>50000000</v>
      </c>
      <c r="E588" s="2688">
        <v>0.04</v>
      </c>
      <c r="F588" s="2634">
        <f t="shared" si="64"/>
        <v>2000000</v>
      </c>
      <c r="G588" s="2634">
        <v>2000000</v>
      </c>
      <c r="H588" s="2634" t="s">
        <v>4201</v>
      </c>
      <c r="I588" s="516" t="s">
        <v>2295</v>
      </c>
      <c r="J588" s="2634">
        <f>G588</f>
        <v>2000000</v>
      </c>
      <c r="K588" s="2678">
        <f>F588-G588</f>
        <v>0</v>
      </c>
      <c r="L588" s="2694"/>
      <c r="M588" s="429"/>
      <c r="N588" s="429"/>
      <c r="O588" s="429"/>
      <c r="P588" s="429"/>
      <c r="Q588" s="429"/>
    </row>
    <row r="589" spans="1:17" ht="30" customHeight="1" x14ac:dyDescent="0.2">
      <c r="A589" s="2623"/>
      <c r="B589" s="2686" t="s">
        <v>2255</v>
      </c>
      <c r="C589" s="2660" t="s">
        <v>380</v>
      </c>
      <c r="D589" s="2632">
        <v>100000000</v>
      </c>
      <c r="E589" s="2629">
        <v>0.05</v>
      </c>
      <c r="F589" s="2632">
        <f t="shared" si="64"/>
        <v>5000000</v>
      </c>
      <c r="G589" s="2633">
        <v>5000000</v>
      </c>
      <c r="H589" s="2633" t="s">
        <v>4184</v>
      </c>
      <c r="I589" s="1717" t="s">
        <v>3719</v>
      </c>
      <c r="J589" s="2632">
        <f>G589</f>
        <v>5000000</v>
      </c>
      <c r="K589" s="2677">
        <f>F589-J589</f>
        <v>0</v>
      </c>
      <c r="L589" s="2677"/>
      <c r="M589" s="429"/>
      <c r="N589" s="429"/>
      <c r="O589" s="429"/>
      <c r="P589" s="429"/>
      <c r="Q589" s="429"/>
    </row>
    <row r="590" spans="1:17" s="1593" customFormat="1" ht="30" customHeight="1" x14ac:dyDescent="0.2">
      <c r="A590" s="2692"/>
      <c r="B590" s="2690" t="s">
        <v>2334</v>
      </c>
      <c r="C590" s="2689" t="s">
        <v>1378</v>
      </c>
      <c r="D590" s="2622">
        <v>30000000</v>
      </c>
      <c r="E590" s="2688">
        <v>0.05</v>
      </c>
      <c r="F590" s="2622">
        <f t="shared" si="64"/>
        <v>1500000</v>
      </c>
      <c r="G590" s="2622">
        <v>1500000</v>
      </c>
      <c r="H590" s="2622" t="s">
        <v>4249</v>
      </c>
      <c r="I590" s="2622" t="s">
        <v>3339</v>
      </c>
      <c r="J590" s="2622">
        <f>G590</f>
        <v>1500000</v>
      </c>
      <c r="K590" s="2622">
        <f>F590-J590</f>
        <v>0</v>
      </c>
      <c r="L590" s="2694"/>
      <c r="M590" s="430"/>
      <c r="N590" s="430"/>
      <c r="O590" s="430"/>
      <c r="P590" s="430"/>
      <c r="Q590" s="430"/>
    </row>
    <row r="591" spans="1:17" ht="30" customHeight="1" x14ac:dyDescent="0.2">
      <c r="A591" s="2625"/>
      <c r="B591" s="2627" t="s">
        <v>2422</v>
      </c>
      <c r="C591" s="2660"/>
      <c r="D591" s="2647"/>
      <c r="E591" s="2720"/>
      <c r="F591" s="2647"/>
      <c r="G591" s="2634"/>
      <c r="H591" s="2634"/>
      <c r="I591" s="516"/>
      <c r="J591" s="2634">
        <f t="shared" ref="J591:J597" si="65">G591</f>
        <v>0</v>
      </c>
      <c r="K591" s="2683"/>
      <c r="L591" s="2694" t="s">
        <v>2205</v>
      </c>
      <c r="M591" s="429"/>
      <c r="N591" s="429"/>
      <c r="O591" s="429"/>
      <c r="P591" s="429"/>
      <c r="Q591" s="429"/>
    </row>
    <row r="592" spans="1:17" ht="30" customHeight="1" x14ac:dyDescent="0.2">
      <c r="A592" s="2625"/>
      <c r="B592" s="3066" t="s">
        <v>2433</v>
      </c>
      <c r="C592" s="3067"/>
      <c r="D592" s="3064">
        <v>100000000</v>
      </c>
      <c r="E592" s="3069">
        <v>4.4999999999999998E-2</v>
      </c>
      <c r="F592" s="3064">
        <f>D592*E592</f>
        <v>4500000</v>
      </c>
      <c r="G592" s="3064"/>
      <c r="H592" s="3064"/>
      <c r="I592" s="516" t="s">
        <v>2434</v>
      </c>
      <c r="J592" s="3064">
        <f t="shared" si="65"/>
        <v>0</v>
      </c>
      <c r="K592" s="3068">
        <f>F592-J592</f>
        <v>4500000</v>
      </c>
      <c r="L592" s="3070"/>
      <c r="M592" s="429"/>
      <c r="N592" s="429"/>
      <c r="O592" s="429"/>
      <c r="P592" s="429"/>
      <c r="Q592" s="429"/>
    </row>
    <row r="593" spans="1:17" ht="30" customHeight="1" x14ac:dyDescent="0.2">
      <c r="A593" s="2625"/>
      <c r="B593" s="2627" t="s">
        <v>2474</v>
      </c>
      <c r="C593" s="2660" t="s">
        <v>1378</v>
      </c>
      <c r="D593" s="2634">
        <v>25000000</v>
      </c>
      <c r="E593" s="2688">
        <v>0.04</v>
      </c>
      <c r="F593" s="2634">
        <f>D593*E593</f>
        <v>1000000</v>
      </c>
      <c r="G593" s="2634">
        <v>2000000</v>
      </c>
      <c r="H593" s="2634" t="s">
        <v>4216</v>
      </c>
      <c r="I593" s="516" t="s">
        <v>2476</v>
      </c>
      <c r="J593" s="2634">
        <f t="shared" si="65"/>
        <v>2000000</v>
      </c>
      <c r="K593" s="2678">
        <f>F593-J593</f>
        <v>-1000000</v>
      </c>
      <c r="L593" s="2694"/>
      <c r="M593" s="429"/>
      <c r="N593" s="429"/>
      <c r="O593" s="429"/>
      <c r="P593" s="429"/>
      <c r="Q593" s="429"/>
    </row>
    <row r="594" spans="1:17" ht="30" customHeight="1" x14ac:dyDescent="0.2">
      <c r="A594" s="2625"/>
      <c r="B594" s="2627" t="s">
        <v>2515</v>
      </c>
      <c r="C594" s="2660"/>
      <c r="D594" s="2647"/>
      <c r="E594" s="2720"/>
      <c r="F594" s="2647"/>
      <c r="G594" s="2634"/>
      <c r="H594" s="2634"/>
      <c r="I594" s="516"/>
      <c r="J594" s="2634">
        <f t="shared" si="65"/>
        <v>0</v>
      </c>
      <c r="K594" s="2683">
        <f>F594-J594</f>
        <v>0</v>
      </c>
      <c r="L594" s="2694"/>
      <c r="M594" s="429"/>
      <c r="N594" s="429"/>
      <c r="O594" s="429"/>
      <c r="P594" s="429"/>
      <c r="Q594" s="429"/>
    </row>
    <row r="595" spans="1:17" ht="30" customHeight="1" x14ac:dyDescent="0.2">
      <c r="A595" s="3450"/>
      <c r="B595" s="3457" t="s">
        <v>2518</v>
      </c>
      <c r="C595" s="3570" t="s">
        <v>4424</v>
      </c>
      <c r="D595" s="3227">
        <v>25000000</v>
      </c>
      <c r="E595" s="479">
        <v>0.05</v>
      </c>
      <c r="F595" s="3227">
        <f>D595*E595</f>
        <v>1250000</v>
      </c>
      <c r="G595" s="3228">
        <v>1250000</v>
      </c>
      <c r="H595" s="3228" t="s">
        <v>4394</v>
      </c>
      <c r="I595" s="3193" t="s">
        <v>4395</v>
      </c>
      <c r="J595" s="3228">
        <f>G595</f>
        <v>1250000</v>
      </c>
      <c r="K595" s="3226">
        <f>F595-J595</f>
        <v>0</v>
      </c>
      <c r="L595" s="2694" t="s">
        <v>4423</v>
      </c>
      <c r="M595" s="429"/>
      <c r="N595" s="429"/>
      <c r="O595" s="429"/>
      <c r="P595" s="429"/>
      <c r="Q595" s="429"/>
    </row>
    <row r="596" spans="1:17" ht="30" customHeight="1" x14ac:dyDescent="0.2">
      <c r="A596" s="3451"/>
      <c r="B596" s="3458"/>
      <c r="C596" s="3571"/>
      <c r="D596" s="3235">
        <v>40000000</v>
      </c>
      <c r="E596" s="479">
        <v>0.05</v>
      </c>
      <c r="F596" s="3227">
        <f t="shared" ref="F596" si="66">D596*E596</f>
        <v>2000000</v>
      </c>
      <c r="G596" s="3478" t="s">
        <v>4910</v>
      </c>
      <c r="H596" s="3479"/>
      <c r="I596" s="3479"/>
      <c r="J596" s="3480"/>
      <c r="K596" s="3237"/>
      <c r="L596" s="3240"/>
      <c r="M596" s="429"/>
      <c r="N596" s="429"/>
      <c r="O596" s="429"/>
      <c r="P596" s="429"/>
      <c r="Q596" s="429"/>
    </row>
    <row r="597" spans="1:17" ht="30" customHeight="1" x14ac:dyDescent="0.2">
      <c r="A597" s="3450"/>
      <c r="B597" s="3457" t="s">
        <v>2781</v>
      </c>
      <c r="C597" s="3686" t="s">
        <v>1746</v>
      </c>
      <c r="D597" s="2634">
        <v>100000000</v>
      </c>
      <c r="E597" s="2688">
        <v>0.05</v>
      </c>
      <c r="F597" s="2634">
        <f t="shared" ref="F597:F605" si="67">D597*E597</f>
        <v>5000000</v>
      </c>
      <c r="G597" s="3442">
        <v>16000000</v>
      </c>
      <c r="H597" s="3442" t="s">
        <v>4059</v>
      </c>
      <c r="I597" s="3442" t="s">
        <v>4060</v>
      </c>
      <c r="J597" s="3442">
        <f t="shared" si="65"/>
        <v>16000000</v>
      </c>
      <c r="K597" s="3625">
        <f>(F597+F598)-J597</f>
        <v>0</v>
      </c>
      <c r="L597" s="3620" t="s">
        <v>3348</v>
      </c>
      <c r="M597" s="429"/>
      <c r="N597" s="429"/>
      <c r="O597" s="429"/>
      <c r="P597" s="429"/>
      <c r="Q597" s="429"/>
    </row>
    <row r="598" spans="1:17" ht="30" customHeight="1" x14ac:dyDescent="0.2">
      <c r="A598" s="3456"/>
      <c r="B598" s="3459"/>
      <c r="C598" s="3686"/>
      <c r="D598" s="2634">
        <v>220000000</v>
      </c>
      <c r="E598" s="2688">
        <v>0.05</v>
      </c>
      <c r="F598" s="2634">
        <f t="shared" si="67"/>
        <v>11000000</v>
      </c>
      <c r="G598" s="3443"/>
      <c r="H598" s="3443"/>
      <c r="I598" s="3443"/>
      <c r="J598" s="3443"/>
      <c r="K598" s="3626"/>
      <c r="L598" s="3621"/>
      <c r="M598" s="429"/>
      <c r="N598" s="429"/>
      <c r="O598" s="429"/>
      <c r="P598" s="429"/>
      <c r="Q598" s="429"/>
    </row>
    <row r="599" spans="1:17" ht="30" customHeight="1" x14ac:dyDescent="0.2">
      <c r="A599" s="3456"/>
      <c r="B599" s="3459"/>
      <c r="C599" s="3570" t="s">
        <v>3526</v>
      </c>
      <c r="D599" s="3442">
        <v>1000000000</v>
      </c>
      <c r="E599" s="3444">
        <v>6.5000000000000002E-2</v>
      </c>
      <c r="F599" s="3442">
        <f>D599*E599</f>
        <v>65000000</v>
      </c>
      <c r="G599" s="2634">
        <v>50000000</v>
      </c>
      <c r="H599" s="2634" t="s">
        <v>4259</v>
      </c>
      <c r="I599" s="2634" t="s">
        <v>4260</v>
      </c>
      <c r="J599" s="3442">
        <f>G599+G600</f>
        <v>65000000</v>
      </c>
      <c r="K599" s="3625">
        <f>F599-J599</f>
        <v>0</v>
      </c>
      <c r="L599" s="2674"/>
      <c r="M599" s="429"/>
      <c r="N599" s="429"/>
      <c r="O599" s="429"/>
      <c r="P599" s="429"/>
      <c r="Q599" s="429"/>
    </row>
    <row r="600" spans="1:17" ht="30" customHeight="1" x14ac:dyDescent="0.2">
      <c r="A600" s="3451"/>
      <c r="B600" s="3458"/>
      <c r="C600" s="3571"/>
      <c r="D600" s="3443"/>
      <c r="E600" s="3445"/>
      <c r="F600" s="3443"/>
      <c r="G600" s="2622">
        <v>15000000</v>
      </c>
      <c r="H600" s="2622" t="s">
        <v>4261</v>
      </c>
      <c r="I600" s="2622" t="s">
        <v>4260</v>
      </c>
      <c r="J600" s="3443"/>
      <c r="K600" s="3626"/>
      <c r="L600" s="2694" t="s">
        <v>3828</v>
      </c>
      <c r="M600" s="429"/>
      <c r="N600" s="429"/>
      <c r="O600" s="429"/>
      <c r="P600" s="429"/>
      <c r="Q600" s="429"/>
    </row>
    <row r="601" spans="1:17" ht="30" customHeight="1" x14ac:dyDescent="0.2">
      <c r="A601" s="2625"/>
      <c r="B601" s="2627" t="s">
        <v>2537</v>
      </c>
      <c r="C601" s="2660"/>
      <c r="D601" s="2634">
        <v>20000000</v>
      </c>
      <c r="E601" s="2688">
        <v>0.05</v>
      </c>
      <c r="F601" s="2634">
        <f t="shared" si="67"/>
        <v>1000000</v>
      </c>
      <c r="G601" s="2634">
        <v>1000000</v>
      </c>
      <c r="H601" s="2634" t="s">
        <v>4249</v>
      </c>
      <c r="I601" s="516" t="s">
        <v>4266</v>
      </c>
      <c r="J601" s="2634">
        <f>G601</f>
        <v>1000000</v>
      </c>
      <c r="K601" s="2678">
        <f>F601-J601</f>
        <v>0</v>
      </c>
      <c r="L601" s="2694"/>
      <c r="M601" s="429"/>
      <c r="N601" s="429"/>
      <c r="O601" s="429"/>
      <c r="P601" s="429"/>
      <c r="Q601" s="429"/>
    </row>
    <row r="602" spans="1:17" ht="30" customHeight="1" x14ac:dyDescent="0.2">
      <c r="A602" s="2692"/>
      <c r="B602" s="22" t="s">
        <v>2602</v>
      </c>
      <c r="C602" s="2689" t="s">
        <v>916</v>
      </c>
      <c r="D602" s="2634">
        <v>57120000</v>
      </c>
      <c r="E602" s="2688">
        <v>0.06</v>
      </c>
      <c r="F602" s="2634">
        <f t="shared" si="67"/>
        <v>3427200</v>
      </c>
      <c r="G602" s="2622">
        <f>F602*2</f>
        <v>6854400</v>
      </c>
      <c r="H602" s="2622" t="s">
        <v>4177</v>
      </c>
      <c r="I602" s="247" t="s">
        <v>4182</v>
      </c>
      <c r="J602" s="2622" t="e">
        <f>#REF!</f>
        <v>#REF!</v>
      </c>
      <c r="K602" s="1658"/>
      <c r="L602" s="2694" t="s">
        <v>4183</v>
      </c>
      <c r="M602" s="429"/>
      <c r="N602" s="429"/>
      <c r="O602" s="429"/>
      <c r="P602" s="429"/>
      <c r="Q602" s="429"/>
    </row>
    <row r="603" spans="1:17" ht="30" customHeight="1" x14ac:dyDescent="0.2">
      <c r="A603" s="3450"/>
      <c r="B603" s="3457" t="s">
        <v>2651</v>
      </c>
      <c r="C603" s="3570" t="s">
        <v>1110</v>
      </c>
      <c r="D603" s="3230">
        <v>114000000</v>
      </c>
      <c r="E603" s="2688">
        <v>0.05</v>
      </c>
      <c r="F603" s="2634">
        <f t="shared" si="67"/>
        <v>5700000</v>
      </c>
      <c r="G603" s="3478" t="s">
        <v>4897</v>
      </c>
      <c r="H603" s="3479"/>
      <c r="I603" s="3479"/>
      <c r="J603" s="3480"/>
      <c r="K603" s="2622">
        <f>F603-J603</f>
        <v>5700000</v>
      </c>
      <c r="L603" s="2694"/>
      <c r="M603" s="429"/>
      <c r="N603" s="429"/>
      <c r="O603" s="429"/>
      <c r="P603" s="429"/>
      <c r="Q603" s="429"/>
    </row>
    <row r="604" spans="1:17" ht="30" customHeight="1" x14ac:dyDescent="0.2">
      <c r="A604" s="3456"/>
      <c r="B604" s="3459"/>
      <c r="C604" s="3576"/>
      <c r="D604" s="3230">
        <v>5700000</v>
      </c>
      <c r="E604" s="3239">
        <v>0.05</v>
      </c>
      <c r="F604" s="3230">
        <f t="shared" si="67"/>
        <v>285000</v>
      </c>
      <c r="G604" s="3478"/>
      <c r="H604" s="3479"/>
      <c r="I604" s="3479"/>
      <c r="J604" s="3480"/>
      <c r="K604" s="3229"/>
      <c r="L604" s="3240"/>
      <c r="M604" s="429"/>
      <c r="N604" s="429"/>
      <c r="O604" s="429"/>
      <c r="P604" s="429"/>
      <c r="Q604" s="429"/>
    </row>
    <row r="605" spans="1:17" ht="30" customHeight="1" x14ac:dyDescent="0.2">
      <c r="A605" s="3456"/>
      <c r="B605" s="3459"/>
      <c r="C605" s="3576"/>
      <c r="D605" s="3230">
        <v>14950000</v>
      </c>
      <c r="E605" s="3239">
        <v>0.05</v>
      </c>
      <c r="F605" s="3230">
        <f t="shared" si="67"/>
        <v>747500</v>
      </c>
      <c r="G605" s="3478" t="s">
        <v>4894</v>
      </c>
      <c r="H605" s="3479"/>
      <c r="I605" s="3479"/>
      <c r="J605" s="3480"/>
      <c r="K605" s="3229"/>
      <c r="L605" s="3240"/>
      <c r="M605" s="429"/>
      <c r="N605" s="429"/>
      <c r="O605" s="429"/>
      <c r="P605" s="429"/>
      <c r="Q605" s="429"/>
    </row>
    <row r="606" spans="1:17" ht="30" customHeight="1" x14ac:dyDescent="0.2">
      <c r="A606" s="3456"/>
      <c r="B606" s="3459"/>
      <c r="C606" s="3576"/>
      <c r="D606" s="3230">
        <v>50000</v>
      </c>
      <c r="E606" s="3694" t="s">
        <v>4405</v>
      </c>
      <c r="F606" s="3695"/>
      <c r="G606" s="3478"/>
      <c r="H606" s="3479"/>
      <c r="I606" s="3479"/>
      <c r="J606" s="3480"/>
      <c r="K606" s="3229"/>
      <c r="L606" s="3240"/>
      <c r="M606" s="429"/>
      <c r="N606" s="429"/>
      <c r="O606" s="429"/>
      <c r="P606" s="429"/>
      <c r="Q606" s="429"/>
    </row>
    <row r="607" spans="1:17" ht="30" customHeight="1" x14ac:dyDescent="0.2">
      <c r="A607" s="3456"/>
      <c r="B607" s="3459"/>
      <c r="C607" s="3571"/>
      <c r="D607" s="3243">
        <f>D603+D604+D605+D606</f>
        <v>134700000</v>
      </c>
      <c r="E607" s="949">
        <v>0.05</v>
      </c>
      <c r="F607" s="3243">
        <f>D607*E607</f>
        <v>6735000</v>
      </c>
      <c r="G607" s="3478" t="s">
        <v>4898</v>
      </c>
      <c r="H607" s="3479"/>
      <c r="I607" s="3479"/>
      <c r="J607" s="3480"/>
      <c r="K607" s="3229"/>
      <c r="L607" s="3240"/>
      <c r="M607" s="429"/>
      <c r="N607" s="429"/>
      <c r="O607" s="429"/>
      <c r="P607" s="429"/>
      <c r="Q607" s="429"/>
    </row>
    <row r="608" spans="1:17" ht="30" customHeight="1" x14ac:dyDescent="0.2">
      <c r="A608" s="3450"/>
      <c r="B608" s="3457" t="s">
        <v>2767</v>
      </c>
      <c r="C608" s="3570"/>
      <c r="D608" s="3505"/>
      <c r="E608" s="3507"/>
      <c r="F608" s="3505"/>
      <c r="G608" s="2622"/>
      <c r="H608" s="2622"/>
      <c r="I608" s="2622"/>
      <c r="J608" s="3442">
        <f>G608+G609+G610</f>
        <v>0</v>
      </c>
      <c r="K608" s="3505">
        <f>F608-J608</f>
        <v>0</v>
      </c>
      <c r="L608" s="3625"/>
      <c r="M608" s="429"/>
      <c r="N608" s="429"/>
      <c r="O608" s="429"/>
      <c r="P608" s="429"/>
      <c r="Q608" s="429"/>
    </row>
    <row r="609" spans="1:17" ht="30" customHeight="1" x14ac:dyDescent="0.2">
      <c r="A609" s="3456"/>
      <c r="B609" s="3459"/>
      <c r="C609" s="3576"/>
      <c r="D609" s="3549"/>
      <c r="E609" s="3550"/>
      <c r="F609" s="3549"/>
      <c r="G609" s="2634"/>
      <c r="H609" s="2634"/>
      <c r="I609" s="2622"/>
      <c r="J609" s="3461"/>
      <c r="K609" s="3549"/>
      <c r="L609" s="3696"/>
      <c r="M609" s="429"/>
      <c r="N609" s="429"/>
      <c r="O609" s="429"/>
      <c r="P609" s="429"/>
      <c r="Q609" s="429"/>
    </row>
    <row r="610" spans="1:17" ht="30" customHeight="1" x14ac:dyDescent="0.2">
      <c r="A610" s="3451"/>
      <c r="B610" s="3458"/>
      <c r="C610" s="3571"/>
      <c r="D610" s="3506"/>
      <c r="E610" s="3508"/>
      <c r="F610" s="3506"/>
      <c r="G610" s="2634"/>
      <c r="H610" s="2634"/>
      <c r="I610" s="2654"/>
      <c r="J610" s="3443"/>
      <c r="K610" s="3506"/>
      <c r="L610" s="3626"/>
      <c r="M610" s="429"/>
      <c r="N610" s="429"/>
      <c r="O610" s="429"/>
      <c r="P610" s="429"/>
      <c r="Q610" s="429"/>
    </row>
    <row r="611" spans="1:17" ht="30" customHeight="1" x14ac:dyDescent="0.2">
      <c r="A611" s="3450"/>
      <c r="B611" s="3457" t="s">
        <v>2685</v>
      </c>
      <c r="C611" s="3570"/>
      <c r="D611" s="2634">
        <v>10000000</v>
      </c>
      <c r="E611" s="2688"/>
      <c r="F611" s="2634"/>
      <c r="G611" s="2634"/>
      <c r="H611" s="2634"/>
      <c r="I611" s="516"/>
      <c r="J611" s="2634"/>
      <c r="K611" s="2678"/>
      <c r="L611" s="2694" t="s">
        <v>2686</v>
      </c>
      <c r="M611" s="429"/>
      <c r="N611" s="429"/>
      <c r="O611" s="429"/>
      <c r="P611" s="429"/>
      <c r="Q611" s="429"/>
    </row>
    <row r="612" spans="1:17" ht="30" customHeight="1" x14ac:dyDescent="0.2">
      <c r="A612" s="3451"/>
      <c r="B612" s="3458"/>
      <c r="C612" s="3571"/>
      <c r="D612" s="2634">
        <v>5000000</v>
      </c>
      <c r="E612" s="2688"/>
      <c r="F612" s="2634"/>
      <c r="G612" s="2634"/>
      <c r="H612" s="2634"/>
      <c r="I612" s="516"/>
      <c r="J612" s="2634"/>
      <c r="K612" s="2678"/>
      <c r="L612" s="2673" t="s">
        <v>4008</v>
      </c>
      <c r="M612" s="429"/>
      <c r="N612" s="429"/>
      <c r="O612" s="429"/>
      <c r="P612" s="429"/>
      <c r="Q612" s="429"/>
    </row>
    <row r="613" spans="1:17" ht="30" customHeight="1" x14ac:dyDescent="0.2">
      <c r="A613" s="3450"/>
      <c r="B613" s="3457" t="s">
        <v>2848</v>
      </c>
      <c r="C613" s="3570" t="s">
        <v>265</v>
      </c>
      <c r="D613" s="3442">
        <v>186000000</v>
      </c>
      <c r="E613" s="3444">
        <v>5.5E-2</v>
      </c>
      <c r="F613" s="3442">
        <f>D613*E613</f>
        <v>10230000</v>
      </c>
      <c r="G613" s="2622">
        <v>1000000</v>
      </c>
      <c r="H613" s="2622" t="s">
        <v>4068</v>
      </c>
      <c r="I613" s="1082" t="s">
        <v>2708</v>
      </c>
      <c r="J613" s="2622">
        <f>G613</f>
        <v>1000000</v>
      </c>
      <c r="K613" s="2619"/>
      <c r="L613" s="2673" t="s">
        <v>4405</v>
      </c>
      <c r="M613" s="429"/>
      <c r="N613" s="429"/>
      <c r="O613" s="429"/>
      <c r="P613" s="429"/>
      <c r="Q613" s="429"/>
    </row>
    <row r="614" spans="1:17" ht="30" customHeight="1" x14ac:dyDescent="0.2">
      <c r="A614" s="3456"/>
      <c r="B614" s="3459"/>
      <c r="C614" s="3576"/>
      <c r="D614" s="3461"/>
      <c r="E614" s="3474"/>
      <c r="F614" s="3461"/>
      <c r="G614" s="2634">
        <v>13530000</v>
      </c>
      <c r="H614" s="2634" t="s">
        <v>4105</v>
      </c>
      <c r="I614" s="2654" t="s">
        <v>4126</v>
      </c>
      <c r="J614" s="2634">
        <f>G614</f>
        <v>13530000</v>
      </c>
      <c r="K614" s="2678">
        <f>(F613+F619)-G614</f>
        <v>0</v>
      </c>
      <c r="L614" s="2673" t="s">
        <v>4092</v>
      </c>
      <c r="M614" s="429"/>
      <c r="N614" s="429"/>
      <c r="O614" s="429"/>
      <c r="P614" s="429"/>
      <c r="Q614" s="429"/>
    </row>
    <row r="615" spans="1:17" ht="30" customHeight="1" x14ac:dyDescent="0.2">
      <c r="A615" s="3456"/>
      <c r="B615" s="3459"/>
      <c r="C615" s="3576"/>
      <c r="D615" s="3443"/>
      <c r="E615" s="3445"/>
      <c r="F615" s="3443"/>
      <c r="G615" s="2634">
        <v>1000000</v>
      </c>
      <c r="H615" s="2634" t="s">
        <v>4330</v>
      </c>
      <c r="I615" s="1082" t="s">
        <v>2708</v>
      </c>
      <c r="J615" s="2634">
        <f>G615</f>
        <v>1000000</v>
      </c>
      <c r="K615" s="2678"/>
      <c r="L615" s="2673" t="s">
        <v>4405</v>
      </c>
      <c r="M615" s="429"/>
      <c r="N615" s="429"/>
      <c r="O615" s="429"/>
      <c r="P615" s="429"/>
      <c r="Q615" s="429"/>
    </row>
    <row r="616" spans="1:17" ht="30" customHeight="1" x14ac:dyDescent="0.2">
      <c r="A616" s="3456"/>
      <c r="B616" s="3459"/>
      <c r="C616" s="3576"/>
      <c r="D616" s="2634">
        <v>10000000</v>
      </c>
      <c r="E616" s="2631"/>
      <c r="F616" s="2634"/>
      <c r="G616" s="2634"/>
      <c r="H616" s="2634"/>
      <c r="I616" s="516"/>
      <c r="J616" s="2634"/>
      <c r="K616" s="2678"/>
      <c r="L616" s="2673" t="s">
        <v>4337</v>
      </c>
      <c r="M616" s="429"/>
      <c r="N616" s="429"/>
      <c r="O616" s="429"/>
      <c r="P616" s="429"/>
      <c r="Q616" s="429"/>
    </row>
    <row r="617" spans="1:17" ht="30" customHeight="1" x14ac:dyDescent="0.2">
      <c r="A617" s="3456"/>
      <c r="B617" s="3459"/>
      <c r="C617" s="3576"/>
      <c r="D617" s="2634">
        <v>4000000</v>
      </c>
      <c r="E617" s="2631"/>
      <c r="F617" s="2634"/>
      <c r="G617" s="2634"/>
      <c r="H617" s="2634"/>
      <c r="I617" s="516"/>
      <c r="J617" s="2634"/>
      <c r="K617" s="2678"/>
      <c r="L617" s="2673" t="s">
        <v>4254</v>
      </c>
      <c r="M617" s="429"/>
      <c r="N617" s="429"/>
      <c r="O617" s="429"/>
      <c r="P617" s="429"/>
      <c r="Q617" s="429"/>
    </row>
    <row r="618" spans="1:17" ht="30" customHeight="1" x14ac:dyDescent="0.2">
      <c r="A618" s="3451"/>
      <c r="B618" s="3458"/>
      <c r="C618" s="3571"/>
      <c r="D618" s="2640">
        <v>200000000</v>
      </c>
      <c r="E618" s="2638"/>
      <c r="F618" s="2640"/>
      <c r="G618" s="2711"/>
      <c r="H618" s="2712"/>
      <c r="I618" s="2411"/>
      <c r="J618" s="2713"/>
      <c r="K618" s="2410"/>
      <c r="L618" s="2673" t="s">
        <v>2819</v>
      </c>
      <c r="M618" s="429"/>
      <c r="N618" s="429"/>
      <c r="O618" s="429"/>
      <c r="P618" s="429"/>
      <c r="Q618" s="429"/>
    </row>
    <row r="619" spans="1:17" ht="30" customHeight="1" x14ac:dyDescent="0.2">
      <c r="A619" s="2692"/>
      <c r="B619" s="2627" t="s">
        <v>2707</v>
      </c>
      <c r="C619" s="2660" t="s">
        <v>1215</v>
      </c>
      <c r="D619" s="2634">
        <v>60000000</v>
      </c>
      <c r="E619" s="2631">
        <v>5.5E-2</v>
      </c>
      <c r="F619" s="2634">
        <f>D619*E619</f>
        <v>3300000</v>
      </c>
      <c r="G619" s="3906" t="s">
        <v>4404</v>
      </c>
      <c r="H619" s="3907"/>
      <c r="I619" s="3907"/>
      <c r="J619" s="3908"/>
      <c r="K619" s="2678">
        <v>0</v>
      </c>
      <c r="L619" s="2694" t="s">
        <v>3658</v>
      </c>
      <c r="M619" s="429"/>
      <c r="N619" s="429"/>
      <c r="O619" s="429"/>
      <c r="P619" s="429"/>
      <c r="Q619" s="429"/>
    </row>
    <row r="620" spans="1:17" ht="30" customHeight="1" x14ac:dyDescent="0.2">
      <c r="A620" s="2625"/>
      <c r="B620" s="2627" t="s">
        <v>2743</v>
      </c>
      <c r="C620" s="2660"/>
      <c r="D620" s="2647"/>
      <c r="E620" s="2720"/>
      <c r="F620" s="2647"/>
      <c r="G620" s="2634"/>
      <c r="H620" s="2634"/>
      <c r="I620" s="516"/>
      <c r="J620" s="2634">
        <f>G620</f>
        <v>0</v>
      </c>
      <c r="K620" s="2683">
        <f>F620-J620</f>
        <v>0</v>
      </c>
      <c r="L620" s="2694"/>
      <c r="M620" s="429"/>
      <c r="N620" s="429"/>
      <c r="O620" s="429"/>
      <c r="P620" s="429"/>
      <c r="Q620" s="429"/>
    </row>
    <row r="621" spans="1:17" ht="30" customHeight="1" x14ac:dyDescent="0.2">
      <c r="A621" s="3450"/>
      <c r="B621" s="3457" t="s">
        <v>2745</v>
      </c>
      <c r="C621" s="3570" t="s">
        <v>916</v>
      </c>
      <c r="D621" s="2622">
        <v>4215000000</v>
      </c>
      <c r="E621" s="2688">
        <v>0.05</v>
      </c>
      <c r="F621" s="2622">
        <f>D621*E621</f>
        <v>210750000</v>
      </c>
      <c r="G621" s="2634">
        <v>75000000</v>
      </c>
      <c r="H621" s="2634" t="s">
        <v>4330</v>
      </c>
      <c r="I621" s="516" t="s">
        <v>4396</v>
      </c>
      <c r="J621" s="3442">
        <f>G621</f>
        <v>75000000</v>
      </c>
      <c r="K621" s="3625">
        <f>F626-J621</f>
        <v>791250000</v>
      </c>
      <c r="L621" s="3625"/>
      <c r="M621" s="429"/>
      <c r="N621" s="429"/>
      <c r="O621" s="429"/>
      <c r="P621" s="429"/>
      <c r="Q621" s="429"/>
    </row>
    <row r="622" spans="1:17" ht="30" customHeight="1" x14ac:dyDescent="0.2">
      <c r="A622" s="3456"/>
      <c r="B622" s="3459"/>
      <c r="C622" s="3576"/>
      <c r="D622" s="2622">
        <v>2000000000</v>
      </c>
      <c r="E622" s="2688">
        <v>7.0000000000000007E-2</v>
      </c>
      <c r="F622" s="2622">
        <f t="shared" ref="F622:F625" si="68">D622*E622</f>
        <v>140000000</v>
      </c>
      <c r="G622" s="2696">
        <v>80000000</v>
      </c>
      <c r="H622" s="2696" t="s">
        <v>4330</v>
      </c>
      <c r="I622" s="2401" t="s">
        <v>4399</v>
      </c>
      <c r="J622" s="3461"/>
      <c r="K622" s="3696"/>
      <c r="L622" s="3626"/>
      <c r="M622" s="429"/>
      <c r="N622" s="429"/>
      <c r="O622" s="429"/>
      <c r="P622" s="429"/>
      <c r="Q622" s="429"/>
    </row>
    <row r="623" spans="1:17" ht="30" customHeight="1" x14ac:dyDescent="0.2">
      <c r="A623" s="3456"/>
      <c r="B623" s="3459"/>
      <c r="C623" s="3576"/>
      <c r="D623" s="2622">
        <v>3785000000</v>
      </c>
      <c r="E623" s="2688">
        <v>0.06</v>
      </c>
      <c r="F623" s="2622">
        <f t="shared" si="68"/>
        <v>227100000</v>
      </c>
      <c r="G623" s="2696">
        <v>63750000</v>
      </c>
      <c r="H623" s="2696" t="s">
        <v>4016</v>
      </c>
      <c r="I623" s="2401" t="s">
        <v>4399</v>
      </c>
      <c r="J623" s="3461"/>
      <c r="K623" s="3696"/>
      <c r="L623" s="2674"/>
      <c r="M623" s="429"/>
      <c r="N623" s="429"/>
      <c r="O623" s="429"/>
      <c r="P623" s="429"/>
      <c r="Q623" s="429"/>
    </row>
    <row r="624" spans="1:17" ht="30" customHeight="1" x14ac:dyDescent="0.2">
      <c r="A624" s="3456"/>
      <c r="B624" s="3459"/>
      <c r="C624" s="3576"/>
      <c r="D624" s="2622">
        <v>2915000000</v>
      </c>
      <c r="E624" s="2688">
        <v>0.08</v>
      </c>
      <c r="F624" s="2622">
        <f t="shared" si="68"/>
        <v>233200000</v>
      </c>
      <c r="G624" s="3521" t="s">
        <v>4499</v>
      </c>
      <c r="H624" s="3613"/>
      <c r="I624" s="3522"/>
      <c r="J624" s="3461"/>
      <c r="K624" s="3696"/>
      <c r="L624" s="2674"/>
      <c r="M624" s="429"/>
      <c r="N624" s="429"/>
      <c r="O624" s="429"/>
      <c r="P624" s="429"/>
      <c r="Q624" s="429"/>
    </row>
    <row r="625" spans="1:17" ht="30" customHeight="1" x14ac:dyDescent="0.2">
      <c r="A625" s="3456"/>
      <c r="B625" s="3459"/>
      <c r="C625" s="3576"/>
      <c r="D625" s="2622">
        <v>690000000</v>
      </c>
      <c r="E625" s="2688">
        <v>0.08</v>
      </c>
      <c r="F625" s="2622">
        <f t="shared" si="68"/>
        <v>55200000</v>
      </c>
      <c r="G625" s="3691"/>
      <c r="H625" s="3355"/>
      <c r="I625" s="3692"/>
      <c r="J625" s="3461"/>
      <c r="K625" s="3696"/>
      <c r="L625" s="2674"/>
      <c r="M625" s="429"/>
      <c r="N625" s="429"/>
      <c r="O625" s="429"/>
      <c r="P625" s="429"/>
      <c r="Q625" s="429"/>
    </row>
    <row r="626" spans="1:17" ht="30" customHeight="1" x14ac:dyDescent="0.2">
      <c r="A626" s="3456"/>
      <c r="B626" s="3459"/>
      <c r="C626" s="3576"/>
      <c r="D626" s="1913">
        <f>SUM(D621:D625)</f>
        <v>13605000000</v>
      </c>
      <c r="E626" s="1926"/>
      <c r="F626" s="1913">
        <f>SUM(F621:F625)</f>
        <v>866250000</v>
      </c>
      <c r="G626" s="3523"/>
      <c r="H626" s="3614"/>
      <c r="I626" s="3524"/>
      <c r="J626" s="3443"/>
      <c r="K626" s="3626"/>
      <c r="L626" s="2678"/>
      <c r="M626" s="429"/>
      <c r="N626" s="429"/>
      <c r="O626" s="429"/>
      <c r="P626" s="429"/>
      <c r="Q626" s="429"/>
    </row>
    <row r="627" spans="1:17" ht="30" customHeight="1" x14ac:dyDescent="0.2">
      <c r="A627" s="3451"/>
      <c r="B627" s="3458"/>
      <c r="C627" s="3571"/>
      <c r="D627" s="948">
        <v>935000000</v>
      </c>
      <c r="E627" s="2688">
        <v>0.08</v>
      </c>
      <c r="F627" s="948">
        <f>D627*E627</f>
        <v>74800000</v>
      </c>
      <c r="G627" s="3478" t="s">
        <v>4400</v>
      </c>
      <c r="H627" s="3479"/>
      <c r="I627" s="3480"/>
      <c r="J627" s="2634"/>
      <c r="K627" s="2678"/>
      <c r="L627" s="2678"/>
      <c r="M627" s="429"/>
      <c r="N627" s="429"/>
      <c r="O627" s="429"/>
      <c r="P627" s="429"/>
      <c r="Q627" s="429"/>
    </row>
    <row r="628" spans="1:17" ht="30" customHeight="1" x14ac:dyDescent="0.2">
      <c r="A628" s="3450"/>
      <c r="B628" s="3457" t="s">
        <v>2756</v>
      </c>
      <c r="C628" s="3570"/>
      <c r="D628" s="2634">
        <v>100000000</v>
      </c>
      <c r="E628" s="2688">
        <v>4.4999999999999998E-2</v>
      </c>
      <c r="F628" s="2634">
        <f>D628*E628</f>
        <v>4500000</v>
      </c>
      <c r="G628" s="2634">
        <v>4500000</v>
      </c>
      <c r="H628" s="2634" t="s">
        <v>4105</v>
      </c>
      <c r="I628" s="516" t="s">
        <v>1827</v>
      </c>
      <c r="J628" s="2634">
        <f t="shared" ref="J628:J640" si="69">G628</f>
        <v>4500000</v>
      </c>
      <c r="K628" s="2678">
        <f t="shared" ref="K628:K641" si="70">F628-J628</f>
        <v>0</v>
      </c>
      <c r="L628" s="2694"/>
      <c r="M628" s="429"/>
      <c r="N628" s="429"/>
      <c r="O628" s="429"/>
      <c r="P628" s="429"/>
      <c r="Q628" s="429"/>
    </row>
    <row r="629" spans="1:17" ht="30" customHeight="1" x14ac:dyDescent="0.2">
      <c r="A629" s="3456"/>
      <c r="B629" s="3459"/>
      <c r="C629" s="3576"/>
      <c r="D629" s="2634">
        <v>50000000</v>
      </c>
      <c r="E629" s="2688">
        <v>4.4999999999999998E-2</v>
      </c>
      <c r="F629" s="2634">
        <f t="shared" ref="F629:F630" si="71">D629*E629</f>
        <v>2250000</v>
      </c>
      <c r="G629" s="3478" t="s">
        <v>4144</v>
      </c>
      <c r="H629" s="3479"/>
      <c r="I629" s="3479"/>
      <c r="J629" s="3480"/>
      <c r="K629" s="2678">
        <f>F628+F629+F630</f>
        <v>7200000</v>
      </c>
      <c r="L629" s="2694"/>
      <c r="M629" s="429"/>
      <c r="N629" s="429"/>
      <c r="O629" s="429"/>
      <c r="P629" s="429"/>
      <c r="Q629" s="429"/>
    </row>
    <row r="630" spans="1:17" ht="30" customHeight="1" x14ac:dyDescent="0.2">
      <c r="A630" s="3451"/>
      <c r="B630" s="3458"/>
      <c r="C630" s="3571"/>
      <c r="D630" s="2634">
        <v>10000000</v>
      </c>
      <c r="E630" s="2688">
        <v>4.4999999999999998E-2</v>
      </c>
      <c r="F630" s="2634">
        <f t="shared" si="71"/>
        <v>450000</v>
      </c>
      <c r="G630" s="3478" t="s">
        <v>4359</v>
      </c>
      <c r="H630" s="3479"/>
      <c r="I630" s="3479"/>
      <c r="J630" s="3480"/>
      <c r="K630" s="2678"/>
      <c r="L630" s="2694"/>
      <c r="M630" s="429"/>
      <c r="N630" s="429"/>
      <c r="O630" s="429"/>
      <c r="P630" s="429"/>
      <c r="Q630" s="429"/>
    </row>
    <row r="631" spans="1:17" ht="30" customHeight="1" x14ac:dyDescent="0.2">
      <c r="A631" s="2692"/>
      <c r="B631" s="2690" t="s">
        <v>2773</v>
      </c>
      <c r="C631" s="2660" t="s">
        <v>1215</v>
      </c>
      <c r="D631" s="2634">
        <v>80000000</v>
      </c>
      <c r="E631" s="2688">
        <v>0.05</v>
      </c>
      <c r="F631" s="2634">
        <f>D631*E631</f>
        <v>4000000</v>
      </c>
      <c r="G631" s="2634">
        <v>4000000</v>
      </c>
      <c r="H631" s="2634" t="s">
        <v>4156</v>
      </c>
      <c r="I631" s="516" t="s">
        <v>4160</v>
      </c>
      <c r="J631" s="2634">
        <f t="shared" si="69"/>
        <v>4000000</v>
      </c>
      <c r="K631" s="2678">
        <f t="shared" si="70"/>
        <v>0</v>
      </c>
      <c r="L631" s="2694" t="s">
        <v>3826</v>
      </c>
      <c r="M631" s="429"/>
      <c r="N631" s="429"/>
      <c r="O631" s="429"/>
      <c r="P631" s="429"/>
      <c r="Q631" s="429"/>
    </row>
    <row r="632" spans="1:17" ht="30" customHeight="1" x14ac:dyDescent="0.2">
      <c r="A632" s="2692"/>
      <c r="B632" s="2690" t="s">
        <v>4161</v>
      </c>
      <c r="C632" s="2660" t="s">
        <v>1215</v>
      </c>
      <c r="D632" s="2634">
        <v>100000000</v>
      </c>
      <c r="E632" s="2688">
        <v>0.05</v>
      </c>
      <c r="F632" s="2634">
        <f>D632*E632</f>
        <v>5000000</v>
      </c>
      <c r="G632" s="2634">
        <v>5000000</v>
      </c>
      <c r="H632" s="2634" t="s">
        <v>4201</v>
      </c>
      <c r="I632" s="516" t="s">
        <v>4204</v>
      </c>
      <c r="J632" s="2634">
        <f>G632</f>
        <v>5000000</v>
      </c>
      <c r="K632" s="2678">
        <f>F632-J632</f>
        <v>0</v>
      </c>
      <c r="L632" s="2694"/>
      <c r="M632" s="429"/>
      <c r="N632" s="429"/>
      <c r="O632" s="429"/>
      <c r="P632" s="429"/>
      <c r="Q632" s="429"/>
    </row>
    <row r="633" spans="1:17" ht="30" customHeight="1" x14ac:dyDescent="0.2">
      <c r="A633" s="2692"/>
      <c r="B633" s="2690" t="s">
        <v>4137</v>
      </c>
      <c r="C633" s="2689" t="s">
        <v>1746</v>
      </c>
      <c r="D633" s="2622">
        <v>25000000</v>
      </c>
      <c r="E633" s="2688">
        <v>0.04</v>
      </c>
      <c r="F633" s="2622">
        <f>D633*E633</f>
        <v>1000000</v>
      </c>
      <c r="G633" s="2622">
        <v>2000000</v>
      </c>
      <c r="H633" s="2622" t="s">
        <v>4133</v>
      </c>
      <c r="I633" s="1082" t="s">
        <v>4138</v>
      </c>
      <c r="J633" s="2622">
        <f t="shared" si="69"/>
        <v>2000000</v>
      </c>
      <c r="K633" s="2619">
        <f t="shared" si="70"/>
        <v>-1000000</v>
      </c>
      <c r="L633" s="2694" t="s">
        <v>4139</v>
      </c>
      <c r="M633" s="429"/>
      <c r="N633" s="429"/>
      <c r="O633" s="429"/>
      <c r="P633" s="429"/>
      <c r="Q633" s="429"/>
    </row>
    <row r="634" spans="1:17" ht="30" customHeight="1" x14ac:dyDescent="0.2">
      <c r="A634" s="3450"/>
      <c r="B634" s="3448" t="s">
        <v>2826</v>
      </c>
      <c r="C634" s="3525"/>
      <c r="D634" s="3442">
        <v>200000000</v>
      </c>
      <c r="E634" s="3444">
        <v>7.0000000000000007E-2</v>
      </c>
      <c r="F634" s="3442">
        <f>D634*E634</f>
        <v>14000000.000000002</v>
      </c>
      <c r="G634" s="2634">
        <v>1000000</v>
      </c>
      <c r="H634" s="2634" t="s">
        <v>4062</v>
      </c>
      <c r="I634" s="516" t="s">
        <v>4113</v>
      </c>
      <c r="J634" s="2634">
        <f t="shared" si="69"/>
        <v>1000000</v>
      </c>
      <c r="K634" s="2678"/>
      <c r="L634" s="2694" t="s">
        <v>4181</v>
      </c>
      <c r="M634" s="429"/>
      <c r="N634" s="429"/>
      <c r="O634" s="429"/>
      <c r="P634" s="429"/>
      <c r="Q634" s="429"/>
    </row>
    <row r="635" spans="1:17" ht="30" customHeight="1" x14ac:dyDescent="0.2">
      <c r="A635" s="3451"/>
      <c r="B635" s="3449"/>
      <c r="C635" s="3526"/>
      <c r="D635" s="3443"/>
      <c r="E635" s="3445"/>
      <c r="F635" s="3443"/>
      <c r="G635" s="2634">
        <v>14000000</v>
      </c>
      <c r="H635" s="2634" t="s">
        <v>4177</v>
      </c>
      <c r="I635" s="516" t="s">
        <v>2827</v>
      </c>
      <c r="J635" s="2634">
        <f>G635</f>
        <v>14000000</v>
      </c>
      <c r="K635" s="2678">
        <f>F634-J635</f>
        <v>0</v>
      </c>
      <c r="L635" s="2694"/>
      <c r="M635" s="429"/>
      <c r="N635" s="429"/>
      <c r="O635" s="429"/>
      <c r="P635" s="429"/>
      <c r="Q635" s="429"/>
    </row>
    <row r="636" spans="1:17" ht="30" customHeight="1" x14ac:dyDescent="0.2">
      <c r="A636" s="2692"/>
      <c r="B636" s="2690" t="s">
        <v>2836</v>
      </c>
      <c r="C636" s="2660" t="s">
        <v>265</v>
      </c>
      <c r="D636" s="2634">
        <v>30000000</v>
      </c>
      <c r="E636" s="2688">
        <v>0.05</v>
      </c>
      <c r="F636" s="2634">
        <f t="shared" ref="F636:F641" si="72">D636*E636</f>
        <v>1500000</v>
      </c>
      <c r="G636" s="2622">
        <v>1500000</v>
      </c>
      <c r="H636" s="2622" t="s">
        <v>4105</v>
      </c>
      <c r="I636" s="2622" t="s">
        <v>3673</v>
      </c>
      <c r="J636" s="2622">
        <f t="shared" si="69"/>
        <v>1500000</v>
      </c>
      <c r="K636" s="2678">
        <f t="shared" si="70"/>
        <v>0</v>
      </c>
      <c r="L636" s="2694"/>
      <c r="M636" s="429"/>
      <c r="N636" s="429"/>
      <c r="O636" s="429"/>
      <c r="P636" s="429"/>
      <c r="Q636" s="429"/>
    </row>
    <row r="637" spans="1:17" ht="30" customHeight="1" x14ac:dyDescent="0.2">
      <c r="A637" s="2692"/>
      <c r="B637" s="2690" t="s">
        <v>2861</v>
      </c>
      <c r="C637" s="2660" t="s">
        <v>401</v>
      </c>
      <c r="D637" s="2634">
        <v>140000000</v>
      </c>
      <c r="E637" s="2688">
        <v>7.0000000000000007E-2</v>
      </c>
      <c r="F637" s="2634">
        <f t="shared" si="72"/>
        <v>9800000.0000000019</v>
      </c>
      <c r="G637" s="2622"/>
      <c r="H637" s="2622"/>
      <c r="I637" s="2622" t="s">
        <v>3662</v>
      </c>
      <c r="J637" s="2622">
        <f t="shared" si="69"/>
        <v>0</v>
      </c>
      <c r="K637" s="2678">
        <f t="shared" si="70"/>
        <v>9800000.0000000019</v>
      </c>
      <c r="L637" s="2694" t="s">
        <v>3528</v>
      </c>
      <c r="M637" s="429"/>
      <c r="N637" s="429"/>
      <c r="O637" s="429"/>
      <c r="P637" s="429"/>
      <c r="Q637" s="429"/>
    </row>
    <row r="638" spans="1:17" ht="30" customHeight="1" x14ac:dyDescent="0.2">
      <c r="A638" s="2692"/>
      <c r="B638" s="2690" t="s">
        <v>2869</v>
      </c>
      <c r="C638" s="2660" t="s">
        <v>916</v>
      </c>
      <c r="D638" s="2634">
        <v>85000000</v>
      </c>
      <c r="E638" s="2688">
        <v>0.05</v>
      </c>
      <c r="F638" s="2634">
        <f t="shared" si="72"/>
        <v>4250000</v>
      </c>
      <c r="G638" s="2622">
        <v>4250000</v>
      </c>
      <c r="H638" s="2622" t="s">
        <v>4201</v>
      </c>
      <c r="I638" s="1082" t="s">
        <v>3665</v>
      </c>
      <c r="J638" s="2622">
        <f t="shared" si="69"/>
        <v>4250000</v>
      </c>
      <c r="K638" s="2678">
        <f t="shared" si="70"/>
        <v>0</v>
      </c>
      <c r="L638" s="2694"/>
      <c r="M638" s="429"/>
      <c r="N638" s="429"/>
      <c r="O638" s="429"/>
      <c r="P638" s="429"/>
      <c r="Q638" s="429"/>
    </row>
    <row r="639" spans="1:17" ht="30" customHeight="1" x14ac:dyDescent="0.2">
      <c r="A639" s="2692"/>
      <c r="B639" s="2690" t="s">
        <v>3671</v>
      </c>
      <c r="C639" s="2660" t="s">
        <v>380</v>
      </c>
      <c r="D639" s="2634">
        <v>50000000</v>
      </c>
      <c r="E639" s="2688">
        <v>0.05</v>
      </c>
      <c r="F639" s="2634">
        <f t="shared" si="72"/>
        <v>2500000</v>
      </c>
      <c r="G639" s="2622">
        <v>2500000</v>
      </c>
      <c r="H639" s="2622" t="s">
        <v>4184</v>
      </c>
      <c r="I639" s="2622" t="s">
        <v>4233</v>
      </c>
      <c r="J639" s="2622">
        <f t="shared" si="69"/>
        <v>2500000</v>
      </c>
      <c r="K639" s="2678">
        <f t="shared" si="70"/>
        <v>0</v>
      </c>
      <c r="L639" s="2694"/>
      <c r="M639" s="429"/>
      <c r="N639" s="429"/>
      <c r="O639" s="429"/>
      <c r="P639" s="429"/>
      <c r="Q639" s="429"/>
    </row>
    <row r="640" spans="1:17" ht="30" customHeight="1" x14ac:dyDescent="0.2">
      <c r="A640" s="2692"/>
      <c r="B640" s="2690" t="s">
        <v>2872</v>
      </c>
      <c r="C640" s="2660" t="s">
        <v>380</v>
      </c>
      <c r="D640" s="2634">
        <v>25000000</v>
      </c>
      <c r="E640" s="2688">
        <v>0.05</v>
      </c>
      <c r="F640" s="2634">
        <f t="shared" si="72"/>
        <v>1250000</v>
      </c>
      <c r="G640" s="2622">
        <v>1250000</v>
      </c>
      <c r="H640" s="2622" t="s">
        <v>4156</v>
      </c>
      <c r="I640" s="2622" t="s">
        <v>4157</v>
      </c>
      <c r="J640" s="2622">
        <f t="shared" si="69"/>
        <v>1250000</v>
      </c>
      <c r="K640" s="2678">
        <f t="shared" si="70"/>
        <v>0</v>
      </c>
      <c r="L640" s="2694"/>
      <c r="M640" s="429"/>
      <c r="N640" s="429"/>
      <c r="O640" s="429"/>
      <c r="P640" s="429"/>
      <c r="Q640" s="429"/>
    </row>
    <row r="641" spans="1:17" ht="30" customHeight="1" x14ac:dyDescent="0.2">
      <c r="A641" s="3450"/>
      <c r="B641" s="3457" t="s">
        <v>2901</v>
      </c>
      <c r="C641" s="3570"/>
      <c r="D641" s="3442">
        <v>300000000</v>
      </c>
      <c r="E641" s="3444">
        <v>5.5E-2</v>
      </c>
      <c r="F641" s="3442">
        <f t="shared" si="72"/>
        <v>16500000</v>
      </c>
      <c r="G641" s="3442">
        <v>16500000</v>
      </c>
      <c r="H641" s="3442" t="s">
        <v>3944</v>
      </c>
      <c r="I641" s="3442" t="s">
        <v>3613</v>
      </c>
      <c r="J641" s="3442">
        <f>G641+G642</f>
        <v>16500000</v>
      </c>
      <c r="K641" s="3625">
        <f t="shared" si="70"/>
        <v>0</v>
      </c>
      <c r="L641" s="3620" t="s">
        <v>2902</v>
      </c>
      <c r="M641" s="429"/>
      <c r="N641" s="429"/>
      <c r="O641" s="429"/>
      <c r="P641" s="429"/>
      <c r="Q641" s="429"/>
    </row>
    <row r="642" spans="1:17" ht="30" customHeight="1" x14ac:dyDescent="0.2">
      <c r="A642" s="3451"/>
      <c r="B642" s="3458"/>
      <c r="C642" s="3571"/>
      <c r="D642" s="3443"/>
      <c r="E642" s="3445"/>
      <c r="F642" s="3443"/>
      <c r="G642" s="3443"/>
      <c r="H642" s="3443"/>
      <c r="I642" s="3443"/>
      <c r="J642" s="3443"/>
      <c r="K642" s="3626"/>
      <c r="L642" s="3621"/>
      <c r="M642" s="429"/>
      <c r="N642" s="429"/>
      <c r="O642" s="429"/>
      <c r="P642" s="429"/>
      <c r="Q642" s="429"/>
    </row>
    <row r="643" spans="1:17" ht="30" customHeight="1" x14ac:dyDescent="0.2">
      <c r="A643" s="2692"/>
      <c r="B643" s="2690" t="s">
        <v>2933</v>
      </c>
      <c r="C643" s="2660"/>
      <c r="D643" s="2634">
        <v>85000000</v>
      </c>
      <c r="E643" s="2688"/>
      <c r="F643" s="2634"/>
      <c r="G643" s="2622"/>
      <c r="H643" s="2622"/>
      <c r="I643" s="2622"/>
      <c r="J643" s="2622"/>
      <c r="K643" s="2678"/>
      <c r="L643" s="2694" t="s">
        <v>2934</v>
      </c>
      <c r="M643" s="429"/>
      <c r="N643" s="429"/>
      <c r="O643" s="429"/>
      <c r="P643" s="429"/>
      <c r="Q643" s="429"/>
    </row>
    <row r="644" spans="1:17" ht="30" customHeight="1" x14ac:dyDescent="0.2">
      <c r="A644" s="2692"/>
      <c r="B644" s="2690" t="s">
        <v>2936</v>
      </c>
      <c r="C644" s="2660" t="s">
        <v>367</v>
      </c>
      <c r="D644" s="2634">
        <v>20000000</v>
      </c>
      <c r="E644" s="2688">
        <v>0.05</v>
      </c>
      <c r="F644" s="2634">
        <f>D644*E644</f>
        <v>1000000</v>
      </c>
      <c r="G644" s="2622">
        <v>1000000</v>
      </c>
      <c r="H644" s="2622" t="s">
        <v>4184</v>
      </c>
      <c r="I644" s="2622" t="s">
        <v>3693</v>
      </c>
      <c r="J644" s="2622">
        <f>G644</f>
        <v>1000000</v>
      </c>
      <c r="K644" s="2678">
        <f>F644-J644</f>
        <v>0</v>
      </c>
      <c r="L644" s="2694"/>
      <c r="M644" s="429"/>
      <c r="N644" s="429"/>
      <c r="O644" s="429"/>
      <c r="P644" s="429"/>
      <c r="Q644" s="429"/>
    </row>
    <row r="645" spans="1:17" ht="30" customHeight="1" x14ac:dyDescent="0.2">
      <c r="A645" s="2623"/>
      <c r="B645" s="2686" t="s">
        <v>3039</v>
      </c>
      <c r="C645" s="2689" t="s">
        <v>1112</v>
      </c>
      <c r="D645" s="2622">
        <v>40000000</v>
      </c>
      <c r="E645" s="2688">
        <v>0.04</v>
      </c>
      <c r="F645" s="2622">
        <f>D645*E645</f>
        <v>1600000</v>
      </c>
      <c r="G645" s="2622"/>
      <c r="H645" s="2622"/>
      <c r="I645" s="2622" t="s">
        <v>3476</v>
      </c>
      <c r="J645" s="2622">
        <f>G645</f>
        <v>0</v>
      </c>
      <c r="K645" s="2678">
        <f>F645-J645</f>
        <v>1600000</v>
      </c>
      <c r="L645" s="2694"/>
      <c r="M645" s="429"/>
      <c r="N645" s="429"/>
      <c r="O645" s="429"/>
      <c r="P645" s="429"/>
      <c r="Q645" s="429"/>
    </row>
    <row r="646" spans="1:17" ht="30" customHeight="1" x14ac:dyDescent="0.2">
      <c r="A646" s="2692"/>
      <c r="B646" s="2690" t="s">
        <v>2968</v>
      </c>
      <c r="C646" s="2660" t="s">
        <v>2983</v>
      </c>
      <c r="D646" s="2634">
        <v>20000000</v>
      </c>
      <c r="E646" s="2631">
        <v>0.05</v>
      </c>
      <c r="F646" s="2634">
        <f>D646*E646</f>
        <v>1000000</v>
      </c>
      <c r="G646" s="2622">
        <v>1000000</v>
      </c>
      <c r="H646" s="2622" t="s">
        <v>4184</v>
      </c>
      <c r="I646" s="2622" t="s">
        <v>3819</v>
      </c>
      <c r="J646" s="2622">
        <f>G646</f>
        <v>1000000</v>
      </c>
      <c r="K646" s="2678">
        <f>G646-J646</f>
        <v>0</v>
      </c>
      <c r="L646" s="2694" t="s">
        <v>2969</v>
      </c>
      <c r="M646" s="429"/>
      <c r="N646" s="429"/>
      <c r="O646" s="429"/>
      <c r="P646" s="429"/>
      <c r="Q646" s="429"/>
    </row>
    <row r="647" spans="1:17" ht="30" customHeight="1" x14ac:dyDescent="0.2">
      <c r="A647" s="3450"/>
      <c r="B647" s="1601" t="s">
        <v>3001</v>
      </c>
      <c r="C647" s="3790" t="s">
        <v>3033</v>
      </c>
      <c r="D647" s="3824">
        <v>70000000</v>
      </c>
      <c r="E647" s="3835">
        <v>0.05</v>
      </c>
      <c r="F647" s="3838">
        <f>D647*E647</f>
        <v>3500000</v>
      </c>
      <c r="G647" s="2622">
        <v>5000000</v>
      </c>
      <c r="H647" s="2622" t="s">
        <v>4306</v>
      </c>
      <c r="I647" s="2622" t="s">
        <v>4307</v>
      </c>
      <c r="J647" s="3442">
        <f>G647</f>
        <v>5000000</v>
      </c>
      <c r="K647" s="3625">
        <f>(F647+F650+F651+1800000)-J647</f>
        <v>14300000</v>
      </c>
      <c r="L647" s="2673"/>
      <c r="M647" s="429"/>
      <c r="N647" s="429"/>
      <c r="O647" s="429"/>
      <c r="P647" s="429"/>
      <c r="Q647" s="429"/>
    </row>
    <row r="648" spans="1:17" ht="30" customHeight="1" x14ac:dyDescent="0.2">
      <c r="A648" s="3456"/>
      <c r="B648" s="1602"/>
      <c r="C648" s="3793"/>
      <c r="D648" s="3825"/>
      <c r="E648" s="3836"/>
      <c r="F648" s="3838"/>
      <c r="G648" s="187"/>
      <c r="H648" s="187"/>
      <c r="I648" s="187"/>
      <c r="J648" s="3461"/>
      <c r="K648" s="3696"/>
      <c r="L648" s="2695" t="s">
        <v>3036</v>
      </c>
      <c r="M648" s="429"/>
      <c r="N648" s="429"/>
      <c r="O648" s="429"/>
      <c r="P648" s="429"/>
      <c r="Q648" s="429"/>
    </row>
    <row r="649" spans="1:17" ht="30" customHeight="1" x14ac:dyDescent="0.2">
      <c r="A649" s="3451"/>
      <c r="B649" s="1603"/>
      <c r="C649" s="3791"/>
      <c r="D649" s="3826"/>
      <c r="E649" s="3837"/>
      <c r="F649" s="3838"/>
      <c r="G649" s="187"/>
      <c r="H649" s="187"/>
      <c r="I649" s="187"/>
      <c r="J649" s="3461"/>
      <c r="K649" s="3696"/>
      <c r="L649" s="2695" t="s">
        <v>3035</v>
      </c>
      <c r="M649" s="429"/>
      <c r="N649" s="429"/>
      <c r="O649" s="429"/>
      <c r="P649" s="429"/>
      <c r="Q649" s="429"/>
    </row>
    <row r="650" spans="1:17" ht="30" customHeight="1" x14ac:dyDescent="0.2">
      <c r="A650" s="3450"/>
      <c r="B650" s="3788" t="s">
        <v>3034</v>
      </c>
      <c r="C650" s="3790" t="s">
        <v>411</v>
      </c>
      <c r="D650" s="2708">
        <v>190000000</v>
      </c>
      <c r="E650" s="1269">
        <v>4.4999999999999998E-2</v>
      </c>
      <c r="F650" s="2708">
        <v>8600000</v>
      </c>
      <c r="G650" s="187"/>
      <c r="H650" s="187"/>
      <c r="I650" s="187"/>
      <c r="J650" s="3461"/>
      <c r="K650" s="3696"/>
      <c r="L650" s="2695"/>
      <c r="M650" s="429"/>
      <c r="N650" s="429"/>
      <c r="O650" s="429"/>
      <c r="P650" s="429"/>
      <c r="Q650" s="429"/>
    </row>
    <row r="651" spans="1:17" ht="30" customHeight="1" x14ac:dyDescent="0.2">
      <c r="A651" s="3451"/>
      <c r="B651" s="3789"/>
      <c r="C651" s="3791"/>
      <c r="D651" s="2708">
        <v>90000000</v>
      </c>
      <c r="E651" s="1269">
        <v>0.06</v>
      </c>
      <c r="F651" s="2708">
        <f>D651*E651</f>
        <v>5400000</v>
      </c>
      <c r="G651" s="7"/>
      <c r="H651" s="7"/>
      <c r="I651" s="7"/>
      <c r="J651" s="3443"/>
      <c r="K651" s="3626"/>
      <c r="L651" s="2695"/>
      <c r="M651" s="429"/>
      <c r="N651" s="429"/>
      <c r="O651" s="429"/>
      <c r="P651" s="429"/>
      <c r="Q651" s="429"/>
    </row>
    <row r="652" spans="1:17" ht="30" customHeight="1" x14ac:dyDescent="0.2">
      <c r="A652" s="2692"/>
      <c r="B652" s="2699" t="s">
        <v>2332</v>
      </c>
      <c r="C652" s="2700" t="s">
        <v>1378</v>
      </c>
      <c r="D652" s="2708">
        <v>150000000</v>
      </c>
      <c r="E652" s="1269">
        <v>0.05</v>
      </c>
      <c r="F652" s="2708">
        <f>D652*E652</f>
        <v>7500000</v>
      </c>
      <c r="G652" s="2634">
        <v>7500000</v>
      </c>
      <c r="H652" s="2634" t="s">
        <v>4270</v>
      </c>
      <c r="I652" s="2654" t="s">
        <v>4696</v>
      </c>
      <c r="J652" s="2634">
        <f>G652</f>
        <v>7500000</v>
      </c>
      <c r="K652" s="2678">
        <f>F652-J652</f>
        <v>0</v>
      </c>
      <c r="L652" s="2674"/>
      <c r="M652" s="429"/>
      <c r="N652" s="429"/>
      <c r="O652" s="429"/>
      <c r="P652" s="429"/>
      <c r="Q652" s="429"/>
    </row>
    <row r="653" spans="1:17" ht="30" customHeight="1" x14ac:dyDescent="0.2">
      <c r="A653" s="2692"/>
      <c r="B653" s="2690"/>
      <c r="C653" s="2660"/>
      <c r="D653" s="2634"/>
      <c r="E653" s="2688"/>
      <c r="F653" s="2634"/>
      <c r="G653" s="2634"/>
      <c r="H653" s="2634"/>
      <c r="I653" s="2654"/>
      <c r="J653" s="2634"/>
      <c r="K653" s="2678"/>
      <c r="L653" s="2694"/>
      <c r="M653" s="429"/>
      <c r="N653" s="429"/>
      <c r="O653" s="429"/>
      <c r="P653" s="429"/>
      <c r="Q653" s="429"/>
    </row>
    <row r="654" spans="1:17" ht="30" customHeight="1" x14ac:dyDescent="0.2">
      <c r="A654" s="2692"/>
      <c r="B654" s="22" t="s">
        <v>183</v>
      </c>
      <c r="C654" s="2660" t="s">
        <v>2983</v>
      </c>
      <c r="D654" s="2634">
        <v>100000000</v>
      </c>
      <c r="E654" s="2688"/>
      <c r="F654" s="2634"/>
      <c r="G654" s="2622"/>
      <c r="H654" s="2622"/>
      <c r="I654" s="2622" t="s">
        <v>3004</v>
      </c>
      <c r="J654" s="2622">
        <f>G654</f>
        <v>0</v>
      </c>
      <c r="K654" s="2678">
        <f>F654-J654</f>
        <v>0</v>
      </c>
      <c r="L654" s="2694"/>
      <c r="M654" s="429"/>
      <c r="N654" s="429"/>
      <c r="O654" s="429"/>
      <c r="P654" s="429"/>
      <c r="Q654" s="429"/>
    </row>
    <row r="655" spans="1:17" ht="30" customHeight="1" x14ac:dyDescent="0.2">
      <c r="A655" s="2692"/>
      <c r="B655" s="2690" t="s">
        <v>3007</v>
      </c>
      <c r="C655" s="2660" t="s">
        <v>1215</v>
      </c>
      <c r="D655" s="2634">
        <v>40000000</v>
      </c>
      <c r="E655" s="2688">
        <v>0.05</v>
      </c>
      <c r="F655" s="2634">
        <f>D655*E655</f>
        <v>2000000</v>
      </c>
      <c r="G655" s="2634">
        <v>2000000</v>
      </c>
      <c r="H655" s="2634" t="s">
        <v>4216</v>
      </c>
      <c r="I655" s="2654" t="s">
        <v>4220</v>
      </c>
      <c r="J655" s="2634">
        <f>G655</f>
        <v>2000000</v>
      </c>
      <c r="K655" s="2678">
        <f>F655-J655</f>
        <v>0</v>
      </c>
      <c r="L655" s="2694"/>
      <c r="M655" s="429"/>
      <c r="N655" s="429"/>
      <c r="O655" s="429"/>
      <c r="P655" s="429"/>
      <c r="Q655" s="429"/>
    </row>
    <row r="656" spans="1:17" ht="30" customHeight="1" x14ac:dyDescent="0.2">
      <c r="A656" s="2692"/>
      <c r="B656" s="2690" t="s">
        <v>3013</v>
      </c>
      <c r="C656" s="2660" t="s">
        <v>1817</v>
      </c>
      <c r="D656" s="2634">
        <v>25000000</v>
      </c>
      <c r="E656" s="2688">
        <v>0.04</v>
      </c>
      <c r="F656" s="2634">
        <f>D656*E656</f>
        <v>1000000</v>
      </c>
      <c r="G656" s="2634">
        <v>1000000</v>
      </c>
      <c r="H656" s="2634" t="s">
        <v>4201</v>
      </c>
      <c r="I656" s="2654" t="s">
        <v>4203</v>
      </c>
      <c r="J656" s="2634">
        <f>G656</f>
        <v>1000000</v>
      </c>
      <c r="K656" s="2678">
        <f>F656-J656</f>
        <v>0</v>
      </c>
      <c r="L656" s="2694"/>
      <c r="M656" s="429"/>
      <c r="N656" s="429"/>
      <c r="O656" s="429"/>
      <c r="P656" s="429"/>
      <c r="Q656" s="429"/>
    </row>
    <row r="657" spans="1:17" ht="30" customHeight="1" x14ac:dyDescent="0.2">
      <c r="A657" s="2692"/>
      <c r="B657" s="2690" t="s">
        <v>3067</v>
      </c>
      <c r="C657" s="2660"/>
      <c r="D657" s="2634">
        <v>50000000</v>
      </c>
      <c r="E657" s="2688">
        <v>0.05</v>
      </c>
      <c r="F657" s="2634">
        <f>D657*E657</f>
        <v>2500000</v>
      </c>
      <c r="G657" s="2634">
        <v>2500000</v>
      </c>
      <c r="H657" s="2634" t="s">
        <v>4184</v>
      </c>
      <c r="I657" s="2654" t="s">
        <v>4234</v>
      </c>
      <c r="J657" s="2634">
        <f t="shared" ref="J657:J669" si="73">G657</f>
        <v>2500000</v>
      </c>
      <c r="K657" s="2678">
        <f>F657-J657</f>
        <v>0</v>
      </c>
      <c r="L657" s="2694"/>
      <c r="M657" s="429"/>
      <c r="N657" s="429"/>
      <c r="O657" s="429"/>
      <c r="P657" s="429"/>
      <c r="Q657" s="429"/>
    </row>
    <row r="658" spans="1:17" ht="30" customHeight="1" x14ac:dyDescent="0.2">
      <c r="A658" s="3450"/>
      <c r="B658" s="3457" t="s">
        <v>3073</v>
      </c>
      <c r="C658" s="3570"/>
      <c r="D658" s="3505"/>
      <c r="E658" s="3507"/>
      <c r="F658" s="3505"/>
      <c r="G658" s="2634"/>
      <c r="H658" s="2634"/>
      <c r="I658" s="2654" t="s">
        <v>3566</v>
      </c>
      <c r="J658" s="2634">
        <f t="shared" si="73"/>
        <v>0</v>
      </c>
      <c r="K658" s="2683">
        <f>F658-J658</f>
        <v>0</v>
      </c>
      <c r="L658" s="2694"/>
      <c r="M658" s="429"/>
      <c r="N658" s="429"/>
      <c r="O658" s="429"/>
      <c r="P658" s="429"/>
      <c r="Q658" s="429"/>
    </row>
    <row r="659" spans="1:17" ht="30" customHeight="1" x14ac:dyDescent="0.2">
      <c r="A659" s="3451"/>
      <c r="B659" s="3458"/>
      <c r="C659" s="3571"/>
      <c r="D659" s="3506"/>
      <c r="E659" s="3508"/>
      <c r="F659" s="3506"/>
      <c r="G659" s="2634"/>
      <c r="H659" s="2634"/>
      <c r="I659" s="2654" t="s">
        <v>3566</v>
      </c>
      <c r="J659" s="2634">
        <f t="shared" si="73"/>
        <v>0</v>
      </c>
      <c r="K659" s="2683">
        <f>F658-J659</f>
        <v>0</v>
      </c>
      <c r="L659" s="2694"/>
      <c r="M659" s="429"/>
      <c r="N659" s="429"/>
      <c r="O659" s="429"/>
      <c r="P659" s="429"/>
      <c r="Q659" s="429"/>
    </row>
    <row r="660" spans="1:17" ht="30" customHeight="1" x14ac:dyDescent="0.2">
      <c r="A660" s="2692"/>
      <c r="B660" s="2690" t="s">
        <v>3078</v>
      </c>
      <c r="C660" s="2660"/>
      <c r="D660" s="2647"/>
      <c r="E660" s="2720"/>
      <c r="F660" s="2647"/>
      <c r="G660" s="2634"/>
      <c r="H660" s="2634"/>
      <c r="I660" s="2654"/>
      <c r="J660" s="2634">
        <f t="shared" si="73"/>
        <v>0</v>
      </c>
      <c r="K660" s="2683">
        <f>F660-J660</f>
        <v>0</v>
      </c>
      <c r="L660" s="2694"/>
      <c r="M660" s="429"/>
      <c r="N660" s="429"/>
      <c r="O660" s="429"/>
      <c r="P660" s="429"/>
      <c r="Q660" s="429"/>
    </row>
    <row r="661" spans="1:17" ht="30" customHeight="1" x14ac:dyDescent="0.2">
      <c r="A661" s="3450"/>
      <c r="B661" s="3457" t="s">
        <v>3582</v>
      </c>
      <c r="C661" s="3570" t="s">
        <v>1215</v>
      </c>
      <c r="D661" s="3442">
        <v>180000000</v>
      </c>
      <c r="E661" s="3444">
        <v>5.5E-2</v>
      </c>
      <c r="F661" s="3442">
        <v>10000000</v>
      </c>
      <c r="G661" s="2634">
        <v>10000000</v>
      </c>
      <c r="H661" s="2634" t="s">
        <v>1964</v>
      </c>
      <c r="I661" s="2654" t="s">
        <v>4061</v>
      </c>
      <c r="J661" s="2634">
        <f t="shared" si="73"/>
        <v>10000000</v>
      </c>
      <c r="K661" s="2678">
        <f>F661-J661</f>
        <v>0</v>
      </c>
      <c r="L661" s="2694"/>
      <c r="M661" s="429"/>
      <c r="N661" s="429"/>
      <c r="O661" s="429"/>
      <c r="P661" s="429"/>
      <c r="Q661" s="429"/>
    </row>
    <row r="662" spans="1:17" ht="30" customHeight="1" x14ac:dyDescent="0.2">
      <c r="A662" s="3456"/>
      <c r="B662" s="3459"/>
      <c r="C662" s="3576"/>
      <c r="D662" s="3461"/>
      <c r="E662" s="3474"/>
      <c r="F662" s="3461"/>
      <c r="G662" s="2634">
        <v>2500000</v>
      </c>
      <c r="H662" s="2634" t="s">
        <v>4068</v>
      </c>
      <c r="I662" s="2654" t="s">
        <v>4069</v>
      </c>
      <c r="J662" s="2634">
        <f>G662</f>
        <v>2500000</v>
      </c>
      <c r="K662" s="2678"/>
      <c r="L662" s="2694" t="s">
        <v>4326</v>
      </c>
      <c r="M662" s="429"/>
      <c r="N662" s="429"/>
      <c r="O662" s="429"/>
      <c r="P662" s="429"/>
      <c r="Q662" s="429"/>
    </row>
    <row r="663" spans="1:17" ht="30" customHeight="1" x14ac:dyDescent="0.2">
      <c r="A663" s="3456"/>
      <c r="B663" s="3459"/>
      <c r="C663" s="3576"/>
      <c r="D663" s="3443"/>
      <c r="E663" s="3445"/>
      <c r="F663" s="3443"/>
      <c r="G663" s="2634">
        <v>5437000</v>
      </c>
      <c r="H663" s="2634" t="s">
        <v>3213</v>
      </c>
      <c r="I663" s="2654" t="s">
        <v>3583</v>
      </c>
      <c r="J663" s="2634">
        <f>G663</f>
        <v>5437000</v>
      </c>
      <c r="K663" s="2678"/>
      <c r="L663" s="2694" t="s">
        <v>4327</v>
      </c>
      <c r="M663" s="429"/>
      <c r="N663" s="429"/>
      <c r="O663" s="429"/>
      <c r="P663" s="429"/>
      <c r="Q663" s="429"/>
    </row>
    <row r="664" spans="1:17" ht="30" customHeight="1" x14ac:dyDescent="0.2">
      <c r="A664" s="3456"/>
      <c r="B664" s="3459"/>
      <c r="C664" s="3576"/>
      <c r="D664" s="3521" t="s">
        <v>4500</v>
      </c>
      <c r="E664" s="3613"/>
      <c r="F664" s="3522"/>
      <c r="G664" s="2634">
        <v>10000000</v>
      </c>
      <c r="H664" s="2634" t="s">
        <v>4286</v>
      </c>
      <c r="I664" s="2654" t="s">
        <v>4325</v>
      </c>
      <c r="J664" s="3442">
        <f>G664+G665+G666+G667+G668</f>
        <v>80000000</v>
      </c>
      <c r="K664" s="3625">
        <f>D661-J664</f>
        <v>100000000</v>
      </c>
      <c r="L664" s="3620" t="s">
        <v>4331</v>
      </c>
      <c r="M664" s="429"/>
      <c r="N664" s="429"/>
      <c r="O664" s="429"/>
      <c r="P664" s="429"/>
      <c r="Q664" s="429"/>
    </row>
    <row r="665" spans="1:17" ht="30" customHeight="1" x14ac:dyDescent="0.2">
      <c r="A665" s="3456"/>
      <c r="B665" s="3459"/>
      <c r="C665" s="3576"/>
      <c r="D665" s="3691"/>
      <c r="E665" s="3355"/>
      <c r="F665" s="3692"/>
      <c r="G665" s="2634">
        <v>10000000</v>
      </c>
      <c r="H665" s="2634" t="s">
        <v>4301</v>
      </c>
      <c r="I665" s="2654" t="s">
        <v>4325</v>
      </c>
      <c r="J665" s="3461"/>
      <c r="K665" s="3696"/>
      <c r="L665" s="3711"/>
      <c r="M665" s="429"/>
      <c r="N665" s="429"/>
      <c r="O665" s="429"/>
      <c r="P665" s="429"/>
      <c r="Q665" s="429"/>
    </row>
    <row r="666" spans="1:17" ht="30" customHeight="1" x14ac:dyDescent="0.2">
      <c r="A666" s="3456"/>
      <c r="B666" s="3459"/>
      <c r="C666" s="3576"/>
      <c r="D666" s="3691"/>
      <c r="E666" s="3355"/>
      <c r="F666" s="3692"/>
      <c r="G666" s="2634">
        <v>40000000</v>
      </c>
      <c r="H666" s="2634" t="s">
        <v>4306</v>
      </c>
      <c r="I666" s="2654" t="s">
        <v>4325</v>
      </c>
      <c r="J666" s="3461"/>
      <c r="K666" s="3696"/>
      <c r="L666" s="3711"/>
      <c r="M666" s="429"/>
      <c r="N666" s="429"/>
      <c r="O666" s="429"/>
      <c r="P666" s="429"/>
      <c r="Q666" s="429"/>
    </row>
    <row r="667" spans="1:17" ht="30" customHeight="1" x14ac:dyDescent="0.2">
      <c r="A667" s="3456"/>
      <c r="B667" s="3459"/>
      <c r="C667" s="3576"/>
      <c r="D667" s="3691"/>
      <c r="E667" s="3355"/>
      <c r="F667" s="3692"/>
      <c r="G667" s="2634">
        <v>20000000</v>
      </c>
      <c r="H667" s="2634" t="s">
        <v>4330</v>
      </c>
      <c r="I667" s="2654" t="s">
        <v>4061</v>
      </c>
      <c r="J667" s="3461"/>
      <c r="K667" s="3696"/>
      <c r="L667" s="3711"/>
      <c r="M667" s="429"/>
      <c r="N667" s="429"/>
      <c r="O667" s="429"/>
      <c r="P667" s="429"/>
      <c r="Q667" s="429"/>
    </row>
    <row r="668" spans="1:17" ht="30" customHeight="1" x14ac:dyDescent="0.2">
      <c r="A668" s="3451"/>
      <c r="B668" s="3458"/>
      <c r="C668" s="3571"/>
      <c r="D668" s="3523"/>
      <c r="E668" s="3614"/>
      <c r="F668" s="3524"/>
      <c r="G668" s="2634"/>
      <c r="H668" s="2634"/>
      <c r="I668" s="2654"/>
      <c r="J668" s="3443"/>
      <c r="K668" s="3626"/>
      <c r="L668" s="3621"/>
      <c r="M668" s="429"/>
      <c r="N668" s="429"/>
      <c r="O668" s="429"/>
      <c r="P668" s="429"/>
      <c r="Q668" s="429"/>
    </row>
    <row r="669" spans="1:17" ht="30" customHeight="1" x14ac:dyDescent="0.2">
      <c r="A669" s="2692"/>
      <c r="B669" s="2690" t="s">
        <v>3172</v>
      </c>
      <c r="C669" s="2660"/>
      <c r="D669" s="2634">
        <v>30000000</v>
      </c>
      <c r="E669" s="2688">
        <v>0.05</v>
      </c>
      <c r="F669" s="2634">
        <f>D669*E669</f>
        <v>1500000</v>
      </c>
      <c r="G669" s="2622">
        <v>1500000</v>
      </c>
      <c r="H669" s="2622" t="s">
        <v>4276</v>
      </c>
      <c r="I669" s="2622" t="s">
        <v>3857</v>
      </c>
      <c r="J669" s="2622">
        <f t="shared" si="73"/>
        <v>1500000</v>
      </c>
      <c r="K669" s="2678">
        <f>F669-J669</f>
        <v>0</v>
      </c>
      <c r="L669" s="2694" t="s">
        <v>3529</v>
      </c>
      <c r="M669" s="429"/>
      <c r="N669" s="429"/>
      <c r="O669" s="429"/>
      <c r="P669" s="429"/>
      <c r="Q669" s="429"/>
    </row>
    <row r="670" spans="1:17" ht="30" customHeight="1" x14ac:dyDescent="0.2">
      <c r="A670" s="2692"/>
      <c r="B670" s="2690" t="s">
        <v>3175</v>
      </c>
      <c r="C670" s="2660"/>
      <c r="D670" s="2634">
        <f>1000000000+19000000</f>
        <v>1019000000</v>
      </c>
      <c r="E670" s="2688">
        <v>7.0000000000000007E-2</v>
      </c>
      <c r="F670" s="2634">
        <f>D670*E670</f>
        <v>71330000</v>
      </c>
      <c r="G670" s="2634">
        <f>F670*2</f>
        <v>142660000</v>
      </c>
      <c r="H670" s="2634" t="s">
        <v>4201</v>
      </c>
      <c r="I670" s="2654" t="s">
        <v>4230</v>
      </c>
      <c r="J670" s="2634">
        <f>G670</f>
        <v>142660000</v>
      </c>
      <c r="K670" s="2678">
        <v>0</v>
      </c>
      <c r="L670" s="2694" t="s">
        <v>4231</v>
      </c>
      <c r="M670" s="429"/>
      <c r="N670" s="429"/>
      <c r="O670" s="429"/>
      <c r="P670" s="429"/>
      <c r="Q670" s="429"/>
    </row>
    <row r="671" spans="1:17" ht="30" customHeight="1" x14ac:dyDescent="0.2">
      <c r="A671" s="2692"/>
      <c r="B671" s="2690" t="s">
        <v>3206</v>
      </c>
      <c r="C671" s="2660" t="s">
        <v>916</v>
      </c>
      <c r="D671" s="2634">
        <v>100000000</v>
      </c>
      <c r="E671" s="2688">
        <v>0.05</v>
      </c>
      <c r="F671" s="2634">
        <f>D671*E671</f>
        <v>5000000</v>
      </c>
      <c r="G671" s="2634">
        <v>5000000</v>
      </c>
      <c r="H671" s="2634" t="s">
        <v>4105</v>
      </c>
      <c r="I671" s="2654" t="s">
        <v>4106</v>
      </c>
      <c r="J671" s="2634">
        <f>G671</f>
        <v>5000000</v>
      </c>
      <c r="K671" s="2678">
        <f>F671-J671</f>
        <v>0</v>
      </c>
      <c r="L671" s="3615" t="s">
        <v>3207</v>
      </c>
      <c r="M671" s="3616"/>
      <c r="N671" s="3616"/>
      <c r="O671" s="3616"/>
      <c r="P671" s="3617"/>
      <c r="Q671" s="429"/>
    </row>
    <row r="672" spans="1:17" ht="30" customHeight="1" x14ac:dyDescent="0.2">
      <c r="A672" s="3450"/>
      <c r="B672" s="3457" t="s">
        <v>3902</v>
      </c>
      <c r="C672" s="3570"/>
      <c r="D672" s="3442">
        <v>30000000</v>
      </c>
      <c r="E672" s="3444">
        <v>7.0000000000000007E-2</v>
      </c>
      <c r="F672" s="3442">
        <f>D672*E672</f>
        <v>2100000</v>
      </c>
      <c r="G672" s="3442">
        <v>2100000</v>
      </c>
      <c r="H672" s="3442" t="s">
        <v>4276</v>
      </c>
      <c r="I672" s="3442" t="s">
        <v>4283</v>
      </c>
      <c r="J672" s="3442">
        <f>G672</f>
        <v>2100000</v>
      </c>
      <c r="K672" s="3625">
        <f>F672-J672</f>
        <v>0</v>
      </c>
      <c r="L672" s="3620" t="s">
        <v>3256</v>
      </c>
      <c r="M672" s="429"/>
      <c r="N672" s="429"/>
      <c r="O672" s="429"/>
      <c r="P672" s="429"/>
      <c r="Q672" s="429"/>
    </row>
    <row r="673" spans="1:17" ht="30" customHeight="1" x14ac:dyDescent="0.2">
      <c r="A673" s="3451"/>
      <c r="B673" s="3458"/>
      <c r="C673" s="3571"/>
      <c r="D673" s="3443"/>
      <c r="E673" s="3445"/>
      <c r="F673" s="3443"/>
      <c r="G673" s="3443"/>
      <c r="H673" s="3443"/>
      <c r="I673" s="3443"/>
      <c r="J673" s="3443"/>
      <c r="K673" s="3626"/>
      <c r="L673" s="3621"/>
      <c r="M673" s="429"/>
      <c r="N673" s="429"/>
      <c r="O673" s="429"/>
      <c r="P673" s="429"/>
      <c r="Q673" s="429"/>
    </row>
    <row r="674" spans="1:17" ht="30" customHeight="1" x14ac:dyDescent="0.2">
      <c r="A674" s="2625"/>
      <c r="B674" s="1392" t="s">
        <v>4094</v>
      </c>
      <c r="C674" s="2660"/>
      <c r="D674" s="2634">
        <v>200000000</v>
      </c>
      <c r="E674" s="2631">
        <v>0.05</v>
      </c>
      <c r="F674" s="2634">
        <f>D674*E674</f>
        <v>10000000</v>
      </c>
      <c r="G674" s="2622">
        <v>10000000</v>
      </c>
      <c r="H674" s="2622" t="s">
        <v>4286</v>
      </c>
      <c r="I674" s="2622" t="s">
        <v>4289</v>
      </c>
      <c r="J674" s="2622">
        <f>G674</f>
        <v>10000000</v>
      </c>
      <c r="K674" s="2678"/>
      <c r="L674" s="2674" t="s">
        <v>3295</v>
      </c>
      <c r="M674" s="429"/>
      <c r="N674" s="429"/>
      <c r="O674" s="429"/>
      <c r="P674" s="429"/>
      <c r="Q674" s="429"/>
    </row>
    <row r="675" spans="1:17" ht="30" customHeight="1" x14ac:dyDescent="0.2">
      <c r="A675" s="2625"/>
      <c r="B675" s="1392" t="s">
        <v>3294</v>
      </c>
      <c r="C675" s="2660"/>
      <c r="D675" s="2634">
        <v>50000000</v>
      </c>
      <c r="E675" s="2631">
        <v>0.05</v>
      </c>
      <c r="F675" s="2634">
        <f>D675*E675</f>
        <v>2500000</v>
      </c>
      <c r="G675" s="2622"/>
      <c r="H675" s="2622"/>
      <c r="I675" s="2622"/>
      <c r="J675" s="2622"/>
      <c r="K675" s="2678"/>
      <c r="L675" s="2674" t="s">
        <v>3296</v>
      </c>
      <c r="M675" s="429"/>
      <c r="N675" s="429"/>
      <c r="O675" s="429"/>
      <c r="P675" s="429"/>
      <c r="Q675" s="429"/>
    </row>
    <row r="676" spans="1:17" ht="30" customHeight="1" x14ac:dyDescent="0.2">
      <c r="A676" s="2692"/>
      <c r="B676" s="2645"/>
      <c r="C676" s="1392"/>
      <c r="D676" s="2634"/>
      <c r="E676" s="2634"/>
      <c r="F676" s="2631"/>
      <c r="G676" s="2622"/>
      <c r="H676" s="2622"/>
      <c r="I676" s="2622"/>
      <c r="J676" s="2622"/>
      <c r="K676" s="2678"/>
      <c r="L676" s="2694"/>
      <c r="M676" s="429"/>
      <c r="N676" s="429"/>
      <c r="O676" s="429"/>
      <c r="P676" s="429"/>
      <c r="Q676" s="429"/>
    </row>
    <row r="677" spans="1:17" ht="30" customHeight="1" x14ac:dyDescent="0.2">
      <c r="A677" s="3450"/>
      <c r="B677" s="3448" t="s">
        <v>851</v>
      </c>
      <c r="C677" s="1392"/>
      <c r="D677" s="2660"/>
      <c r="E677" s="2634"/>
      <c r="F677" s="2631"/>
      <c r="G677" s="2622"/>
      <c r="H677" s="3442"/>
      <c r="I677" s="3442" t="s">
        <v>882</v>
      </c>
      <c r="J677" s="3442">
        <f>G677+G678</f>
        <v>0</v>
      </c>
      <c r="K677" s="3625"/>
      <c r="L677" s="2694" t="s">
        <v>4005</v>
      </c>
      <c r="M677" s="429"/>
      <c r="N677" s="429"/>
      <c r="O677" s="429"/>
      <c r="P677" s="429"/>
      <c r="Q677" s="429"/>
    </row>
    <row r="678" spans="1:17" ht="30" customHeight="1" x14ac:dyDescent="0.2">
      <c r="A678" s="3451"/>
      <c r="B678" s="3449"/>
      <c r="C678" s="1392"/>
      <c r="D678" s="2660"/>
      <c r="E678" s="2634"/>
      <c r="F678" s="2631"/>
      <c r="G678" s="2622"/>
      <c r="H678" s="3443"/>
      <c r="I678" s="3443"/>
      <c r="J678" s="3443"/>
      <c r="K678" s="3626"/>
      <c r="L678" s="2694" t="s">
        <v>3638</v>
      </c>
      <c r="M678" s="429"/>
      <c r="N678" s="429"/>
      <c r="O678" s="429"/>
      <c r="P678" s="429"/>
      <c r="Q678" s="429"/>
    </row>
    <row r="679" spans="1:17" ht="30" customHeight="1" x14ac:dyDescent="0.2">
      <c r="A679" s="153"/>
      <c r="B679" s="2645" t="s">
        <v>3350</v>
      </c>
      <c r="C679" s="2660" t="s">
        <v>3351</v>
      </c>
      <c r="D679" s="2634">
        <v>120000000</v>
      </c>
      <c r="E679" s="2688">
        <v>0.04</v>
      </c>
      <c r="F679" s="2634">
        <f>D679*E679</f>
        <v>4800000</v>
      </c>
      <c r="G679" s="2622">
        <v>4800000</v>
      </c>
      <c r="H679" s="2622" t="s">
        <v>4249</v>
      </c>
      <c r="I679" s="2622" t="s">
        <v>2066</v>
      </c>
      <c r="J679" s="2622">
        <f>G679</f>
        <v>4800000</v>
      </c>
      <c r="K679" s="2678">
        <f>F679-J679</f>
        <v>0</v>
      </c>
      <c r="L679" s="2694" t="s">
        <v>3352</v>
      </c>
      <c r="M679" s="429"/>
      <c r="N679" s="429"/>
      <c r="O679" s="429"/>
      <c r="P679" s="429"/>
      <c r="Q679" s="429"/>
    </row>
    <row r="680" spans="1:17" ht="30" customHeight="1" x14ac:dyDescent="0.2">
      <c r="A680" s="153"/>
      <c r="B680" s="2645" t="s">
        <v>3353</v>
      </c>
      <c r="C680" s="2660" t="s">
        <v>3354</v>
      </c>
      <c r="D680" s="2634">
        <v>100000000</v>
      </c>
      <c r="E680" s="2688">
        <v>0.05</v>
      </c>
      <c r="F680" s="2634">
        <f>D680*E680</f>
        <v>5000000</v>
      </c>
      <c r="G680" s="2622"/>
      <c r="H680" s="2622"/>
      <c r="I680" s="2622"/>
      <c r="J680" s="2622"/>
      <c r="K680" s="2678"/>
      <c r="L680" s="2694" t="s">
        <v>3352</v>
      </c>
      <c r="M680" s="429"/>
      <c r="N680" s="429"/>
      <c r="O680" s="429"/>
      <c r="P680" s="429"/>
      <c r="Q680" s="429"/>
    </row>
    <row r="681" spans="1:17" ht="30" customHeight="1" x14ac:dyDescent="0.2">
      <c r="A681" s="153"/>
      <c r="B681" s="2645" t="s">
        <v>3356</v>
      </c>
      <c r="C681" s="2660" t="s">
        <v>1909</v>
      </c>
      <c r="D681" s="2634">
        <v>50000000</v>
      </c>
      <c r="E681" s="2688">
        <v>0.05</v>
      </c>
      <c r="F681" s="2634">
        <f>D681*E681</f>
        <v>2500000</v>
      </c>
      <c r="G681" s="2622">
        <v>2500000</v>
      </c>
      <c r="H681" s="2622" t="s">
        <v>4330</v>
      </c>
      <c r="I681" s="2622" t="s">
        <v>4407</v>
      </c>
      <c r="J681" s="2622">
        <f>G681</f>
        <v>2500000</v>
      </c>
      <c r="K681" s="2678">
        <f>F681-J681</f>
        <v>0</v>
      </c>
      <c r="L681" s="2694" t="s">
        <v>3352</v>
      </c>
      <c r="M681" s="429"/>
      <c r="N681" s="429"/>
      <c r="O681" s="429"/>
      <c r="P681" s="429"/>
      <c r="Q681" s="429"/>
    </row>
    <row r="682" spans="1:17" ht="30" customHeight="1" x14ac:dyDescent="0.2">
      <c r="A682" s="153"/>
      <c r="B682" s="2645" t="s">
        <v>3359</v>
      </c>
      <c r="C682" s="2660"/>
      <c r="D682" s="2676"/>
      <c r="E682" s="2720"/>
      <c r="F682" s="2647"/>
      <c r="G682" s="2622"/>
      <c r="H682" s="2622"/>
      <c r="I682" s="2622"/>
      <c r="J682" s="2622">
        <f>G682</f>
        <v>0</v>
      </c>
      <c r="K682" s="2683">
        <f>F682-J682</f>
        <v>0</v>
      </c>
      <c r="L682" s="2694" t="s">
        <v>3365</v>
      </c>
      <c r="M682" s="429"/>
      <c r="N682" s="429"/>
      <c r="O682" s="429"/>
      <c r="P682" s="429"/>
      <c r="Q682" s="429"/>
    </row>
    <row r="683" spans="1:17" ht="30" customHeight="1" x14ac:dyDescent="0.2">
      <c r="A683" s="153"/>
      <c r="B683" s="2645" t="s">
        <v>3392</v>
      </c>
      <c r="C683" s="2660" t="s">
        <v>411</v>
      </c>
      <c r="D683" s="2634">
        <v>40000000</v>
      </c>
      <c r="E683" s="2688">
        <v>0.05</v>
      </c>
      <c r="F683" s="2634">
        <f>D683*E683</f>
        <v>2000000</v>
      </c>
      <c r="G683" s="2622"/>
      <c r="H683" s="2622"/>
      <c r="I683" s="2093"/>
      <c r="J683" s="2093"/>
      <c r="K683" s="2093"/>
      <c r="L683" s="2694"/>
      <c r="M683" s="429"/>
      <c r="N683" s="429"/>
      <c r="O683" s="429"/>
      <c r="P683" s="429"/>
      <c r="Q683" s="429"/>
    </row>
    <row r="684" spans="1:17" ht="30" customHeight="1" x14ac:dyDescent="0.2">
      <c r="A684" s="153"/>
      <c r="B684" s="2645" t="s">
        <v>3428</v>
      </c>
      <c r="C684" s="2645"/>
      <c r="D684" s="2634">
        <v>15000000</v>
      </c>
      <c r="E684" s="2688">
        <v>0.05</v>
      </c>
      <c r="F684" s="2634">
        <f>D684*E684</f>
        <v>750000</v>
      </c>
      <c r="G684" s="2622">
        <v>750000</v>
      </c>
      <c r="H684" s="2622" t="s">
        <v>4330</v>
      </c>
      <c r="I684" s="2622" t="s">
        <v>4089</v>
      </c>
      <c r="J684" s="2622">
        <f>G684</f>
        <v>750000</v>
      </c>
      <c r="K684" s="2678">
        <f>F684-J684</f>
        <v>0</v>
      </c>
      <c r="L684" s="2694" t="s">
        <v>4006</v>
      </c>
      <c r="M684" s="429"/>
      <c r="N684" s="429"/>
      <c r="O684" s="429"/>
      <c r="P684" s="429"/>
      <c r="Q684" s="429"/>
    </row>
    <row r="685" spans="1:17" ht="30" customHeight="1" x14ac:dyDescent="0.2">
      <c r="A685" s="2692"/>
      <c r="B685" s="3" t="s">
        <v>3431</v>
      </c>
      <c r="C685" s="2660" t="s">
        <v>971</v>
      </c>
      <c r="D685" s="2634">
        <v>150000000</v>
      </c>
      <c r="E685" s="2688">
        <v>0.05</v>
      </c>
      <c r="F685" s="2634">
        <f>D685*E685</f>
        <v>7500000</v>
      </c>
      <c r="G685" s="2622"/>
      <c r="H685" s="2622"/>
      <c r="I685" s="2622" t="s">
        <v>4025</v>
      </c>
      <c r="J685" s="2622">
        <f>G685</f>
        <v>0</v>
      </c>
      <c r="K685" s="2678"/>
      <c r="L685" s="2694"/>
      <c r="M685" s="429"/>
      <c r="N685" s="429"/>
      <c r="O685" s="429"/>
      <c r="P685" s="429"/>
      <c r="Q685" s="429"/>
    </row>
    <row r="686" spans="1:17" ht="30" customHeight="1" x14ac:dyDescent="0.2">
      <c r="A686" s="2692"/>
      <c r="B686" s="3" t="s">
        <v>3443</v>
      </c>
      <c r="C686" s="2660" t="s">
        <v>3458</v>
      </c>
      <c r="D686" s="2634">
        <v>20000000</v>
      </c>
      <c r="E686" s="2688">
        <v>0.05</v>
      </c>
      <c r="F686" s="2634">
        <f>D686*E686</f>
        <v>1000000</v>
      </c>
      <c r="G686" s="2622"/>
      <c r="H686" s="2622"/>
      <c r="I686" s="2622" t="s">
        <v>4040</v>
      </c>
      <c r="J686" s="2622">
        <f>G686</f>
        <v>0</v>
      </c>
      <c r="K686" s="2678">
        <f>F686-J686</f>
        <v>1000000</v>
      </c>
      <c r="L686" s="2694" t="s">
        <v>3444</v>
      </c>
      <c r="M686" s="429"/>
      <c r="N686" s="429"/>
      <c r="O686" s="429"/>
      <c r="P686" s="429"/>
      <c r="Q686" s="429"/>
    </row>
    <row r="687" spans="1:17" ht="30" customHeight="1" x14ac:dyDescent="0.2">
      <c r="A687" s="2692"/>
      <c r="B687" s="3" t="s">
        <v>3459</v>
      </c>
      <c r="C687" s="2660" t="s">
        <v>916</v>
      </c>
      <c r="D687" s="2634">
        <v>200000000</v>
      </c>
      <c r="E687" s="2688">
        <v>0.05</v>
      </c>
      <c r="F687" s="2634">
        <f>D687*E687</f>
        <v>10000000</v>
      </c>
      <c r="G687" s="2622"/>
      <c r="H687" s="2622"/>
      <c r="I687" s="2622"/>
      <c r="J687" s="2622"/>
      <c r="K687" s="2683"/>
      <c r="L687" s="2694" t="s">
        <v>3460</v>
      </c>
      <c r="M687" s="429"/>
      <c r="N687" s="429"/>
      <c r="O687" s="429"/>
      <c r="P687" s="429"/>
      <c r="Q687" s="429"/>
    </row>
    <row r="688" spans="1:17" ht="30" customHeight="1" x14ac:dyDescent="0.2">
      <c r="A688" s="2692"/>
      <c r="B688" s="3" t="s">
        <v>3467</v>
      </c>
      <c r="C688" s="2645"/>
      <c r="D688" s="2676"/>
      <c r="E688" s="2720"/>
      <c r="F688" s="2647"/>
      <c r="G688" s="2622"/>
      <c r="H688" s="2622"/>
      <c r="I688" s="2622"/>
      <c r="J688" s="2622">
        <f t="shared" ref="J688:J695" si="74">G688</f>
        <v>0</v>
      </c>
      <c r="K688" s="2683"/>
      <c r="L688" s="2694"/>
      <c r="M688" s="429"/>
      <c r="N688" s="429"/>
      <c r="O688" s="429"/>
      <c r="P688" s="429"/>
      <c r="Q688" s="429"/>
    </row>
    <row r="689" spans="1:17" ht="30" customHeight="1" x14ac:dyDescent="0.2">
      <c r="A689" s="3450"/>
      <c r="B689" s="3448" t="s">
        <v>3531</v>
      </c>
      <c r="C689" s="2660" t="s">
        <v>916</v>
      </c>
      <c r="D689" s="2634">
        <v>1000000000</v>
      </c>
      <c r="E689" s="2688">
        <v>0.06</v>
      </c>
      <c r="F689" s="2634">
        <f>D689*E689</f>
        <v>60000000</v>
      </c>
      <c r="G689" s="2634">
        <v>61666000</v>
      </c>
      <c r="H689" s="2634" t="s">
        <v>4079</v>
      </c>
      <c r="I689" s="2654" t="s">
        <v>4080</v>
      </c>
      <c r="J689" s="2634">
        <f t="shared" si="74"/>
        <v>61666000</v>
      </c>
      <c r="K689" s="2678">
        <v>0</v>
      </c>
      <c r="L689" s="2694" t="s">
        <v>3860</v>
      </c>
      <c r="M689" s="429"/>
      <c r="N689" s="429"/>
      <c r="O689" s="429"/>
      <c r="P689" s="429"/>
      <c r="Q689" s="429"/>
    </row>
    <row r="690" spans="1:17" ht="30" customHeight="1" x14ac:dyDescent="0.2">
      <c r="A690" s="3451"/>
      <c r="B690" s="3449"/>
      <c r="C690" s="2660" t="s">
        <v>1353</v>
      </c>
      <c r="D690" s="2634">
        <v>500000000</v>
      </c>
      <c r="E690" s="2688">
        <v>6.5000000000000002E-2</v>
      </c>
      <c r="F690" s="2634">
        <f>D690*E690</f>
        <v>32500000</v>
      </c>
      <c r="G690" s="2634">
        <v>32500000</v>
      </c>
      <c r="H690" s="2634" t="s">
        <v>4249</v>
      </c>
      <c r="I690" s="2654" t="s">
        <v>4080</v>
      </c>
      <c r="J690" s="2634">
        <f t="shared" si="74"/>
        <v>32500000</v>
      </c>
      <c r="K690" s="2678">
        <f>F690-J690</f>
        <v>0</v>
      </c>
      <c r="L690" s="2694"/>
      <c r="M690" s="429"/>
      <c r="N690" s="429"/>
      <c r="O690" s="429"/>
      <c r="P690" s="429"/>
      <c r="Q690" s="429"/>
    </row>
    <row r="691" spans="1:17" ht="30" customHeight="1" x14ac:dyDescent="0.2">
      <c r="A691" s="2692"/>
      <c r="B691" s="3" t="s">
        <v>3650</v>
      </c>
      <c r="C691" s="2660"/>
      <c r="D691" s="2647"/>
      <c r="E691" s="2720"/>
      <c r="F691" s="2647"/>
      <c r="G691" s="2634">
        <v>6000000</v>
      </c>
      <c r="H691" s="2634" t="s">
        <v>4062</v>
      </c>
      <c r="I691" s="2654" t="s">
        <v>696</v>
      </c>
      <c r="J691" s="2634">
        <f t="shared" si="74"/>
        <v>6000000</v>
      </c>
      <c r="K691" s="2683">
        <f>F691-J691</f>
        <v>-6000000</v>
      </c>
      <c r="L691" s="2694"/>
      <c r="M691" s="429"/>
      <c r="N691" s="429"/>
      <c r="O691" s="429"/>
      <c r="P691" s="429"/>
      <c r="Q691" s="429"/>
    </row>
    <row r="692" spans="1:17" ht="30" customHeight="1" x14ac:dyDescent="0.2">
      <c r="A692" s="2623"/>
      <c r="B692" s="2644" t="s">
        <v>3560</v>
      </c>
      <c r="C692" s="2661"/>
      <c r="D692" s="2657"/>
      <c r="E692" s="2648"/>
      <c r="F692" s="2657"/>
      <c r="G692" s="2633"/>
      <c r="H692" s="2633"/>
      <c r="I692" s="2691" t="s">
        <v>3561</v>
      </c>
      <c r="J692" s="2633">
        <f t="shared" si="74"/>
        <v>0</v>
      </c>
      <c r="K692" s="1166"/>
      <c r="L692" s="2673"/>
      <c r="M692" s="429"/>
      <c r="N692" s="429"/>
      <c r="O692" s="429"/>
      <c r="P692" s="429"/>
      <c r="Q692" s="429"/>
    </row>
    <row r="693" spans="1:17" s="1593" customFormat="1" ht="30" customHeight="1" x14ac:dyDescent="0.2">
      <c r="A693" s="2692"/>
      <c r="B693" s="3" t="s">
        <v>3591</v>
      </c>
      <c r="C693" s="2689" t="s">
        <v>3619</v>
      </c>
      <c r="D693" s="2622">
        <v>25000000</v>
      </c>
      <c r="E693" s="2688">
        <v>0.05</v>
      </c>
      <c r="F693" s="2622">
        <f t="shared" ref="F693:F700" si="75">D693*E693</f>
        <v>1250000</v>
      </c>
      <c r="G693" s="2622">
        <v>1250000</v>
      </c>
      <c r="H693" s="2622" t="s">
        <v>4105</v>
      </c>
      <c r="I693" s="2622" t="s">
        <v>4132</v>
      </c>
      <c r="J693" s="2622">
        <f t="shared" si="74"/>
        <v>1250000</v>
      </c>
      <c r="K693" s="2619">
        <f>F693-J693</f>
        <v>0</v>
      </c>
      <c r="L693" s="2694" t="s">
        <v>3592</v>
      </c>
      <c r="M693" s="430"/>
      <c r="N693" s="430"/>
      <c r="O693" s="430"/>
      <c r="P693" s="430"/>
      <c r="Q693" s="430"/>
    </row>
    <row r="694" spans="1:17" s="196" customFormat="1" ht="30" customHeight="1" x14ac:dyDescent="0.2">
      <c r="A694" s="2692"/>
      <c r="B694" s="3" t="s">
        <v>3595</v>
      </c>
      <c r="C694" s="2689"/>
      <c r="D694" s="2651">
        <v>600000000</v>
      </c>
      <c r="E694" s="2720">
        <v>0.06</v>
      </c>
      <c r="F694" s="2651">
        <f t="shared" si="75"/>
        <v>36000000</v>
      </c>
      <c r="G694" s="2651">
        <v>51000000</v>
      </c>
      <c r="H694" s="2651" t="s">
        <v>4156</v>
      </c>
      <c r="I694" s="2651" t="s">
        <v>1473</v>
      </c>
      <c r="J694" s="2651">
        <f t="shared" si="74"/>
        <v>51000000</v>
      </c>
      <c r="K694" s="1083">
        <f>F694-J694</f>
        <v>-15000000</v>
      </c>
      <c r="L694" s="2694"/>
      <c r="M694" s="429"/>
      <c r="N694" s="429"/>
      <c r="O694" s="429"/>
      <c r="P694" s="429"/>
      <c r="Q694" s="429"/>
    </row>
    <row r="695" spans="1:17" s="196" customFormat="1" ht="30" customHeight="1" x14ac:dyDescent="0.2">
      <c r="A695" s="3450"/>
      <c r="B695" s="3448" t="s">
        <v>3596</v>
      </c>
      <c r="C695" s="3570" t="s">
        <v>3619</v>
      </c>
      <c r="D695" s="2622">
        <v>140000000</v>
      </c>
      <c r="E695" s="2688">
        <v>0.04</v>
      </c>
      <c r="F695" s="2622">
        <f t="shared" si="75"/>
        <v>5600000</v>
      </c>
      <c r="G695" s="3442">
        <v>5067000</v>
      </c>
      <c r="H695" s="3442" t="s">
        <v>4216</v>
      </c>
      <c r="I695" s="3442" t="s">
        <v>4218</v>
      </c>
      <c r="J695" s="3442">
        <f t="shared" si="74"/>
        <v>5067000</v>
      </c>
      <c r="K695" s="3625">
        <v>0</v>
      </c>
      <c r="L695" s="2674" t="s">
        <v>4217</v>
      </c>
      <c r="M695" s="429"/>
      <c r="N695" s="429"/>
      <c r="O695" s="429"/>
      <c r="P695" s="429"/>
      <c r="Q695" s="429"/>
    </row>
    <row r="696" spans="1:17" s="196" customFormat="1" ht="30" customHeight="1" x14ac:dyDescent="0.2">
      <c r="A696" s="3451"/>
      <c r="B696" s="3449"/>
      <c r="C696" s="3571"/>
      <c r="D696" s="2622">
        <v>80000000</v>
      </c>
      <c r="E696" s="2688">
        <v>0.04</v>
      </c>
      <c r="F696" s="2622">
        <f t="shared" si="75"/>
        <v>3200000</v>
      </c>
      <c r="G696" s="3443"/>
      <c r="H696" s="3443"/>
      <c r="I696" s="3443"/>
      <c r="J696" s="3443"/>
      <c r="K696" s="3626"/>
      <c r="L696" s="2674" t="s">
        <v>3620</v>
      </c>
      <c r="M696" s="429"/>
      <c r="N696" s="429"/>
      <c r="O696" s="429"/>
      <c r="P696" s="429"/>
      <c r="Q696" s="429"/>
    </row>
    <row r="697" spans="1:17" s="196" customFormat="1" ht="30" customHeight="1" x14ac:dyDescent="0.2">
      <c r="A697" s="2692"/>
      <c r="B697" s="3" t="s">
        <v>3616</v>
      </c>
      <c r="C697" s="2689" t="s">
        <v>380</v>
      </c>
      <c r="D697" s="2622">
        <v>85000000</v>
      </c>
      <c r="E697" s="2688">
        <v>7.0000000000000007E-2</v>
      </c>
      <c r="F697" s="2622">
        <f t="shared" si="75"/>
        <v>5950000.0000000009</v>
      </c>
      <c r="G697" s="2622"/>
      <c r="H697" s="2622"/>
      <c r="I697" s="2622" t="s">
        <v>3617</v>
      </c>
      <c r="J697" s="2622">
        <f>G697</f>
        <v>0</v>
      </c>
      <c r="K697" s="2619">
        <f>F697-J697</f>
        <v>5950000.0000000009</v>
      </c>
      <c r="L697" s="2694"/>
      <c r="M697" s="429"/>
      <c r="N697" s="429"/>
      <c r="O697" s="429"/>
      <c r="P697" s="429"/>
      <c r="Q697" s="429"/>
    </row>
    <row r="698" spans="1:17" s="196" customFormat="1" ht="30" customHeight="1" x14ac:dyDescent="0.2">
      <c r="A698" s="2692"/>
      <c r="B698" s="3" t="s">
        <v>3618</v>
      </c>
      <c r="C698" s="2689" t="s">
        <v>3619</v>
      </c>
      <c r="D698" s="2622">
        <v>70000000</v>
      </c>
      <c r="E698" s="2688">
        <v>0.05</v>
      </c>
      <c r="F698" s="2622">
        <f t="shared" si="75"/>
        <v>3500000</v>
      </c>
      <c r="G698" s="2622">
        <v>3500000</v>
      </c>
      <c r="H698" s="2622" t="s">
        <v>4201</v>
      </c>
      <c r="I698" s="2622" t="s">
        <v>4210</v>
      </c>
      <c r="J698" s="2622">
        <f>G698</f>
        <v>3500000</v>
      </c>
      <c r="K698" s="2619">
        <f>F698-J698</f>
        <v>0</v>
      </c>
      <c r="L698" s="2694" t="s">
        <v>3620</v>
      </c>
      <c r="M698" s="429"/>
      <c r="N698" s="429"/>
      <c r="O698" s="429"/>
      <c r="P698" s="429"/>
      <c r="Q698" s="429"/>
    </row>
    <row r="699" spans="1:17" s="196" customFormat="1" ht="30" customHeight="1" x14ac:dyDescent="0.2">
      <c r="A699" s="2692"/>
      <c r="B699" s="3" t="s">
        <v>4119</v>
      </c>
      <c r="C699" s="2689" t="s">
        <v>916</v>
      </c>
      <c r="D699" s="2622">
        <v>20000000</v>
      </c>
      <c r="E699" s="2688">
        <v>0.05</v>
      </c>
      <c r="F699" s="2622">
        <f t="shared" si="75"/>
        <v>1000000</v>
      </c>
      <c r="G699" s="2622">
        <v>1000000</v>
      </c>
      <c r="H699" s="2622" t="s">
        <v>4105</v>
      </c>
      <c r="I699" s="2622" t="s">
        <v>4120</v>
      </c>
      <c r="J699" s="2622">
        <f>G699</f>
        <v>1000000</v>
      </c>
      <c r="K699" s="2619">
        <f>F699-J699</f>
        <v>0</v>
      </c>
      <c r="L699" s="2694" t="s">
        <v>4121</v>
      </c>
      <c r="M699" s="429"/>
      <c r="N699" s="429"/>
      <c r="O699" s="429"/>
      <c r="P699" s="429"/>
      <c r="Q699" s="429"/>
    </row>
    <row r="700" spans="1:17" s="196" customFormat="1" ht="30" customHeight="1" x14ac:dyDescent="0.2">
      <c r="A700" s="2692"/>
      <c r="B700" s="3" t="s">
        <v>3087</v>
      </c>
      <c r="C700" s="2689" t="s">
        <v>411</v>
      </c>
      <c r="D700" s="2622">
        <v>150000000</v>
      </c>
      <c r="E700" s="2688">
        <v>0.06</v>
      </c>
      <c r="F700" s="2622">
        <f t="shared" si="75"/>
        <v>9000000</v>
      </c>
      <c r="G700" s="2622">
        <v>9000000</v>
      </c>
      <c r="H700" s="2622" t="s">
        <v>3944</v>
      </c>
      <c r="I700" s="2622" t="s">
        <v>4103</v>
      </c>
      <c r="J700" s="2622">
        <f>G700</f>
        <v>9000000</v>
      </c>
      <c r="K700" s="2622">
        <f>F700-J700</f>
        <v>0</v>
      </c>
      <c r="L700" s="2694"/>
      <c r="M700" s="429"/>
      <c r="N700" s="429"/>
      <c r="O700" s="429"/>
      <c r="P700" s="429"/>
      <c r="Q700" s="429"/>
    </row>
    <row r="701" spans="1:17" s="196" customFormat="1" ht="30" customHeight="1" x14ac:dyDescent="0.2">
      <c r="A701" s="2623"/>
      <c r="B701" s="2650" t="s">
        <v>3667</v>
      </c>
      <c r="C701" s="2675"/>
      <c r="D701" s="2646"/>
      <c r="E701" s="2648"/>
      <c r="F701" s="2646"/>
      <c r="G701" s="2646"/>
      <c r="H701" s="2646"/>
      <c r="I701" s="2646" t="s">
        <v>3669</v>
      </c>
      <c r="J701" s="2646">
        <f>G701</f>
        <v>0</v>
      </c>
      <c r="K701" s="2632"/>
      <c r="L701" s="2673"/>
      <c r="M701" s="429"/>
      <c r="N701" s="429"/>
      <c r="O701" s="429"/>
      <c r="P701" s="429"/>
      <c r="Q701" s="429"/>
    </row>
    <row r="702" spans="1:17" s="9" customFormat="1" ht="30" customHeight="1" x14ac:dyDescent="0.2">
      <c r="A702" s="2701"/>
      <c r="B702" s="2690" t="s">
        <v>156</v>
      </c>
      <c r="C702" s="2689"/>
      <c r="D702" s="2622">
        <v>10000000</v>
      </c>
      <c r="E702" s="2688">
        <v>0.05</v>
      </c>
      <c r="F702" s="2622">
        <f>D702*E702</f>
        <v>500000</v>
      </c>
      <c r="G702" s="2622"/>
      <c r="H702" s="2622"/>
      <c r="I702" s="2622"/>
      <c r="J702" s="2622"/>
      <c r="K702" s="2622"/>
      <c r="L702" s="2694" t="s">
        <v>3682</v>
      </c>
      <c r="M702" s="430"/>
      <c r="N702" s="430"/>
      <c r="O702" s="430"/>
      <c r="P702" s="430"/>
      <c r="Q702" s="430"/>
    </row>
    <row r="703" spans="1:17" s="1713" customFormat="1" ht="30" customHeight="1" x14ac:dyDescent="0.2">
      <c r="A703" s="2701"/>
      <c r="B703" s="2690" t="s">
        <v>3691</v>
      </c>
      <c r="C703" s="2660" t="s">
        <v>380</v>
      </c>
      <c r="D703" s="2622">
        <v>10000000</v>
      </c>
      <c r="E703" s="2688">
        <v>0.05</v>
      </c>
      <c r="F703" s="2622">
        <f>D703*E703</f>
        <v>500000</v>
      </c>
      <c r="G703" s="2634">
        <v>500000</v>
      </c>
      <c r="H703" s="2634" t="s">
        <v>4156</v>
      </c>
      <c r="I703" s="2654" t="s">
        <v>3692</v>
      </c>
      <c r="J703" s="2634">
        <f>G703</f>
        <v>500000</v>
      </c>
      <c r="K703" s="2634">
        <f>F703-J703</f>
        <v>0</v>
      </c>
      <c r="L703" s="2674"/>
      <c r="M703" s="429"/>
      <c r="N703" s="429"/>
      <c r="O703" s="429"/>
      <c r="P703" s="429"/>
      <c r="Q703" s="429"/>
    </row>
    <row r="704" spans="1:17" s="1713" customFormat="1" ht="30" customHeight="1" x14ac:dyDescent="0.2">
      <c r="A704" s="2853"/>
      <c r="B704" s="22" t="s">
        <v>4597</v>
      </c>
      <c r="C704" s="2858" t="s">
        <v>4366</v>
      </c>
      <c r="D704" s="2846">
        <v>100000000</v>
      </c>
      <c r="E704" s="2855">
        <v>0.05</v>
      </c>
      <c r="F704" s="2846">
        <f>D704*E704</f>
        <v>5000000</v>
      </c>
      <c r="G704" s="3325" t="s">
        <v>4598</v>
      </c>
      <c r="H704" s="3340"/>
      <c r="I704" s="3340"/>
      <c r="J704" s="3341"/>
      <c r="K704" s="2846">
        <v>0</v>
      </c>
      <c r="L704" s="430"/>
      <c r="M704" s="429"/>
      <c r="N704" s="429"/>
      <c r="O704" s="429"/>
      <c r="P704" s="429"/>
      <c r="Q704" s="429"/>
    </row>
    <row r="705" spans="1:17" s="1713" customFormat="1" ht="30" customHeight="1" x14ac:dyDescent="0.2">
      <c r="A705" s="2701"/>
      <c r="B705" s="2690" t="s">
        <v>3704</v>
      </c>
      <c r="C705" s="2689"/>
      <c r="D705" s="2622">
        <v>6000000</v>
      </c>
      <c r="E705" s="2688">
        <f>F705/D705</f>
        <v>0.05</v>
      </c>
      <c r="F705" s="2622">
        <v>300000</v>
      </c>
      <c r="G705" s="2622">
        <v>1000000</v>
      </c>
      <c r="H705" s="2622" t="s">
        <v>4216</v>
      </c>
      <c r="I705" s="2622" t="s">
        <v>3705</v>
      </c>
      <c r="J705" s="2622">
        <f>G705</f>
        <v>1000000</v>
      </c>
      <c r="K705" s="2622">
        <f>F705-J705</f>
        <v>-700000</v>
      </c>
      <c r="L705" s="1714" t="s">
        <v>3706</v>
      </c>
      <c r="M705" s="429"/>
      <c r="N705" s="429"/>
      <c r="O705" s="429"/>
      <c r="P705" s="429"/>
      <c r="Q705" s="429"/>
    </row>
    <row r="706" spans="1:17" s="1713" customFormat="1" ht="30" customHeight="1" x14ac:dyDescent="0.2">
      <c r="A706" s="2701"/>
      <c r="B706" s="2690" t="s">
        <v>3728</v>
      </c>
      <c r="C706" s="2689"/>
      <c r="D706" s="2622">
        <v>870000000</v>
      </c>
      <c r="E706" s="2688">
        <v>7.0999999999999994E-2</v>
      </c>
      <c r="F706" s="2622">
        <v>62000000</v>
      </c>
      <c r="G706" s="2622">
        <v>61000000</v>
      </c>
      <c r="H706" s="2622" t="s">
        <v>4216</v>
      </c>
      <c r="I706" s="2622" t="s">
        <v>1703</v>
      </c>
      <c r="J706" s="2622">
        <f>G706</f>
        <v>61000000</v>
      </c>
      <c r="K706" s="2622">
        <f>F706-J706</f>
        <v>1000000</v>
      </c>
      <c r="L706" s="2674" t="s">
        <v>4238</v>
      </c>
      <c r="M706" s="429"/>
      <c r="N706" s="429"/>
      <c r="O706" s="429"/>
      <c r="P706" s="429"/>
      <c r="Q706" s="429"/>
    </row>
    <row r="707" spans="1:17" s="1713" customFormat="1" ht="30" customHeight="1" x14ac:dyDescent="0.2">
      <c r="A707" s="3525"/>
      <c r="B707" s="3457" t="s">
        <v>3735</v>
      </c>
      <c r="C707" s="3570" t="s">
        <v>916</v>
      </c>
      <c r="D707" s="3442">
        <v>200000000</v>
      </c>
      <c r="E707" s="3444">
        <v>0.05</v>
      </c>
      <c r="F707" s="3442">
        <f>D707*E707</f>
        <v>10000000</v>
      </c>
      <c r="G707" s="3442">
        <v>10000000</v>
      </c>
      <c r="H707" s="3442" t="s">
        <v>4062</v>
      </c>
      <c r="I707" s="3442" t="s">
        <v>3736</v>
      </c>
      <c r="J707" s="3442">
        <f>G707</f>
        <v>10000000</v>
      </c>
      <c r="K707" s="3442">
        <f>F707-J707</f>
        <v>0</v>
      </c>
      <c r="L707" s="2674" t="s">
        <v>3985</v>
      </c>
      <c r="M707" s="429"/>
      <c r="N707" s="429"/>
      <c r="O707" s="429"/>
      <c r="P707" s="429"/>
      <c r="Q707" s="429"/>
    </row>
    <row r="708" spans="1:17" s="1713" customFormat="1" ht="30" customHeight="1" x14ac:dyDescent="0.2">
      <c r="A708" s="3526"/>
      <c r="B708" s="3458"/>
      <c r="C708" s="3571"/>
      <c r="D708" s="3443"/>
      <c r="E708" s="3445"/>
      <c r="F708" s="3443"/>
      <c r="G708" s="3443"/>
      <c r="H708" s="3443"/>
      <c r="I708" s="3443"/>
      <c r="J708" s="3443"/>
      <c r="K708" s="3443"/>
      <c r="L708" s="2674" t="s">
        <v>3737</v>
      </c>
      <c r="M708" s="429"/>
      <c r="N708" s="429"/>
      <c r="O708" s="429"/>
      <c r="P708" s="429"/>
      <c r="Q708" s="429"/>
    </row>
    <row r="709" spans="1:17" s="1713" customFormat="1" ht="30" customHeight="1" x14ac:dyDescent="0.2">
      <c r="A709" s="2701"/>
      <c r="B709" s="2690" t="s">
        <v>3750</v>
      </c>
      <c r="C709" s="2689" t="s">
        <v>2408</v>
      </c>
      <c r="D709" s="2622">
        <v>100000000</v>
      </c>
      <c r="E709" s="2688">
        <v>0.05</v>
      </c>
      <c r="F709" s="2622">
        <f>D709*E709</f>
        <v>5000000</v>
      </c>
      <c r="G709" s="2622">
        <v>5000000</v>
      </c>
      <c r="H709" s="2622" t="s">
        <v>4249</v>
      </c>
      <c r="I709" s="2622" t="s">
        <v>4267</v>
      </c>
      <c r="J709" s="2622">
        <f>G709</f>
        <v>5000000</v>
      </c>
      <c r="K709" s="2622">
        <f>F709-J709</f>
        <v>0</v>
      </c>
      <c r="L709" s="2674" t="s">
        <v>3352</v>
      </c>
      <c r="M709" s="429"/>
      <c r="N709" s="429"/>
      <c r="O709" s="429"/>
      <c r="P709" s="429"/>
      <c r="Q709" s="429"/>
    </row>
    <row r="710" spans="1:17" s="1713" customFormat="1" ht="30" customHeight="1" x14ac:dyDescent="0.2">
      <c r="A710" s="2701"/>
      <c r="B710" s="2690" t="s">
        <v>4196</v>
      </c>
      <c r="C710" s="2689" t="s">
        <v>2408</v>
      </c>
      <c r="D710" s="2622">
        <v>130000000</v>
      </c>
      <c r="E710" s="2688">
        <v>0.05</v>
      </c>
      <c r="F710" s="2622">
        <f>D710*E710</f>
        <v>6500000</v>
      </c>
      <c r="G710" s="2622">
        <v>6500000</v>
      </c>
      <c r="H710" s="2622" t="s">
        <v>4249</v>
      </c>
      <c r="I710" s="2622" t="s">
        <v>3914</v>
      </c>
      <c r="J710" s="2622">
        <f>G710</f>
        <v>6500000</v>
      </c>
      <c r="K710" s="2622">
        <f>F710-J710</f>
        <v>0</v>
      </c>
      <c r="L710" s="2674" t="s">
        <v>3352</v>
      </c>
      <c r="M710" s="429"/>
      <c r="N710" s="429"/>
      <c r="O710" s="429"/>
      <c r="P710" s="429"/>
      <c r="Q710" s="429"/>
    </row>
    <row r="711" spans="1:17" s="1713" customFormat="1" ht="30" customHeight="1" x14ac:dyDescent="0.2">
      <c r="A711" s="3525"/>
      <c r="B711" s="3457" t="s">
        <v>3812</v>
      </c>
      <c r="C711" s="3570"/>
      <c r="D711" s="2622">
        <v>1140000000</v>
      </c>
      <c r="E711" s="2688">
        <v>7.0000000000000007E-2</v>
      </c>
      <c r="F711" s="2622">
        <f>D711*E711</f>
        <v>79800000.000000015</v>
      </c>
      <c r="G711" s="2622">
        <v>50000000</v>
      </c>
      <c r="H711" s="2622" t="s">
        <v>4286</v>
      </c>
      <c r="I711" s="2622" t="s">
        <v>1706</v>
      </c>
      <c r="J711" s="3442">
        <f>G711+G712</f>
        <v>91000000</v>
      </c>
      <c r="K711" s="3442">
        <f>F712-J711</f>
        <v>0</v>
      </c>
      <c r="L711" s="2674" t="s">
        <v>4058</v>
      </c>
      <c r="M711" s="429"/>
      <c r="N711" s="429"/>
      <c r="O711" s="429"/>
      <c r="P711" s="429"/>
      <c r="Q711" s="429"/>
    </row>
    <row r="712" spans="1:17" s="1713" customFormat="1" ht="30" customHeight="1" x14ac:dyDescent="0.2">
      <c r="A712" s="3526"/>
      <c r="B712" s="3458"/>
      <c r="C712" s="3571"/>
      <c r="D712" s="2621">
        <v>1300000000</v>
      </c>
      <c r="E712" s="479">
        <v>7.0000000000000007E-2</v>
      </c>
      <c r="F712" s="2621">
        <f>D712*E712</f>
        <v>91000000.000000015</v>
      </c>
      <c r="G712" s="2622">
        <v>41000000</v>
      </c>
      <c r="H712" s="2622" t="s">
        <v>4306</v>
      </c>
      <c r="I712" s="2622" t="s">
        <v>1706</v>
      </c>
      <c r="J712" s="3443"/>
      <c r="K712" s="3443"/>
      <c r="L712" s="2674" t="s">
        <v>3847</v>
      </c>
      <c r="M712" s="429"/>
      <c r="N712" s="429"/>
      <c r="O712" s="429"/>
      <c r="P712" s="429"/>
      <c r="Q712" s="429"/>
    </row>
    <row r="713" spans="1:17" s="1713" customFormat="1" ht="30" customHeight="1" x14ac:dyDescent="0.2">
      <c r="A713" s="2701"/>
      <c r="B713" s="2690" t="s">
        <v>3845</v>
      </c>
      <c r="C713" s="2689" t="s">
        <v>3526</v>
      </c>
      <c r="D713" s="2622">
        <v>10000000</v>
      </c>
      <c r="E713" s="2688">
        <v>0.05</v>
      </c>
      <c r="F713" s="2622">
        <f>D713*E713</f>
        <v>500000</v>
      </c>
      <c r="G713" s="2622">
        <v>500000</v>
      </c>
      <c r="H713" s="2622" t="s">
        <v>4286</v>
      </c>
      <c r="I713" s="2622" t="s">
        <v>4296</v>
      </c>
      <c r="J713" s="2622">
        <f>G713</f>
        <v>500000</v>
      </c>
      <c r="K713" s="2622">
        <f>F713-J713</f>
        <v>0</v>
      </c>
      <c r="L713" s="2674" t="s">
        <v>3846</v>
      </c>
      <c r="M713" s="429"/>
      <c r="N713" s="429"/>
      <c r="O713" s="429"/>
      <c r="P713" s="429"/>
      <c r="Q713" s="429"/>
    </row>
    <row r="714" spans="1:17" s="1713" customFormat="1" ht="30" customHeight="1" x14ac:dyDescent="0.2">
      <c r="A714" s="2701"/>
      <c r="B714" s="2690" t="s">
        <v>3848</v>
      </c>
      <c r="C714" s="2689" t="s">
        <v>1746</v>
      </c>
      <c r="D714" s="2622">
        <v>58000000</v>
      </c>
      <c r="E714" s="2688"/>
      <c r="F714" s="2622"/>
      <c r="G714" s="2622"/>
      <c r="H714" s="2622"/>
      <c r="I714" s="2622"/>
      <c r="J714" s="2622"/>
      <c r="K714" s="2622"/>
      <c r="L714" s="2674" t="s">
        <v>3849</v>
      </c>
      <c r="M714" s="429"/>
      <c r="N714" s="429"/>
      <c r="O714" s="429"/>
      <c r="P714" s="429"/>
      <c r="Q714" s="429"/>
    </row>
    <row r="715" spans="1:17" s="1713" customFormat="1" ht="30" customHeight="1" x14ac:dyDescent="0.2">
      <c r="A715" s="2701"/>
      <c r="B715" s="2690" t="s">
        <v>3880</v>
      </c>
      <c r="C715" s="2689" t="s">
        <v>1355</v>
      </c>
      <c r="D715" s="2622">
        <v>100000000</v>
      </c>
      <c r="E715" s="2688">
        <v>0.05</v>
      </c>
      <c r="F715" s="2622">
        <f>D715*E715</f>
        <v>5000000</v>
      </c>
      <c r="G715" s="2622">
        <v>5000000</v>
      </c>
      <c r="H715" s="2622" t="s">
        <v>3213</v>
      </c>
      <c r="I715" s="2622" t="s">
        <v>4193</v>
      </c>
      <c r="J715" s="2622">
        <f>G715</f>
        <v>5000000</v>
      </c>
      <c r="K715" s="2622">
        <f>F715-J715</f>
        <v>0</v>
      </c>
      <c r="L715" s="2674" t="s">
        <v>4195</v>
      </c>
      <c r="M715" s="429"/>
      <c r="N715" s="429"/>
      <c r="O715" s="429"/>
      <c r="P715" s="429"/>
      <c r="Q715" s="429"/>
    </row>
    <row r="716" spans="1:17" s="1713" customFormat="1" ht="30" customHeight="1" x14ac:dyDescent="0.2">
      <c r="A716" s="2701"/>
      <c r="B716" s="2690" t="s">
        <v>3881</v>
      </c>
      <c r="C716" s="2660"/>
      <c r="D716" s="2634">
        <v>96000000</v>
      </c>
      <c r="E716" s="2631">
        <v>0.05</v>
      </c>
      <c r="F716" s="2634">
        <v>5000000</v>
      </c>
      <c r="G716" s="2622">
        <v>5000000</v>
      </c>
      <c r="H716" s="2622" t="s">
        <v>3213</v>
      </c>
      <c r="I716" s="2622" t="s">
        <v>4194</v>
      </c>
      <c r="J716" s="2622">
        <f>G716</f>
        <v>5000000</v>
      </c>
      <c r="K716" s="2622">
        <f>F716-J716</f>
        <v>0</v>
      </c>
      <c r="L716" s="2674" t="s">
        <v>4195</v>
      </c>
      <c r="M716" s="429"/>
      <c r="N716" s="429"/>
      <c r="O716" s="429"/>
      <c r="P716" s="429"/>
      <c r="Q716" s="429"/>
    </row>
    <row r="717" spans="1:17" s="1713" customFormat="1" ht="30" customHeight="1" x14ac:dyDescent="0.2">
      <c r="A717" s="2701"/>
      <c r="B717" s="2690" t="s">
        <v>4007</v>
      </c>
      <c r="C717" s="2689" t="s">
        <v>3354</v>
      </c>
      <c r="D717" s="2634">
        <v>100000000</v>
      </c>
      <c r="E717" s="2631">
        <v>0.06</v>
      </c>
      <c r="F717" s="2634">
        <f>D717*E717</f>
        <v>6000000</v>
      </c>
      <c r="G717" s="2634"/>
      <c r="H717" s="2634"/>
      <c r="I717" s="2654"/>
      <c r="J717" s="2634"/>
      <c r="K717" s="2634"/>
      <c r="L717" s="2674" t="s">
        <v>4010</v>
      </c>
      <c r="M717" s="429"/>
      <c r="N717" s="429"/>
      <c r="O717" s="429"/>
      <c r="P717" s="429"/>
      <c r="Q717" s="429"/>
    </row>
    <row r="718" spans="1:17" s="1713" customFormat="1" ht="30" customHeight="1" x14ac:dyDescent="0.2">
      <c r="A718" s="2701"/>
      <c r="B718" s="2690" t="s">
        <v>4009</v>
      </c>
      <c r="C718" s="2689" t="s">
        <v>3526</v>
      </c>
      <c r="D718" s="2622">
        <v>50000000</v>
      </c>
      <c r="E718" s="2631">
        <v>0.05</v>
      </c>
      <c r="F718" s="2634">
        <f>D718*E718</f>
        <v>2500000</v>
      </c>
      <c r="G718" s="2634"/>
      <c r="H718" s="2634"/>
      <c r="I718" s="2654"/>
      <c r="J718" s="2634"/>
      <c r="K718" s="2634"/>
      <c r="L718" s="2674"/>
      <c r="M718" s="429"/>
      <c r="N718" s="429"/>
      <c r="O718" s="429"/>
      <c r="P718" s="429"/>
      <c r="Q718" s="429"/>
    </row>
    <row r="719" spans="1:17" s="1713" customFormat="1" ht="30" customHeight="1" x14ac:dyDescent="0.2">
      <c r="A719" s="2701"/>
      <c r="B719" s="2690" t="s">
        <v>4028</v>
      </c>
      <c r="C719" s="2689"/>
      <c r="D719" s="2651"/>
      <c r="E719" s="2651"/>
      <c r="F719" s="2651"/>
      <c r="G719" s="2634"/>
      <c r="H719" s="2634"/>
      <c r="I719" s="2654" t="s">
        <v>4029</v>
      </c>
      <c r="J719" s="2634">
        <f>G719</f>
        <v>0</v>
      </c>
      <c r="K719" s="2634">
        <f>F719-J719</f>
        <v>0</v>
      </c>
      <c r="L719" s="2674"/>
      <c r="M719" s="429"/>
      <c r="N719" s="429"/>
      <c r="O719" s="429"/>
      <c r="P719" s="429"/>
      <c r="Q719" s="429"/>
    </row>
    <row r="720" spans="1:17" s="1713" customFormat="1" ht="30" customHeight="1" x14ac:dyDescent="0.2">
      <c r="A720" s="3525"/>
      <c r="B720" s="3457" t="s">
        <v>4034</v>
      </c>
      <c r="C720" s="2689" t="s">
        <v>4247</v>
      </c>
      <c r="D720" s="2622">
        <v>120000000</v>
      </c>
      <c r="E720" s="2631">
        <v>0.05</v>
      </c>
      <c r="F720" s="2634">
        <f>D720*E720</f>
        <v>6000000</v>
      </c>
      <c r="G720" s="247"/>
      <c r="H720" s="247"/>
      <c r="I720" s="247"/>
      <c r="J720" s="247"/>
      <c r="K720" s="2634"/>
      <c r="L720" s="2674" t="s">
        <v>4036</v>
      </c>
      <c r="M720" s="429"/>
      <c r="N720" s="429"/>
      <c r="O720" s="429"/>
      <c r="P720" s="429"/>
      <c r="Q720" s="429"/>
    </row>
    <row r="721" spans="1:17" s="1713" customFormat="1" ht="30" customHeight="1" x14ac:dyDescent="0.2">
      <c r="A721" s="3526"/>
      <c r="B721" s="3458"/>
      <c r="C721" s="2660"/>
      <c r="D721" s="2634">
        <v>50000000</v>
      </c>
      <c r="E721" s="2631">
        <v>7.0000000000000007E-2</v>
      </c>
      <c r="F721" s="2634">
        <f>D721*E721</f>
        <v>3500000.0000000005</v>
      </c>
      <c r="G721" s="7"/>
      <c r="H721" s="7"/>
      <c r="I721" s="2150"/>
      <c r="J721" s="7"/>
      <c r="K721" s="2634"/>
      <c r="L721" s="2349" t="s">
        <v>4358</v>
      </c>
      <c r="M721" s="429"/>
      <c r="N721" s="429"/>
      <c r="O721" s="429"/>
      <c r="P721" s="429"/>
      <c r="Q721" s="429"/>
    </row>
    <row r="722" spans="1:17" s="1713" customFormat="1" ht="30" customHeight="1" x14ac:dyDescent="0.2">
      <c r="A722" s="2701"/>
      <c r="B722" s="2719" t="s">
        <v>4070</v>
      </c>
      <c r="C722" s="2660"/>
      <c r="D722" s="2647"/>
      <c r="E722" s="2649"/>
      <c r="F722" s="2647"/>
      <c r="G722" s="2634">
        <v>1105000</v>
      </c>
      <c r="H722" s="2634" t="s">
        <v>4071</v>
      </c>
      <c r="I722" s="2654" t="s">
        <v>4072</v>
      </c>
      <c r="J722" s="2634">
        <f>G722</f>
        <v>1105000</v>
      </c>
      <c r="K722" s="2634"/>
      <c r="L722" s="2674"/>
      <c r="M722" s="429"/>
      <c r="N722" s="429"/>
      <c r="O722" s="429"/>
      <c r="P722" s="429"/>
      <c r="Q722" s="429"/>
    </row>
    <row r="723" spans="1:17" s="1713" customFormat="1" ht="30" customHeight="1" x14ac:dyDescent="0.2">
      <c r="A723" s="2701"/>
      <c r="B723" s="2719" t="s">
        <v>4074</v>
      </c>
      <c r="C723" s="2660"/>
      <c r="D723" s="2647"/>
      <c r="E723" s="2649"/>
      <c r="F723" s="2647"/>
      <c r="G723" s="2634">
        <v>1100000</v>
      </c>
      <c r="H723" s="2634" t="s">
        <v>1263</v>
      </c>
      <c r="I723" s="2654" t="s">
        <v>4075</v>
      </c>
      <c r="J723" s="2634">
        <f>G723</f>
        <v>1100000</v>
      </c>
      <c r="K723" s="2634"/>
      <c r="L723" s="2674"/>
      <c r="M723" s="429"/>
      <c r="N723" s="429"/>
      <c r="O723" s="429"/>
      <c r="P723" s="429"/>
      <c r="Q723" s="429"/>
    </row>
    <row r="724" spans="1:17" s="1713" customFormat="1" ht="30" customHeight="1" x14ac:dyDescent="0.2">
      <c r="A724" s="2701"/>
      <c r="B724" s="2690" t="s">
        <v>4096</v>
      </c>
      <c r="C724" s="2660"/>
      <c r="D724" s="2634">
        <v>50000000</v>
      </c>
      <c r="E724" s="2631">
        <v>0.05</v>
      </c>
      <c r="F724" s="2634">
        <f>D724*E724</f>
        <v>2500000</v>
      </c>
      <c r="G724" s="2634">
        <v>2500000</v>
      </c>
      <c r="H724" s="2634" t="s">
        <v>4249</v>
      </c>
      <c r="I724" s="2654" t="s">
        <v>4263</v>
      </c>
      <c r="J724" s="2634">
        <f>G724</f>
        <v>2500000</v>
      </c>
      <c r="K724" s="2634"/>
      <c r="L724" s="2674"/>
      <c r="M724" s="429"/>
      <c r="N724" s="429"/>
      <c r="O724" s="429"/>
      <c r="P724" s="429"/>
      <c r="Q724" s="429"/>
    </row>
    <row r="725" spans="1:17" s="1713" customFormat="1" ht="30" customHeight="1" x14ac:dyDescent="0.2">
      <c r="A725" s="2701"/>
      <c r="B725" s="2690" t="s">
        <v>4101</v>
      </c>
      <c r="C725" s="2660"/>
      <c r="D725" s="2634">
        <f>25000000+10000000+10000000+250000+2500000+1500000+500000</f>
        <v>49750000</v>
      </c>
      <c r="E725" s="2631"/>
      <c r="F725" s="2634"/>
      <c r="G725" s="2634"/>
      <c r="H725" s="2634"/>
      <c r="I725" s="2654"/>
      <c r="J725" s="2634"/>
      <c r="K725" s="2634"/>
      <c r="L725" s="2674" t="s">
        <v>4102</v>
      </c>
      <c r="M725" s="429"/>
      <c r="N725" s="429"/>
      <c r="O725" s="429"/>
      <c r="P725" s="429"/>
      <c r="Q725" s="429"/>
    </row>
    <row r="726" spans="1:17" s="1713" customFormat="1" ht="30" customHeight="1" x14ac:dyDescent="0.2">
      <c r="A726" s="2701"/>
      <c r="B726" s="2690" t="s">
        <v>4104</v>
      </c>
      <c r="C726" s="2660" t="s">
        <v>1746</v>
      </c>
      <c r="D726" s="2634">
        <v>58000000</v>
      </c>
      <c r="E726" s="2631">
        <v>0.05</v>
      </c>
      <c r="F726" s="2634">
        <f>D726*E726</f>
        <v>2900000</v>
      </c>
      <c r="G726" s="2634">
        <v>2900000</v>
      </c>
      <c r="H726" s="2634" t="s">
        <v>4133</v>
      </c>
      <c r="I726" s="2654" t="s">
        <v>4136</v>
      </c>
      <c r="J726" s="2634">
        <f>G726</f>
        <v>2900000</v>
      </c>
      <c r="K726" s="2634">
        <f>F726-J726</f>
        <v>0</v>
      </c>
      <c r="L726" s="2674"/>
      <c r="M726" s="429"/>
      <c r="N726" s="429"/>
      <c r="O726" s="429"/>
      <c r="P726" s="429"/>
      <c r="Q726" s="429"/>
    </row>
    <row r="727" spans="1:17" s="1713" customFormat="1" ht="30" customHeight="1" x14ac:dyDescent="0.2">
      <c r="A727" s="2701"/>
      <c r="B727" s="2690" t="s">
        <v>925</v>
      </c>
      <c r="C727" s="2660"/>
      <c r="D727" s="2634">
        <v>130000000</v>
      </c>
      <c r="E727" s="2631">
        <v>0.05</v>
      </c>
      <c r="F727" s="2634">
        <f>D727*E727</f>
        <v>6500000</v>
      </c>
      <c r="G727" s="2634">
        <v>6500000</v>
      </c>
      <c r="H727" s="2634" t="s">
        <v>4105</v>
      </c>
      <c r="I727" s="2654" t="s">
        <v>4127</v>
      </c>
      <c r="J727" s="2634">
        <f>G727</f>
        <v>6500000</v>
      </c>
      <c r="K727" s="2634">
        <f>F727-J727</f>
        <v>0</v>
      </c>
      <c r="L727" s="2674"/>
      <c r="M727" s="429"/>
      <c r="N727" s="429"/>
      <c r="O727" s="429"/>
      <c r="P727" s="429"/>
      <c r="Q727" s="429"/>
    </row>
    <row r="728" spans="1:17" s="1713" customFormat="1" ht="30" customHeight="1" x14ac:dyDescent="0.2">
      <c r="A728" s="2701"/>
      <c r="B728" s="2690" t="s">
        <v>2435</v>
      </c>
      <c r="C728" s="2660"/>
      <c r="D728" s="2647"/>
      <c r="E728" s="2649"/>
      <c r="F728" s="2647"/>
      <c r="G728" s="2634">
        <v>5000000</v>
      </c>
      <c r="H728" s="2634" t="s">
        <v>4105</v>
      </c>
      <c r="I728" s="2654" t="s">
        <v>4134</v>
      </c>
      <c r="J728" s="2634">
        <f>G728</f>
        <v>5000000</v>
      </c>
      <c r="K728" s="2634"/>
      <c r="L728" s="2674"/>
      <c r="M728" s="429"/>
      <c r="N728" s="429"/>
      <c r="O728" s="429"/>
      <c r="P728" s="429"/>
      <c r="Q728" s="429"/>
    </row>
    <row r="729" spans="1:17" s="1713" customFormat="1" ht="30" customHeight="1" x14ac:dyDescent="0.2">
      <c r="A729" s="2701"/>
      <c r="B729" s="2690" t="s">
        <v>4154</v>
      </c>
      <c r="C729" s="2660"/>
      <c r="D729" s="2647"/>
      <c r="E729" s="2649"/>
      <c r="F729" s="2647"/>
      <c r="G729" s="3478" t="s">
        <v>4155</v>
      </c>
      <c r="H729" s="3479"/>
      <c r="I729" s="3479"/>
      <c r="J729" s="3480"/>
      <c r="K729" s="2634"/>
      <c r="L729" s="2674"/>
      <c r="M729" s="429"/>
      <c r="N729" s="429"/>
      <c r="O729" s="429"/>
      <c r="P729" s="429"/>
      <c r="Q729" s="429"/>
    </row>
    <row r="730" spans="1:17" s="1713" customFormat="1" ht="30" customHeight="1" x14ac:dyDescent="0.2">
      <c r="A730" s="2701"/>
      <c r="B730" s="2690" t="s">
        <v>4165</v>
      </c>
      <c r="C730" s="2660"/>
      <c r="D730" s="2634">
        <v>110000000</v>
      </c>
      <c r="E730" s="2631">
        <v>0.04</v>
      </c>
      <c r="F730" s="2634">
        <f>D730*E730</f>
        <v>4400000</v>
      </c>
      <c r="G730" s="2634">
        <v>4400000</v>
      </c>
      <c r="H730" s="2634" t="s">
        <v>4156</v>
      </c>
      <c r="I730" s="2654" t="s">
        <v>3605</v>
      </c>
      <c r="J730" s="2634">
        <f>G730</f>
        <v>4400000</v>
      </c>
      <c r="K730" s="2634">
        <f>F730-J730</f>
        <v>0</v>
      </c>
      <c r="L730" s="2674" t="s">
        <v>4166</v>
      </c>
      <c r="M730" s="429"/>
      <c r="N730" s="429"/>
      <c r="O730" s="429"/>
      <c r="P730" s="429"/>
      <c r="Q730" s="429"/>
    </row>
    <row r="731" spans="1:17" s="1713" customFormat="1" ht="30" customHeight="1" x14ac:dyDescent="0.2">
      <c r="A731" s="2701"/>
      <c r="B731" s="2690" t="s">
        <v>1543</v>
      </c>
      <c r="C731" s="2660"/>
      <c r="D731" s="2634">
        <v>50000000</v>
      </c>
      <c r="E731" s="2631">
        <v>0.05</v>
      </c>
      <c r="F731" s="2634">
        <f>D731*E731</f>
        <v>2500000</v>
      </c>
      <c r="G731" s="3478" t="s">
        <v>4173</v>
      </c>
      <c r="H731" s="3479"/>
      <c r="I731" s="3479"/>
      <c r="J731" s="3480"/>
      <c r="K731" s="2634"/>
      <c r="L731" s="2674"/>
      <c r="M731" s="429"/>
      <c r="N731" s="429"/>
      <c r="O731" s="429"/>
      <c r="P731" s="429"/>
      <c r="Q731" s="429"/>
    </row>
    <row r="732" spans="1:17" s="1713" customFormat="1" ht="30" customHeight="1" x14ac:dyDescent="0.2">
      <c r="A732" s="3525"/>
      <c r="B732" s="3457" t="s">
        <v>4178</v>
      </c>
      <c r="C732" s="3570"/>
      <c r="D732" s="3325" t="s">
        <v>4501</v>
      </c>
      <c r="E732" s="3340"/>
      <c r="F732" s="3341"/>
      <c r="G732" s="2622">
        <v>14000000</v>
      </c>
      <c r="H732" s="2622" t="s">
        <v>4177</v>
      </c>
      <c r="I732" s="2622" t="s">
        <v>4179</v>
      </c>
      <c r="J732" s="2622">
        <f>G732</f>
        <v>14000000</v>
      </c>
      <c r="K732" s="2634"/>
      <c r="L732" s="2674"/>
      <c r="M732" s="429"/>
      <c r="N732" s="429"/>
      <c r="O732" s="429"/>
      <c r="P732" s="429"/>
      <c r="Q732" s="429"/>
    </row>
    <row r="733" spans="1:17" s="1713" customFormat="1" ht="30" customHeight="1" x14ac:dyDescent="0.2">
      <c r="A733" s="3526"/>
      <c r="B733" s="3459"/>
      <c r="C733" s="3576"/>
      <c r="D733" s="2646">
        <v>21000000</v>
      </c>
      <c r="E733" s="2646"/>
      <c r="F733" s="2646"/>
      <c r="G733" s="2657"/>
      <c r="H733" s="2657"/>
      <c r="I733" s="2359"/>
      <c r="J733" s="2646"/>
      <c r="K733" s="2657"/>
      <c r="L733" s="2350" t="s">
        <v>4362</v>
      </c>
      <c r="M733" s="429"/>
      <c r="N733" s="429"/>
      <c r="O733" s="429"/>
      <c r="P733" s="429"/>
      <c r="Q733" s="429"/>
    </row>
    <row r="734" spans="1:17" s="1713" customFormat="1" ht="30" customHeight="1" x14ac:dyDescent="0.2">
      <c r="A734" s="2681"/>
      <c r="B734" s="2690" t="s">
        <v>4369</v>
      </c>
      <c r="C734" s="2689" t="s">
        <v>4247</v>
      </c>
      <c r="D734" s="2622">
        <v>470000000</v>
      </c>
      <c r="E734" s="2688">
        <f>F734/D734</f>
        <v>5.9574468085106386E-2</v>
      </c>
      <c r="F734" s="2622">
        <v>28000000</v>
      </c>
      <c r="G734" s="3325" t="s">
        <v>4502</v>
      </c>
      <c r="H734" s="3340"/>
      <c r="I734" s="3340"/>
      <c r="J734" s="3341"/>
      <c r="K734" s="2622"/>
      <c r="L734" s="2694" t="s">
        <v>4370</v>
      </c>
      <c r="M734" s="429"/>
      <c r="N734" s="429"/>
      <c r="O734" s="429"/>
      <c r="P734" s="429"/>
      <c r="Q734" s="429"/>
    </row>
    <row r="735" spans="1:17" s="1713" customFormat="1" ht="30" customHeight="1" x14ac:dyDescent="0.2">
      <c r="A735" s="3525"/>
      <c r="B735" s="3457" t="s">
        <v>4185</v>
      </c>
      <c r="C735" s="3570"/>
      <c r="D735" s="3521" t="s">
        <v>4501</v>
      </c>
      <c r="E735" s="3613"/>
      <c r="F735" s="3522"/>
      <c r="G735" s="2634">
        <v>50000000</v>
      </c>
      <c r="H735" s="2634" t="s">
        <v>4184</v>
      </c>
      <c r="I735" s="2654" t="s">
        <v>4186</v>
      </c>
      <c r="J735" s="3442">
        <f>G735+G736</f>
        <v>87000000</v>
      </c>
      <c r="K735" s="3442">
        <f>87000000-J735</f>
        <v>0</v>
      </c>
      <c r="L735" s="3625"/>
      <c r="M735" s="429"/>
      <c r="N735" s="429"/>
      <c r="O735" s="429"/>
      <c r="P735" s="429"/>
      <c r="Q735" s="429"/>
    </row>
    <row r="736" spans="1:17" s="1713" customFormat="1" ht="30" customHeight="1" x14ac:dyDescent="0.2">
      <c r="A736" s="3526"/>
      <c r="B736" s="3458"/>
      <c r="C736" s="3571"/>
      <c r="D736" s="3523"/>
      <c r="E736" s="3614"/>
      <c r="F736" s="3524"/>
      <c r="G736" s="2634">
        <v>37000000</v>
      </c>
      <c r="H736" s="2634" t="s">
        <v>4201</v>
      </c>
      <c r="I736" s="2654" t="s">
        <v>4186</v>
      </c>
      <c r="J736" s="3443"/>
      <c r="K736" s="3443"/>
      <c r="L736" s="3626"/>
      <c r="M736" s="429"/>
      <c r="N736" s="429"/>
      <c r="O736" s="429"/>
      <c r="P736" s="429"/>
      <c r="Q736" s="429"/>
    </row>
    <row r="737" spans="1:17" s="1713" customFormat="1" ht="30" customHeight="1" x14ac:dyDescent="0.2">
      <c r="A737" s="3525"/>
      <c r="B737" s="3457" t="s">
        <v>4187</v>
      </c>
      <c r="C737" s="3570" t="s">
        <v>2778</v>
      </c>
      <c r="D737" s="3325" t="s">
        <v>4501</v>
      </c>
      <c r="E737" s="3340"/>
      <c r="F737" s="3341"/>
      <c r="G737" s="2634">
        <v>3000000</v>
      </c>
      <c r="H737" s="2634" t="s">
        <v>4184</v>
      </c>
      <c r="I737" s="2654" t="s">
        <v>4188</v>
      </c>
      <c r="J737" s="2634">
        <f>G737</f>
        <v>3000000</v>
      </c>
      <c r="K737" s="2634"/>
      <c r="L737" s="2674" t="s">
        <v>4363</v>
      </c>
      <c r="M737" s="429"/>
      <c r="N737" s="429"/>
      <c r="O737" s="429"/>
      <c r="P737" s="429"/>
      <c r="Q737" s="429"/>
    </row>
    <row r="738" spans="1:17" s="1713" customFormat="1" ht="30" customHeight="1" x14ac:dyDescent="0.2">
      <c r="A738" s="3643"/>
      <c r="B738" s="3459"/>
      <c r="C738" s="3571"/>
      <c r="D738" s="2622">
        <v>47000000</v>
      </c>
      <c r="E738" s="3078">
        <v>0.05</v>
      </c>
      <c r="F738" s="2622">
        <f>D738*E738</f>
        <v>2350000</v>
      </c>
      <c r="G738" s="2634"/>
      <c r="H738" s="2634"/>
      <c r="I738" s="2654"/>
      <c r="J738" s="2634"/>
      <c r="K738" s="2634"/>
      <c r="L738" s="2674" t="s">
        <v>4189</v>
      </c>
      <c r="M738" s="429"/>
      <c r="N738" s="429"/>
      <c r="O738" s="429"/>
      <c r="P738" s="429"/>
      <c r="Q738" s="429"/>
    </row>
    <row r="739" spans="1:17" s="1713" customFormat="1" ht="30" customHeight="1" x14ac:dyDescent="0.2">
      <c r="A739" s="3526"/>
      <c r="B739" s="3458"/>
      <c r="C739" s="3075" t="s">
        <v>1019</v>
      </c>
      <c r="D739" s="3076">
        <v>90000000</v>
      </c>
      <c r="E739" s="3078">
        <v>0.05</v>
      </c>
      <c r="F739" s="3077">
        <f>D739*E739</f>
        <v>4500000</v>
      </c>
      <c r="G739" s="3073"/>
      <c r="H739" s="3073"/>
      <c r="I739" s="3076"/>
      <c r="J739" s="3073"/>
      <c r="K739" s="3073"/>
      <c r="L739" s="3080" t="s">
        <v>4794</v>
      </c>
      <c r="M739" s="429"/>
      <c r="N739" s="429"/>
      <c r="O739" s="429"/>
      <c r="P739" s="429"/>
      <c r="Q739" s="429"/>
    </row>
    <row r="740" spans="1:17" s="1713" customFormat="1" ht="30" customHeight="1" x14ac:dyDescent="0.2">
      <c r="A740" s="2701"/>
      <c r="B740" s="2690" t="s">
        <v>4221</v>
      </c>
      <c r="C740" s="2660" t="s">
        <v>1342</v>
      </c>
      <c r="D740" s="2654">
        <v>100000000</v>
      </c>
      <c r="E740" s="2688">
        <v>0.05</v>
      </c>
      <c r="F740" s="2655">
        <f>D740*E740</f>
        <v>5000000</v>
      </c>
      <c r="G740" s="2634">
        <v>5000000</v>
      </c>
      <c r="H740" s="2634" t="s">
        <v>4216</v>
      </c>
      <c r="I740" s="2654" t="s">
        <v>4222</v>
      </c>
      <c r="J740" s="2634">
        <f>G740</f>
        <v>5000000</v>
      </c>
      <c r="K740" s="2634">
        <f>F740-J740</f>
        <v>0</v>
      </c>
      <c r="L740" s="2674"/>
      <c r="M740" s="429"/>
      <c r="N740" s="429"/>
      <c r="O740" s="429"/>
      <c r="P740" s="429"/>
      <c r="Q740" s="429"/>
    </row>
    <row r="741" spans="1:17" s="1713" customFormat="1" ht="30" customHeight="1" x14ac:dyDescent="0.2">
      <c r="A741" s="2701"/>
      <c r="B741" s="2690" t="s">
        <v>4225</v>
      </c>
      <c r="C741" s="2660"/>
      <c r="D741" s="496"/>
      <c r="E741" s="2649"/>
      <c r="F741" s="643"/>
      <c r="G741" s="2634">
        <v>2000000</v>
      </c>
      <c r="H741" s="2634" t="s">
        <v>4216</v>
      </c>
      <c r="I741" s="990">
        <v>5423044873</v>
      </c>
      <c r="J741" s="2634">
        <f>G741</f>
        <v>2000000</v>
      </c>
      <c r="K741" s="2647"/>
      <c r="L741" s="2674"/>
      <c r="M741" s="429"/>
      <c r="N741" s="429"/>
      <c r="O741" s="429"/>
      <c r="P741" s="429"/>
      <c r="Q741" s="429"/>
    </row>
    <row r="742" spans="1:17" s="1713" customFormat="1" ht="30" customHeight="1" x14ac:dyDescent="0.2">
      <c r="A742" s="2701"/>
      <c r="B742" s="2690" t="s">
        <v>4227</v>
      </c>
      <c r="C742" s="2660"/>
      <c r="D742" s="496"/>
      <c r="E742" s="2649"/>
      <c r="F742" s="643"/>
      <c r="G742" s="2634">
        <v>1100000</v>
      </c>
      <c r="H742" s="2634" t="s">
        <v>3160</v>
      </c>
      <c r="I742" s="2654" t="s">
        <v>4228</v>
      </c>
      <c r="J742" s="2634">
        <f>G742</f>
        <v>1100000</v>
      </c>
      <c r="K742" s="2647"/>
      <c r="L742" s="2674"/>
      <c r="M742" s="429"/>
      <c r="N742" s="429"/>
      <c r="O742" s="429"/>
      <c r="P742" s="429"/>
      <c r="Q742" s="429"/>
    </row>
    <row r="743" spans="1:17" s="1713" customFormat="1" ht="30" customHeight="1" x14ac:dyDescent="0.2">
      <c r="A743" s="2701"/>
      <c r="B743" s="2690" t="s">
        <v>4242</v>
      </c>
      <c r="C743" s="2660" t="s">
        <v>1909</v>
      </c>
      <c r="D743" s="2654">
        <v>11000000</v>
      </c>
      <c r="E743" s="2631">
        <v>0.05</v>
      </c>
      <c r="F743" s="2655">
        <f>D743*E743</f>
        <v>550000</v>
      </c>
      <c r="G743" s="2634"/>
      <c r="H743" s="2634"/>
      <c r="I743" s="2654"/>
      <c r="J743" s="2634"/>
      <c r="K743" s="2634"/>
      <c r="L743" s="2674"/>
      <c r="M743" s="429"/>
      <c r="N743" s="429"/>
      <c r="O743" s="429"/>
      <c r="P743" s="429"/>
      <c r="Q743" s="429"/>
    </row>
    <row r="744" spans="1:17" s="1713" customFormat="1" ht="30" customHeight="1" x14ac:dyDescent="0.2">
      <c r="A744" s="2701"/>
      <c r="B744" s="2690" t="s">
        <v>4256</v>
      </c>
      <c r="C744" s="2660" t="s">
        <v>1215</v>
      </c>
      <c r="D744" s="2654">
        <v>50000000</v>
      </c>
      <c r="E744" s="2631">
        <v>0.05</v>
      </c>
      <c r="F744" s="2655">
        <f>D744*E744</f>
        <v>2500000</v>
      </c>
      <c r="G744" s="2634"/>
      <c r="H744" s="2634"/>
      <c r="I744" s="2654"/>
      <c r="J744" s="2634"/>
      <c r="K744" s="2634"/>
      <c r="L744" s="2674"/>
      <c r="M744" s="429"/>
      <c r="N744" s="429"/>
      <c r="O744" s="429"/>
      <c r="P744" s="429"/>
      <c r="Q744" s="429"/>
    </row>
    <row r="745" spans="1:17" s="1713" customFormat="1" ht="30" customHeight="1" x14ac:dyDescent="0.2">
      <c r="A745" s="2701"/>
      <c r="B745" s="2690" t="s">
        <v>4257</v>
      </c>
      <c r="C745" s="2660"/>
      <c r="D745" s="2654">
        <v>5000000</v>
      </c>
      <c r="E745" s="2631"/>
      <c r="F745" s="2655"/>
      <c r="G745" s="2634"/>
      <c r="H745" s="2634"/>
      <c r="I745" s="2654"/>
      <c r="J745" s="2634"/>
      <c r="K745" s="2634"/>
      <c r="L745" s="2674"/>
      <c r="M745" s="429"/>
      <c r="N745" s="429"/>
      <c r="O745" s="429"/>
      <c r="P745" s="429"/>
      <c r="Q745" s="429"/>
    </row>
    <row r="746" spans="1:17" s="1713" customFormat="1" ht="30" customHeight="1" x14ac:dyDescent="0.2">
      <c r="A746" s="2701"/>
      <c r="B746" s="2690" t="s">
        <v>4258</v>
      </c>
      <c r="C746" s="2660" t="s">
        <v>1215</v>
      </c>
      <c r="D746" s="2654">
        <v>70000000</v>
      </c>
      <c r="E746" s="2631">
        <v>0.06</v>
      </c>
      <c r="F746" s="2655">
        <f>D746*E746</f>
        <v>4200000</v>
      </c>
      <c r="G746" s="2634"/>
      <c r="H746" s="2634"/>
      <c r="I746" s="2654"/>
      <c r="J746" s="2634"/>
      <c r="K746" s="2634"/>
      <c r="L746" s="2674"/>
      <c r="M746" s="429"/>
      <c r="N746" s="429"/>
      <c r="O746" s="429"/>
      <c r="P746" s="429"/>
      <c r="Q746" s="429"/>
    </row>
    <row r="747" spans="1:17" s="1713" customFormat="1" ht="30" customHeight="1" x14ac:dyDescent="0.2">
      <c r="A747" s="2701"/>
      <c r="B747" s="2690" t="s">
        <v>4273</v>
      </c>
      <c r="C747" s="2660"/>
      <c r="D747" s="2654">
        <v>45000000</v>
      </c>
      <c r="E747" s="2631">
        <v>0.05</v>
      </c>
      <c r="F747" s="2655">
        <f>D747*E747</f>
        <v>2250000</v>
      </c>
      <c r="G747" s="3478" t="s">
        <v>4274</v>
      </c>
      <c r="H747" s="3479"/>
      <c r="I747" s="3479"/>
      <c r="J747" s="3480"/>
      <c r="K747" s="2634"/>
      <c r="L747" s="2674"/>
      <c r="M747" s="429"/>
      <c r="N747" s="429"/>
      <c r="O747" s="429"/>
      <c r="P747" s="429"/>
      <c r="Q747" s="429"/>
    </row>
    <row r="748" spans="1:17" s="1713" customFormat="1" ht="30" customHeight="1" x14ac:dyDescent="0.2">
      <c r="A748" s="2701"/>
      <c r="B748" s="2690" t="s">
        <v>4385</v>
      </c>
      <c r="C748" s="2660"/>
      <c r="D748" s="2654">
        <v>60000000</v>
      </c>
      <c r="E748" s="2631"/>
      <c r="F748" s="2655"/>
      <c r="G748" s="2634"/>
      <c r="H748" s="2634"/>
      <c r="I748" s="2654"/>
      <c r="J748" s="2634"/>
      <c r="K748" s="2634"/>
      <c r="L748" s="2674" t="s">
        <v>4275</v>
      </c>
      <c r="M748" s="429"/>
      <c r="N748" s="429"/>
      <c r="O748" s="429"/>
      <c r="P748" s="429"/>
      <c r="Q748" s="429"/>
    </row>
    <row r="749" spans="1:17" s="1713" customFormat="1" ht="30" customHeight="1" x14ac:dyDescent="0.2">
      <c r="A749" s="2701"/>
      <c r="B749" s="2690" t="s">
        <v>4386</v>
      </c>
      <c r="C749" s="2660"/>
      <c r="D749" s="2654">
        <v>10000000</v>
      </c>
      <c r="E749" s="2631"/>
      <c r="F749" s="2655"/>
      <c r="G749" s="2634"/>
      <c r="H749" s="2634"/>
      <c r="I749" s="2654"/>
      <c r="J749" s="2634"/>
      <c r="K749" s="2634"/>
      <c r="L749" s="2674" t="s">
        <v>4387</v>
      </c>
      <c r="M749" s="429"/>
      <c r="N749" s="429"/>
      <c r="O749" s="429"/>
      <c r="P749" s="429"/>
      <c r="Q749" s="429"/>
    </row>
    <row r="750" spans="1:17" s="1713" customFormat="1" ht="30" customHeight="1" x14ac:dyDescent="0.2">
      <c r="A750" s="2701"/>
      <c r="B750" s="2690" t="s">
        <v>4281</v>
      </c>
      <c r="C750" s="2660"/>
      <c r="D750" s="2654">
        <v>10000000</v>
      </c>
      <c r="E750" s="2631"/>
      <c r="F750" s="2655"/>
      <c r="G750" s="2634"/>
      <c r="H750" s="2634"/>
      <c r="I750" s="2654"/>
      <c r="J750" s="2634"/>
      <c r="K750" s="2634"/>
      <c r="L750" s="3478" t="s">
        <v>4282</v>
      </c>
      <c r="M750" s="3479"/>
      <c r="N750" s="3479"/>
      <c r="O750" s="3480"/>
      <c r="P750" s="429"/>
      <c r="Q750" s="429"/>
    </row>
    <row r="751" spans="1:17" s="1713" customFormat="1" ht="30" customHeight="1" x14ac:dyDescent="0.2">
      <c r="A751" s="2701"/>
      <c r="B751" s="2690" t="s">
        <v>4284</v>
      </c>
      <c r="C751" s="2660"/>
      <c r="D751" s="2654">
        <v>200000000</v>
      </c>
      <c r="E751" s="2631">
        <v>7.0000000000000007E-2</v>
      </c>
      <c r="F751" s="2655">
        <f>D751*E751</f>
        <v>14000000.000000002</v>
      </c>
      <c r="G751" s="2654"/>
      <c r="H751" s="2631"/>
      <c r="I751" s="2655"/>
      <c r="J751" s="2654"/>
      <c r="K751" s="2631"/>
      <c r="L751" s="3478" t="s">
        <v>4285</v>
      </c>
      <c r="M751" s="3479"/>
      <c r="N751" s="3479"/>
      <c r="O751" s="3480"/>
      <c r="P751" s="429"/>
      <c r="Q751" s="429"/>
    </row>
    <row r="752" spans="1:17" s="1713" customFormat="1" ht="30" customHeight="1" x14ac:dyDescent="0.2">
      <c r="A752" s="2701"/>
      <c r="B752" s="2719" t="s">
        <v>4297</v>
      </c>
      <c r="C752" s="2660"/>
      <c r="D752" s="496"/>
      <c r="E752" s="2649"/>
      <c r="F752" s="643"/>
      <c r="G752" s="2634">
        <v>2000000</v>
      </c>
      <c r="H752" s="2634" t="s">
        <v>4286</v>
      </c>
      <c r="I752" s="2654" t="s">
        <v>4298</v>
      </c>
      <c r="J752" s="2634">
        <f>G752</f>
        <v>2000000</v>
      </c>
      <c r="K752" s="2634"/>
      <c r="L752" s="2674"/>
      <c r="M752" s="2702"/>
      <c r="N752" s="2702"/>
      <c r="O752" s="2702"/>
      <c r="P752" s="429"/>
      <c r="Q752" s="429"/>
    </row>
    <row r="753" spans="1:17" s="1713" customFormat="1" ht="30" customHeight="1" x14ac:dyDescent="0.2">
      <c r="A753" s="2701"/>
      <c r="B753" s="2719" t="s">
        <v>4299</v>
      </c>
      <c r="C753" s="2660"/>
      <c r="D753" s="496"/>
      <c r="E753" s="2649"/>
      <c r="F753" s="643"/>
      <c r="G753" s="2634">
        <v>10000000</v>
      </c>
      <c r="H753" s="2634" t="s">
        <v>4286</v>
      </c>
      <c r="I753" s="2654" t="s">
        <v>4300</v>
      </c>
      <c r="J753" s="2634">
        <f>G753</f>
        <v>10000000</v>
      </c>
      <c r="K753" s="2634"/>
      <c r="L753" s="2674"/>
      <c r="M753" s="2702"/>
      <c r="N753" s="2702"/>
      <c r="O753" s="2702"/>
      <c r="P753" s="429"/>
      <c r="Q753" s="429"/>
    </row>
    <row r="754" spans="1:17" s="1713" customFormat="1" ht="30" customHeight="1" x14ac:dyDescent="0.2">
      <c r="A754" s="2701"/>
      <c r="B754" s="2719" t="s">
        <v>4302</v>
      </c>
      <c r="C754" s="2660"/>
      <c r="D754" s="496"/>
      <c r="E754" s="2649"/>
      <c r="F754" s="643"/>
      <c r="G754" s="2634">
        <v>40000</v>
      </c>
      <c r="H754" s="2634" t="s">
        <v>4301</v>
      </c>
      <c r="I754" s="2654" t="s">
        <v>4303</v>
      </c>
      <c r="J754" s="2634">
        <f>G754</f>
        <v>40000</v>
      </c>
      <c r="K754" s="2634"/>
      <c r="L754" s="2674"/>
      <c r="M754" s="2702"/>
      <c r="N754" s="2702"/>
      <c r="O754" s="2702"/>
      <c r="P754" s="429"/>
      <c r="Q754" s="429"/>
    </row>
    <row r="755" spans="1:17" s="1713" customFormat="1" ht="30" customHeight="1" x14ac:dyDescent="0.2">
      <c r="A755" s="3525"/>
      <c r="B755" s="3457" t="s">
        <v>4304</v>
      </c>
      <c r="C755" s="3570"/>
      <c r="D755" s="3442">
        <v>70000000</v>
      </c>
      <c r="E755" s="3444">
        <v>0.05</v>
      </c>
      <c r="F755" s="3442">
        <f>D755*E755</f>
        <v>3500000</v>
      </c>
      <c r="G755" s="3442">
        <v>3500000</v>
      </c>
      <c r="H755" s="3442" t="s">
        <v>4301</v>
      </c>
      <c r="I755" s="3442" t="s">
        <v>4305</v>
      </c>
      <c r="J755" s="3442">
        <f>G755</f>
        <v>3500000</v>
      </c>
      <c r="K755" s="3442">
        <f>F755-J755</f>
        <v>0</v>
      </c>
      <c r="L755" s="2671" t="s">
        <v>4351</v>
      </c>
      <c r="M755" s="2702"/>
      <c r="N755" s="2702"/>
      <c r="O755" s="2702"/>
      <c r="P755" s="429"/>
      <c r="Q755" s="429"/>
    </row>
    <row r="756" spans="1:17" s="1713" customFormat="1" ht="30" customHeight="1" x14ac:dyDescent="0.2">
      <c r="A756" s="3643"/>
      <c r="B756" s="3459"/>
      <c r="C756" s="3571"/>
      <c r="D756" s="3443"/>
      <c r="E756" s="3445"/>
      <c r="F756" s="3443"/>
      <c r="G756" s="3443"/>
      <c r="H756" s="3443"/>
      <c r="I756" s="3443"/>
      <c r="J756" s="3443"/>
      <c r="K756" s="3443"/>
      <c r="L756" s="2674" t="s">
        <v>4352</v>
      </c>
      <c r="M756" s="2702"/>
      <c r="N756" s="2702"/>
      <c r="O756" s="2702"/>
      <c r="P756" s="429"/>
      <c r="Q756" s="429"/>
    </row>
    <row r="757" spans="1:17" s="1713" customFormat="1" ht="30" customHeight="1" x14ac:dyDescent="0.2">
      <c r="A757" s="3526"/>
      <c r="B757" s="3458"/>
      <c r="C757" s="2661"/>
      <c r="D757" s="2633">
        <v>10000000</v>
      </c>
      <c r="E757" s="2630">
        <v>0.05</v>
      </c>
      <c r="F757" s="2633">
        <f>D757*E757</f>
        <v>500000</v>
      </c>
      <c r="G757" s="2634"/>
      <c r="H757" s="2634"/>
      <c r="I757" s="2654"/>
      <c r="J757" s="2633"/>
      <c r="K757" s="2633"/>
      <c r="L757" s="2695" t="s">
        <v>4415</v>
      </c>
      <c r="M757" s="2702"/>
      <c r="N757" s="2702"/>
      <c r="O757" s="2702"/>
      <c r="P757" s="429"/>
      <c r="Q757" s="429"/>
    </row>
    <row r="758" spans="1:17" s="1713" customFormat="1" ht="30" customHeight="1" x14ac:dyDescent="0.2">
      <c r="A758" s="3525"/>
      <c r="B758" s="3513" t="s">
        <v>4308</v>
      </c>
      <c r="C758" s="3570"/>
      <c r="D758" s="3505"/>
      <c r="E758" s="3507"/>
      <c r="F758" s="3505"/>
      <c r="G758" s="2634">
        <v>15000000</v>
      </c>
      <c r="H758" s="2634" t="s">
        <v>4306</v>
      </c>
      <c r="I758" s="2654" t="s">
        <v>4309</v>
      </c>
      <c r="J758" s="3442">
        <f>G758+G759</f>
        <v>65000000</v>
      </c>
      <c r="K758" s="3442"/>
      <c r="L758" s="2673"/>
      <c r="M758" s="2702"/>
      <c r="N758" s="2702"/>
      <c r="O758" s="2702"/>
      <c r="P758" s="429"/>
      <c r="Q758" s="429"/>
    </row>
    <row r="759" spans="1:17" s="1713" customFormat="1" ht="30" customHeight="1" x14ac:dyDescent="0.2">
      <c r="A759" s="3526"/>
      <c r="B759" s="3514"/>
      <c r="C759" s="3571"/>
      <c r="D759" s="3506"/>
      <c r="E759" s="3508"/>
      <c r="F759" s="3506"/>
      <c r="G759" s="2634">
        <v>50000000</v>
      </c>
      <c r="H759" s="2634" t="s">
        <v>4306</v>
      </c>
      <c r="I759" s="2654" t="s">
        <v>4309</v>
      </c>
      <c r="J759" s="3443"/>
      <c r="K759" s="3443"/>
      <c r="L759" s="2674"/>
      <c r="M759" s="2702"/>
      <c r="N759" s="2702"/>
      <c r="O759" s="2702"/>
      <c r="P759" s="429"/>
      <c r="Q759" s="429"/>
    </row>
    <row r="760" spans="1:17" s="1713" customFormat="1" ht="30" customHeight="1" x14ac:dyDescent="0.2">
      <c r="A760" s="2701"/>
      <c r="B760" s="2690" t="s">
        <v>4328</v>
      </c>
      <c r="C760" s="2689"/>
      <c r="D760" s="2622">
        <v>120000000</v>
      </c>
      <c r="E760" s="2688"/>
      <c r="F760" s="2622"/>
      <c r="G760" s="2634"/>
      <c r="H760" s="2634"/>
      <c r="I760" s="2654"/>
      <c r="J760" s="2634"/>
      <c r="K760" s="2634"/>
      <c r="L760" s="2674" t="s">
        <v>4329</v>
      </c>
      <c r="M760" s="2702"/>
      <c r="N760" s="2702"/>
      <c r="O760" s="2702"/>
      <c r="P760" s="429"/>
      <c r="Q760" s="429"/>
    </row>
    <row r="761" spans="1:17" s="1713" customFormat="1" ht="30" customHeight="1" x14ac:dyDescent="0.2">
      <c r="A761" s="2701"/>
      <c r="B761" s="2690" t="s">
        <v>4339</v>
      </c>
      <c r="C761" s="2689"/>
      <c r="D761" s="2622">
        <v>100000000</v>
      </c>
      <c r="E761" s="2688"/>
      <c r="F761" s="2622"/>
      <c r="G761" s="2634"/>
      <c r="H761" s="2634"/>
      <c r="I761" s="2654"/>
      <c r="J761" s="2634"/>
      <c r="K761" s="2634"/>
      <c r="L761" s="2674" t="s">
        <v>4340</v>
      </c>
      <c r="M761" s="2702"/>
      <c r="N761" s="2702"/>
      <c r="O761" s="2702"/>
      <c r="P761" s="429"/>
      <c r="Q761" s="429"/>
    </row>
    <row r="762" spans="1:17" s="1713" customFormat="1" ht="30" customHeight="1" x14ac:dyDescent="0.2">
      <c r="A762" s="2701"/>
      <c r="B762" s="2690" t="s">
        <v>4356</v>
      </c>
      <c r="C762" s="2689"/>
      <c r="D762" s="2622">
        <v>100000000</v>
      </c>
      <c r="E762" s="2688"/>
      <c r="F762" s="2622"/>
      <c r="G762" s="2634"/>
      <c r="H762" s="2634"/>
      <c r="I762" s="2654"/>
      <c r="J762" s="2634"/>
      <c r="K762" s="2634"/>
      <c r="L762" s="2348" t="s">
        <v>4357</v>
      </c>
      <c r="M762" s="2702"/>
      <c r="N762" s="2702"/>
      <c r="O762" s="2702"/>
      <c r="P762" s="429"/>
      <c r="Q762" s="429"/>
    </row>
    <row r="763" spans="1:17" s="1713" customFormat="1" ht="30" customHeight="1" x14ac:dyDescent="0.2">
      <c r="A763" s="3005"/>
      <c r="B763" s="3000" t="s">
        <v>232</v>
      </c>
      <c r="C763" s="3001"/>
      <c r="D763" s="2994"/>
      <c r="E763" s="3011"/>
      <c r="F763" s="2994"/>
      <c r="G763" s="2988">
        <v>3000000</v>
      </c>
      <c r="H763" s="2988" t="s">
        <v>4270</v>
      </c>
      <c r="I763" s="2995" t="s">
        <v>1093</v>
      </c>
      <c r="J763" s="2988">
        <f>G763</f>
        <v>3000000</v>
      </c>
      <c r="K763" s="2992"/>
      <c r="L763" s="2348"/>
      <c r="M763" s="3006"/>
      <c r="N763" s="3006"/>
      <c r="O763" s="3006"/>
      <c r="P763" s="429"/>
      <c r="Q763" s="429"/>
    </row>
    <row r="764" spans="1:17" s="1713" customFormat="1" ht="30" customHeight="1" x14ac:dyDescent="0.2">
      <c r="A764" s="3005"/>
      <c r="B764" s="3000" t="s">
        <v>4742</v>
      </c>
      <c r="C764" s="3001"/>
      <c r="D764" s="2987"/>
      <c r="E764" s="2998"/>
      <c r="F764" s="2987"/>
      <c r="G764" s="2987">
        <v>10000000</v>
      </c>
      <c r="H764" s="2988" t="s">
        <v>4270</v>
      </c>
      <c r="I764" s="2995" t="s">
        <v>4743</v>
      </c>
      <c r="J764" s="2988">
        <f>G764</f>
        <v>10000000</v>
      </c>
      <c r="K764" s="2988">
        <f>F764-J764</f>
        <v>-10000000</v>
      </c>
      <c r="L764" s="2348"/>
      <c r="M764" s="3006"/>
      <c r="N764" s="3006"/>
      <c r="O764" s="3006"/>
      <c r="P764" s="429"/>
      <c r="Q764" s="429"/>
    </row>
    <row r="765" spans="1:17" s="1713" customFormat="1" ht="30" customHeight="1" x14ac:dyDescent="0.2">
      <c r="A765" s="3141"/>
      <c r="B765" s="3139" t="s">
        <v>4819</v>
      </c>
      <c r="C765" s="3138" t="s">
        <v>1019</v>
      </c>
      <c r="D765" s="3119">
        <v>10000000</v>
      </c>
      <c r="E765" s="3137">
        <v>0.05</v>
      </c>
      <c r="F765" s="3119">
        <f>D765*E765</f>
        <v>500000</v>
      </c>
      <c r="G765" s="3119"/>
      <c r="H765" s="3119"/>
      <c r="I765" s="3119"/>
      <c r="J765" s="3119"/>
      <c r="K765" s="3120"/>
      <c r="L765" s="2348" t="s">
        <v>4820</v>
      </c>
      <c r="M765" s="3142"/>
      <c r="N765" s="3142"/>
      <c r="O765" s="3142"/>
      <c r="P765" s="429"/>
      <c r="Q765" s="429"/>
    </row>
    <row r="766" spans="1:17" s="1713" customFormat="1" ht="30" customHeight="1" x14ac:dyDescent="0.2">
      <c r="A766" s="3141"/>
      <c r="B766" s="3139"/>
      <c r="C766" s="3138"/>
      <c r="D766" s="3119"/>
      <c r="E766" s="3137"/>
      <c r="F766" s="3119"/>
      <c r="G766" s="3119"/>
      <c r="H766" s="3119"/>
      <c r="I766" s="3119"/>
      <c r="J766" s="3119"/>
      <c r="K766" s="3120"/>
      <c r="L766" s="2348"/>
      <c r="M766" s="3142"/>
      <c r="N766" s="3142"/>
      <c r="O766" s="3142"/>
      <c r="P766" s="429"/>
      <c r="Q766" s="429"/>
    </row>
    <row r="767" spans="1:17" ht="30" customHeight="1" x14ac:dyDescent="0.2">
      <c r="A767" s="3833" t="s">
        <v>4426</v>
      </c>
      <c r="B767" s="3834"/>
      <c r="C767" s="1084"/>
      <c r="D767" s="311">
        <v>110561703000</v>
      </c>
      <c r="E767" s="2631"/>
      <c r="F767" s="2634"/>
      <c r="G767" s="2634"/>
      <c r="H767" s="2634"/>
      <c r="I767" s="24"/>
      <c r="J767" s="2634"/>
      <c r="K767" s="2634"/>
      <c r="L767" s="2627"/>
    </row>
  </sheetData>
  <mergeCells count="1044">
    <mergeCell ref="G596:J596"/>
    <mergeCell ref="C595:C596"/>
    <mergeCell ref="B595:B596"/>
    <mergeCell ref="A595:A596"/>
    <mergeCell ref="G431:J431"/>
    <mergeCell ref="G432:J432"/>
    <mergeCell ref="G433:J433"/>
    <mergeCell ref="G434:J434"/>
    <mergeCell ref="C429:C434"/>
    <mergeCell ref="B429:B434"/>
    <mergeCell ref="A429:A434"/>
    <mergeCell ref="J210:J213"/>
    <mergeCell ref="K210:K213"/>
    <mergeCell ref="G214:K214"/>
    <mergeCell ref="G29:J29"/>
    <mergeCell ref="G30:J30"/>
    <mergeCell ref="G32:J32"/>
    <mergeCell ref="G33:G34"/>
    <mergeCell ref="H33:H34"/>
    <mergeCell ref="I33:I34"/>
    <mergeCell ref="J33:J34"/>
    <mergeCell ref="K33:K34"/>
    <mergeCell ref="C29:C34"/>
    <mergeCell ref="B29:B34"/>
    <mergeCell ref="A29:A34"/>
    <mergeCell ref="D30:D31"/>
    <mergeCell ref="E30:E31"/>
    <mergeCell ref="F30:F31"/>
    <mergeCell ref="G31:J31"/>
    <mergeCell ref="E254:E255"/>
    <mergeCell ref="F254:F255"/>
    <mergeCell ref="A142:A143"/>
    <mergeCell ref="B142:B143"/>
    <mergeCell ref="C142:C143"/>
    <mergeCell ref="I137:I138"/>
    <mergeCell ref="J137:J138"/>
    <mergeCell ref="G71:K71"/>
    <mergeCell ref="A74:A75"/>
    <mergeCell ref="K56:K57"/>
    <mergeCell ref="J77:J78"/>
    <mergeCell ref="K77:K78"/>
    <mergeCell ref="G90:J91"/>
    <mergeCell ref="K90:K91"/>
    <mergeCell ref="J111:J112"/>
    <mergeCell ref="K111:K112"/>
    <mergeCell ref="A128:A129"/>
    <mergeCell ref="B128:B129"/>
    <mergeCell ref="C128:C129"/>
    <mergeCell ref="D128:D129"/>
    <mergeCell ref="E128:E129"/>
    <mergeCell ref="A137:A138"/>
    <mergeCell ref="B137:B138"/>
    <mergeCell ref="C137:C138"/>
    <mergeCell ref="G137:G138"/>
    <mergeCell ref="H137:H138"/>
    <mergeCell ref="K137:K138"/>
    <mergeCell ref="A139:A141"/>
    <mergeCell ref="B139:B141"/>
    <mergeCell ref="C140:C141"/>
    <mergeCell ref="G140:G141"/>
    <mergeCell ref="H140:H141"/>
    <mergeCell ref="I140:I141"/>
    <mergeCell ref="J140:J141"/>
    <mergeCell ref="K140:K141"/>
    <mergeCell ref="K12:K13"/>
    <mergeCell ref="H22:H23"/>
    <mergeCell ref="I22:I23"/>
    <mergeCell ref="J22:J23"/>
    <mergeCell ref="G53:G54"/>
    <mergeCell ref="H53:H54"/>
    <mergeCell ref="I53:I54"/>
    <mergeCell ref="J53:J54"/>
    <mergeCell ref="K53:K54"/>
    <mergeCell ref="D70:F70"/>
    <mergeCell ref="A71:A72"/>
    <mergeCell ref="B71:B72"/>
    <mergeCell ref="C71:C72"/>
    <mergeCell ref="D71:D72"/>
    <mergeCell ref="E71:E72"/>
    <mergeCell ref="F71:F72"/>
    <mergeCell ref="L12:L13"/>
    <mergeCell ref="A15:A16"/>
    <mergeCell ref="B15:B16"/>
    <mergeCell ref="C15:C16"/>
    <mergeCell ref="K15:K16"/>
    <mergeCell ref="A12:A13"/>
    <mergeCell ref="B12:B13"/>
    <mergeCell ref="G12:G13"/>
    <mergeCell ref="H12:H13"/>
    <mergeCell ref="I12:I13"/>
    <mergeCell ref="J12:J13"/>
    <mergeCell ref="L15:L16"/>
    <mergeCell ref="G15:J16"/>
    <mergeCell ref="B37:B38"/>
    <mergeCell ref="A41:A43"/>
    <mergeCell ref="B41:B43"/>
    <mergeCell ref="K22:K23"/>
    <mergeCell ref="A35:A36"/>
    <mergeCell ref="B35:B36"/>
    <mergeCell ref="C35:C36"/>
    <mergeCell ref="D35:D36"/>
    <mergeCell ref="E35:E36"/>
    <mergeCell ref="F35:F36"/>
    <mergeCell ref="A22:A23"/>
    <mergeCell ref="B22:B23"/>
    <mergeCell ref="C22:C23"/>
    <mergeCell ref="E22:E23"/>
    <mergeCell ref="F22:F23"/>
    <mergeCell ref="G22:G23"/>
    <mergeCell ref="L53:L54"/>
    <mergeCell ref="I41:I43"/>
    <mergeCell ref="J41:J43"/>
    <mergeCell ref="K41:K43"/>
    <mergeCell ref="L41:L42"/>
    <mergeCell ref="L43:N43"/>
    <mergeCell ref="G46:G47"/>
    <mergeCell ref="H46:H47"/>
    <mergeCell ref="I46:I47"/>
    <mergeCell ref="J46:J47"/>
    <mergeCell ref="K46:K47"/>
    <mergeCell ref="H25:H26"/>
    <mergeCell ref="I25:I26"/>
    <mergeCell ref="L29:L34"/>
    <mergeCell ref="C41:C43"/>
    <mergeCell ref="G41:G43"/>
    <mergeCell ref="H41:H43"/>
    <mergeCell ref="L56:L57"/>
    <mergeCell ref="G58:J58"/>
    <mergeCell ref="G60:J60"/>
    <mergeCell ref="A61:A65"/>
    <mergeCell ref="B61:B65"/>
    <mergeCell ref="C61:C65"/>
    <mergeCell ref="D61:D64"/>
    <mergeCell ref="E61:E64"/>
    <mergeCell ref="A56:A57"/>
    <mergeCell ref="B56:B60"/>
    <mergeCell ref="C56:C60"/>
    <mergeCell ref="D56:D57"/>
    <mergeCell ref="E56:E57"/>
    <mergeCell ref="F56:F57"/>
    <mergeCell ref="F61:F64"/>
    <mergeCell ref="G65:J65"/>
    <mergeCell ref="B74:B75"/>
    <mergeCell ref="C74:C75"/>
    <mergeCell ref="G74:G75"/>
    <mergeCell ref="H74:H75"/>
    <mergeCell ref="I74:I75"/>
    <mergeCell ref="J74:J75"/>
    <mergeCell ref="K74:K75"/>
    <mergeCell ref="J56:J57"/>
    <mergeCell ref="A68:A70"/>
    <mergeCell ref="B68:B70"/>
    <mergeCell ref="C68:C70"/>
    <mergeCell ref="D68:D69"/>
    <mergeCell ref="E68:E69"/>
    <mergeCell ref="F68:F69"/>
    <mergeCell ref="H68:H70"/>
    <mergeCell ref="I68:I70"/>
    <mergeCell ref="L77:L78"/>
    <mergeCell ref="A79:A81"/>
    <mergeCell ref="B79:B81"/>
    <mergeCell ref="C79:C81"/>
    <mergeCell ref="G79:J81"/>
    <mergeCell ref="K79:K81"/>
    <mergeCell ref="L79:L81"/>
    <mergeCell ref="A77:A78"/>
    <mergeCell ref="B77:B78"/>
    <mergeCell ref="C77:C78"/>
    <mergeCell ref="G77:G78"/>
    <mergeCell ref="H77:H78"/>
    <mergeCell ref="I77:I78"/>
    <mergeCell ref="G82:J83"/>
    <mergeCell ref="K82:K83"/>
    <mergeCell ref="C84:C89"/>
    <mergeCell ref="G85:J85"/>
    <mergeCell ref="D87:E87"/>
    <mergeCell ref="G87:J87"/>
    <mergeCell ref="D88:E88"/>
    <mergeCell ref="A82:A89"/>
    <mergeCell ref="B82:B89"/>
    <mergeCell ref="C82:C83"/>
    <mergeCell ref="D82:D83"/>
    <mergeCell ref="E82:E83"/>
    <mergeCell ref="F82:F83"/>
    <mergeCell ref="L90:L91"/>
    <mergeCell ref="A93:A95"/>
    <mergeCell ref="B93:B95"/>
    <mergeCell ref="C93:C95"/>
    <mergeCell ref="G93:G95"/>
    <mergeCell ref="H93:H95"/>
    <mergeCell ref="I93:I95"/>
    <mergeCell ref="J93:J95"/>
    <mergeCell ref="A90:A91"/>
    <mergeCell ref="B90:B91"/>
    <mergeCell ref="C90:C91"/>
    <mergeCell ref="D90:D91"/>
    <mergeCell ref="E90:E91"/>
    <mergeCell ref="F90:F91"/>
    <mergeCell ref="A106:A107"/>
    <mergeCell ref="B106:B107"/>
    <mergeCell ref="C106:C107"/>
    <mergeCell ref="D106:D107"/>
    <mergeCell ref="E106:E107"/>
    <mergeCell ref="F106:F107"/>
    <mergeCell ref="K93:K95"/>
    <mergeCell ref="A99:A100"/>
    <mergeCell ref="B99:B100"/>
    <mergeCell ref="C99:C100"/>
    <mergeCell ref="G100:J100"/>
    <mergeCell ref="A103:A104"/>
    <mergeCell ref="B103:B104"/>
    <mergeCell ref="C103:C104"/>
    <mergeCell ref="L111:L112"/>
    <mergeCell ref="A109:A110"/>
    <mergeCell ref="B109:B110"/>
    <mergeCell ref="C109:C110"/>
    <mergeCell ref="A111:A112"/>
    <mergeCell ref="B111:B112"/>
    <mergeCell ref="C111:C112"/>
    <mergeCell ref="A114:A115"/>
    <mergeCell ref="B114:B115"/>
    <mergeCell ref="A119:A120"/>
    <mergeCell ref="B119:B120"/>
    <mergeCell ref="C119:C120"/>
    <mergeCell ref="G119:G120"/>
    <mergeCell ref="D111:D112"/>
    <mergeCell ref="E111:E112"/>
    <mergeCell ref="F111:F112"/>
    <mergeCell ref="H119:H120"/>
    <mergeCell ref="I119:I120"/>
    <mergeCell ref="J119:J120"/>
    <mergeCell ref="K119:K120"/>
    <mergeCell ref="L119:L120"/>
    <mergeCell ref="L128:L129"/>
    <mergeCell ref="F128:F129"/>
    <mergeCell ref="G128:G129"/>
    <mergeCell ref="H128:H129"/>
    <mergeCell ref="I128:I129"/>
    <mergeCell ref="J128:J129"/>
    <mergeCell ref="K128:K129"/>
    <mergeCell ref="L131:P131"/>
    <mergeCell ref="A133:A134"/>
    <mergeCell ref="B133:B134"/>
    <mergeCell ref="C133:C134"/>
    <mergeCell ref="G133:G134"/>
    <mergeCell ref="H133:H134"/>
    <mergeCell ref="I133:I134"/>
    <mergeCell ref="J133:J134"/>
    <mergeCell ref="K133:K134"/>
    <mergeCell ref="J135:J136"/>
    <mergeCell ref="K135:K136"/>
    <mergeCell ref="L135:L136"/>
    <mergeCell ref="A135:A136"/>
    <mergeCell ref="B135:B136"/>
    <mergeCell ref="C135:C136"/>
    <mergeCell ref="G135:G136"/>
    <mergeCell ref="H135:H136"/>
    <mergeCell ref="I135:I136"/>
    <mergeCell ref="A155:A156"/>
    <mergeCell ref="B155:B156"/>
    <mergeCell ref="C155:C156"/>
    <mergeCell ref="D155:D156"/>
    <mergeCell ref="E155:E156"/>
    <mergeCell ref="F155:F156"/>
    <mergeCell ref="A151:A152"/>
    <mergeCell ref="B151:B152"/>
    <mergeCell ref="C151:C152"/>
    <mergeCell ref="D151:D152"/>
    <mergeCell ref="E151:E152"/>
    <mergeCell ref="F151:F152"/>
    <mergeCell ref="A167:A169"/>
    <mergeCell ref="B167:B169"/>
    <mergeCell ref="C167:C168"/>
    <mergeCell ref="D168:F168"/>
    <mergeCell ref="A170:A171"/>
    <mergeCell ref="B170:B171"/>
    <mergeCell ref="C170:C171"/>
    <mergeCell ref="D170:D171"/>
    <mergeCell ref="E170:E171"/>
    <mergeCell ref="F170:F171"/>
    <mergeCell ref="J170:J171"/>
    <mergeCell ref="K170:K171"/>
    <mergeCell ref="L170:L171"/>
    <mergeCell ref="A173:A178"/>
    <mergeCell ref="B173:B178"/>
    <mergeCell ref="C173:C178"/>
    <mergeCell ref="G173:G174"/>
    <mergeCell ref="H173:H174"/>
    <mergeCell ref="I173:I174"/>
    <mergeCell ref="J173:J174"/>
    <mergeCell ref="K173:K174"/>
    <mergeCell ref="L173:L174"/>
    <mergeCell ref="D175:D178"/>
    <mergeCell ref="E175:E178"/>
    <mergeCell ref="F175:F178"/>
    <mergeCell ref="G175:J175"/>
    <mergeCell ref="G176:G178"/>
    <mergeCell ref="H176:H178"/>
    <mergeCell ref="I176:I178"/>
    <mergeCell ref="J176:J178"/>
    <mergeCell ref="L182:L183"/>
    <mergeCell ref="A187:A188"/>
    <mergeCell ref="B187:B188"/>
    <mergeCell ref="C187:C188"/>
    <mergeCell ref="G188:J188"/>
    <mergeCell ref="K176:K178"/>
    <mergeCell ref="A182:A183"/>
    <mergeCell ref="B182:B183"/>
    <mergeCell ref="C182:C183"/>
    <mergeCell ref="D182:D183"/>
    <mergeCell ref="E182:E183"/>
    <mergeCell ref="F182:F183"/>
    <mergeCell ref="G182:G183"/>
    <mergeCell ref="H182:H183"/>
    <mergeCell ref="I182:I183"/>
    <mergeCell ref="A189:A190"/>
    <mergeCell ref="B189:B190"/>
    <mergeCell ref="C189:C190"/>
    <mergeCell ref="D189:D190"/>
    <mergeCell ref="E189:E190"/>
    <mergeCell ref="F189:F190"/>
    <mergeCell ref="G197:J197"/>
    <mergeCell ref="J182:J183"/>
    <mergeCell ref="K182:K183"/>
    <mergeCell ref="A193:A194"/>
    <mergeCell ref="B193:B194"/>
    <mergeCell ref="J193:J194"/>
    <mergeCell ref="K193:K194"/>
    <mergeCell ref="L193:L194"/>
    <mergeCell ref="B195:B197"/>
    <mergeCell ref="C195:C197"/>
    <mergeCell ref="D195:D197"/>
    <mergeCell ref="E195:E197"/>
    <mergeCell ref="F195:F197"/>
    <mergeCell ref="K199:K200"/>
    <mergeCell ref="L199:L200"/>
    <mergeCell ref="A201:A204"/>
    <mergeCell ref="B201:B204"/>
    <mergeCell ref="C201:C204"/>
    <mergeCell ref="D201:D202"/>
    <mergeCell ref="E201:E202"/>
    <mergeCell ref="F201:F202"/>
    <mergeCell ref="J201:J202"/>
    <mergeCell ref="K201:K202"/>
    <mergeCell ref="L201:L202"/>
    <mergeCell ref="G203:J203"/>
    <mergeCell ref="L203:L204"/>
    <mergeCell ref="G204:J204"/>
    <mergeCell ref="A199:A200"/>
    <mergeCell ref="B199:B200"/>
    <mergeCell ref="C199:C200"/>
    <mergeCell ref="G199:G200"/>
    <mergeCell ref="H199:H200"/>
    <mergeCell ref="I199:I200"/>
    <mergeCell ref="J199:J200"/>
    <mergeCell ref="A208:A209"/>
    <mergeCell ref="B208:B209"/>
    <mergeCell ref="C208:C209"/>
    <mergeCell ref="D208:D209"/>
    <mergeCell ref="E208:E209"/>
    <mergeCell ref="F208:F209"/>
    <mergeCell ref="L210:L214"/>
    <mergeCell ref="A220:A221"/>
    <mergeCell ref="B220:B221"/>
    <mergeCell ref="C220:C221"/>
    <mergeCell ref="A210:A214"/>
    <mergeCell ref="B210:B214"/>
    <mergeCell ref="C210:C214"/>
    <mergeCell ref="D210:D214"/>
    <mergeCell ref="E210:E214"/>
    <mergeCell ref="F210:F214"/>
    <mergeCell ref="K225:K226"/>
    <mergeCell ref="L225:L226"/>
    <mergeCell ref="E226:F226"/>
    <mergeCell ref="A232:A233"/>
    <mergeCell ref="B232:B233"/>
    <mergeCell ref="G232:G233"/>
    <mergeCell ref="H232:H233"/>
    <mergeCell ref="I232:I233"/>
    <mergeCell ref="J232:J233"/>
    <mergeCell ref="K232:K233"/>
    <mergeCell ref="A225:A226"/>
    <mergeCell ref="B225:B226"/>
    <mergeCell ref="C225:C226"/>
    <mergeCell ref="H225:H226"/>
    <mergeCell ref="I225:I226"/>
    <mergeCell ref="J225:J226"/>
    <mergeCell ref="L244:P244"/>
    <mergeCell ref="A249:A253"/>
    <mergeCell ref="B249:B253"/>
    <mergeCell ref="C249:C253"/>
    <mergeCell ref="D249:D253"/>
    <mergeCell ref="E249:E253"/>
    <mergeCell ref="F249:F253"/>
    <mergeCell ref="J249:J253"/>
    <mergeCell ref="K249:K253"/>
    <mergeCell ref="L252:L253"/>
    <mergeCell ref="G262:G263"/>
    <mergeCell ref="H262:H263"/>
    <mergeCell ref="I262:I263"/>
    <mergeCell ref="J262:J263"/>
    <mergeCell ref="K262:K263"/>
    <mergeCell ref="A271:A273"/>
    <mergeCell ref="B271:B273"/>
    <mergeCell ref="G271:G272"/>
    <mergeCell ref="H271:H272"/>
    <mergeCell ref="I271:I272"/>
    <mergeCell ref="A262:A263"/>
    <mergeCell ref="B262:B263"/>
    <mergeCell ref="C262:C263"/>
    <mergeCell ref="D262:D263"/>
    <mergeCell ref="E262:E263"/>
    <mergeCell ref="F262:F263"/>
    <mergeCell ref="J271:J272"/>
    <mergeCell ref="K271:K272"/>
    <mergeCell ref="L271:L272"/>
    <mergeCell ref="A254:A255"/>
    <mergeCell ref="B254:B255"/>
    <mergeCell ref="C254:C255"/>
    <mergeCell ref="D254:D255"/>
    <mergeCell ref="A274:A275"/>
    <mergeCell ref="B274:B275"/>
    <mergeCell ref="C274:C275"/>
    <mergeCell ref="D274:D275"/>
    <mergeCell ref="E274:E275"/>
    <mergeCell ref="F274:F275"/>
    <mergeCell ref="J274:J275"/>
    <mergeCell ref="K274:K275"/>
    <mergeCell ref="A276:A281"/>
    <mergeCell ref="B276:B281"/>
    <mergeCell ref="C276:C281"/>
    <mergeCell ref="D276:D281"/>
    <mergeCell ref="E276:E281"/>
    <mergeCell ref="F276:F281"/>
    <mergeCell ref="J276:J277"/>
    <mergeCell ref="K276:K277"/>
    <mergeCell ref="J285:J286"/>
    <mergeCell ref="K285:K286"/>
    <mergeCell ref="L285:L286"/>
    <mergeCell ref="A287:A288"/>
    <mergeCell ref="B287:B288"/>
    <mergeCell ref="C287:C288"/>
    <mergeCell ref="A285:A286"/>
    <mergeCell ref="B285:B286"/>
    <mergeCell ref="C285:C286"/>
    <mergeCell ref="G285:G286"/>
    <mergeCell ref="H285:H286"/>
    <mergeCell ref="I285:I286"/>
    <mergeCell ref="A313:A315"/>
    <mergeCell ref="B313:B315"/>
    <mergeCell ref="C313:C315"/>
    <mergeCell ref="D313:D315"/>
    <mergeCell ref="E313:E315"/>
    <mergeCell ref="F313:F315"/>
    <mergeCell ref="J297:J298"/>
    <mergeCell ref="K297:K298"/>
    <mergeCell ref="L297:L298"/>
    <mergeCell ref="A308:A309"/>
    <mergeCell ref="B308:B309"/>
    <mergeCell ref="C308:C309"/>
    <mergeCell ref="D308:D309"/>
    <mergeCell ref="E308:E309"/>
    <mergeCell ref="F308:F309"/>
    <mergeCell ref="A297:A298"/>
    <mergeCell ref="B297:B298"/>
    <mergeCell ref="C297:C298"/>
    <mergeCell ref="G297:G298"/>
    <mergeCell ref="H297:H298"/>
    <mergeCell ref="I297:I298"/>
    <mergeCell ref="K323:K326"/>
    <mergeCell ref="G324:G326"/>
    <mergeCell ref="H324:H326"/>
    <mergeCell ref="I324:I326"/>
    <mergeCell ref="J324:J326"/>
    <mergeCell ref="G313:G315"/>
    <mergeCell ref="H313:H315"/>
    <mergeCell ref="I313:I315"/>
    <mergeCell ref="J313:J315"/>
    <mergeCell ref="K313:K315"/>
    <mergeCell ref="A327:A328"/>
    <mergeCell ref="B327:B328"/>
    <mergeCell ref="C327:C328"/>
    <mergeCell ref="A332:A333"/>
    <mergeCell ref="B332:B333"/>
    <mergeCell ref="C332:C333"/>
    <mergeCell ref="F317:F318"/>
    <mergeCell ref="A323:A326"/>
    <mergeCell ref="B323:B326"/>
    <mergeCell ref="C323:C326"/>
    <mergeCell ref="A317:A318"/>
    <mergeCell ref="B317:B318"/>
    <mergeCell ref="C317:C318"/>
    <mergeCell ref="D317:D318"/>
    <mergeCell ref="E317:E318"/>
    <mergeCell ref="J332:J333"/>
    <mergeCell ref="K332:K333"/>
    <mergeCell ref="A335:A337"/>
    <mergeCell ref="B335:B337"/>
    <mergeCell ref="C335:C337"/>
    <mergeCell ref="G336:J336"/>
    <mergeCell ref="G337:J337"/>
    <mergeCell ref="D332:D333"/>
    <mergeCell ref="E332:E333"/>
    <mergeCell ref="F332:F333"/>
    <mergeCell ref="G332:G333"/>
    <mergeCell ref="H332:H333"/>
    <mergeCell ref="I332:I333"/>
    <mergeCell ref="K344:K345"/>
    <mergeCell ref="L344:L345"/>
    <mergeCell ref="G353:J353"/>
    <mergeCell ref="A338:A339"/>
    <mergeCell ref="C338:C339"/>
    <mergeCell ref="G340:J340"/>
    <mergeCell ref="A344:A345"/>
    <mergeCell ref="B344:B345"/>
    <mergeCell ref="C344:C345"/>
    <mergeCell ref="G344:G345"/>
    <mergeCell ref="H344:H345"/>
    <mergeCell ref="I344:I345"/>
    <mergeCell ref="J344:J345"/>
    <mergeCell ref="J359:J360"/>
    <mergeCell ref="K359:K360"/>
    <mergeCell ref="G365:G366"/>
    <mergeCell ref="H365:H366"/>
    <mergeCell ref="I365:I366"/>
    <mergeCell ref="J365:J366"/>
    <mergeCell ref="K365:K366"/>
    <mergeCell ref="A359:A360"/>
    <mergeCell ref="B359:B360"/>
    <mergeCell ref="C359:C360"/>
    <mergeCell ref="G359:G360"/>
    <mergeCell ref="H359:H360"/>
    <mergeCell ref="I359:I360"/>
    <mergeCell ref="L365:L366"/>
    <mergeCell ref="A367:A370"/>
    <mergeCell ref="B367:B370"/>
    <mergeCell ref="A373:A374"/>
    <mergeCell ref="B373:B374"/>
    <mergeCell ref="C373:C374"/>
    <mergeCell ref="D373:D374"/>
    <mergeCell ref="E373:E374"/>
    <mergeCell ref="F373:F374"/>
    <mergeCell ref="J373:J374"/>
    <mergeCell ref="K373:K374"/>
    <mergeCell ref="J376:J377"/>
    <mergeCell ref="K376:K377"/>
    <mergeCell ref="A381:A383"/>
    <mergeCell ref="B381:B383"/>
    <mergeCell ref="C382:C383"/>
    <mergeCell ref="G382:G383"/>
    <mergeCell ref="H382:H383"/>
    <mergeCell ref="I382:I383"/>
    <mergeCell ref="J382:J383"/>
    <mergeCell ref="K382:K383"/>
    <mergeCell ref="A376:A377"/>
    <mergeCell ref="B376:B377"/>
    <mergeCell ref="C376:C377"/>
    <mergeCell ref="D376:D377"/>
    <mergeCell ref="E376:E377"/>
    <mergeCell ref="F376:F377"/>
    <mergeCell ref="G376:G377"/>
    <mergeCell ref="H376:H377"/>
    <mergeCell ref="I376:I377"/>
    <mergeCell ref="L382:L383"/>
    <mergeCell ref="A384:A389"/>
    <mergeCell ref="B384:B389"/>
    <mergeCell ref="C384:C389"/>
    <mergeCell ref="G384:J387"/>
    <mergeCell ref="K384:K389"/>
    <mergeCell ref="L384:L389"/>
    <mergeCell ref="D387:E387"/>
    <mergeCell ref="D388:D389"/>
    <mergeCell ref="E388:E389"/>
    <mergeCell ref="F388:F389"/>
    <mergeCell ref="J388:J389"/>
    <mergeCell ref="A391:A392"/>
    <mergeCell ref="A394:A395"/>
    <mergeCell ref="B394:B395"/>
    <mergeCell ref="C394:C395"/>
    <mergeCell ref="D394:D395"/>
    <mergeCell ref="E394:E395"/>
    <mergeCell ref="F394:F395"/>
    <mergeCell ref="J394:J395"/>
    <mergeCell ref="K394:K395"/>
    <mergeCell ref="L394:L395"/>
    <mergeCell ref="A397:A400"/>
    <mergeCell ref="B397:B400"/>
    <mergeCell ref="C397:C400"/>
    <mergeCell ref="D397:D398"/>
    <mergeCell ref="E397:E398"/>
    <mergeCell ref="F397:F398"/>
    <mergeCell ref="J397:J398"/>
    <mergeCell ref="K397:K398"/>
    <mergeCell ref="A405:A406"/>
    <mergeCell ref="B405:B406"/>
    <mergeCell ref="A408:A412"/>
    <mergeCell ref="B408:B412"/>
    <mergeCell ref="C408:C412"/>
    <mergeCell ref="G408:J411"/>
    <mergeCell ref="L397:L398"/>
    <mergeCell ref="E399:F399"/>
    <mergeCell ref="G399:G400"/>
    <mergeCell ref="H399:H400"/>
    <mergeCell ref="I399:I400"/>
    <mergeCell ref="J399:J400"/>
    <mergeCell ref="K399:K400"/>
    <mergeCell ref="L399:L400"/>
    <mergeCell ref="K408:K411"/>
    <mergeCell ref="H422:H423"/>
    <mergeCell ref="I422:I423"/>
    <mergeCell ref="J422:J423"/>
    <mergeCell ref="K422:K423"/>
    <mergeCell ref="L422:L423"/>
    <mergeCell ref="G429:J430"/>
    <mergeCell ref="A415:A416"/>
    <mergeCell ref="B415:B416"/>
    <mergeCell ref="C415:C416"/>
    <mergeCell ref="G415:G416"/>
    <mergeCell ref="H415:H416"/>
    <mergeCell ref="I415:I416"/>
    <mergeCell ref="J415:J416"/>
    <mergeCell ref="K415:K416"/>
    <mergeCell ref="L415:L416"/>
    <mergeCell ref="D429:D430"/>
    <mergeCell ref="E429:E430"/>
    <mergeCell ref="F429:F430"/>
    <mergeCell ref="A422:A423"/>
    <mergeCell ref="C422:C423"/>
    <mergeCell ref="G422:G423"/>
    <mergeCell ref="L441:L442"/>
    <mergeCell ref="A443:A444"/>
    <mergeCell ref="B443:B444"/>
    <mergeCell ref="C443:C444"/>
    <mergeCell ref="A449:A450"/>
    <mergeCell ref="B449:B450"/>
    <mergeCell ref="K435:K438"/>
    <mergeCell ref="G441:G442"/>
    <mergeCell ref="H441:H442"/>
    <mergeCell ref="I441:I442"/>
    <mergeCell ref="J441:J442"/>
    <mergeCell ref="K441:K442"/>
    <mergeCell ref="A435:A438"/>
    <mergeCell ref="B435:B438"/>
    <mergeCell ref="C435:C438"/>
    <mergeCell ref="D435:D438"/>
    <mergeCell ref="E435:E438"/>
    <mergeCell ref="F435:F438"/>
    <mergeCell ref="J435:J438"/>
    <mergeCell ref="A439:A440"/>
    <mergeCell ref="B439:B440"/>
    <mergeCell ref="C439:C440"/>
    <mergeCell ref="G440:J440"/>
    <mergeCell ref="J453:J454"/>
    <mergeCell ref="K453:K454"/>
    <mergeCell ref="A456:A457"/>
    <mergeCell ref="B456:B457"/>
    <mergeCell ref="C456:C457"/>
    <mergeCell ref="A460:A461"/>
    <mergeCell ref="B460:B461"/>
    <mergeCell ref="C460:C461"/>
    <mergeCell ref="G460:G461"/>
    <mergeCell ref="H460:H461"/>
    <mergeCell ref="A453:A454"/>
    <mergeCell ref="B453:B454"/>
    <mergeCell ref="C453:C454"/>
    <mergeCell ref="G453:G454"/>
    <mergeCell ref="H453:H454"/>
    <mergeCell ref="I453:I454"/>
    <mergeCell ref="I460:I461"/>
    <mergeCell ref="J460:J461"/>
    <mergeCell ref="K460:K461"/>
    <mergeCell ref="L460:L461"/>
    <mergeCell ref="A462:A463"/>
    <mergeCell ref="B462:B463"/>
    <mergeCell ref="C462:C463"/>
    <mergeCell ref="D462:D463"/>
    <mergeCell ref="E462:E463"/>
    <mergeCell ref="F462:F463"/>
    <mergeCell ref="L462:L463"/>
    <mergeCell ref="A470:A471"/>
    <mergeCell ref="B470:B471"/>
    <mergeCell ref="C470:C471"/>
    <mergeCell ref="G470:G471"/>
    <mergeCell ref="H470:H471"/>
    <mergeCell ref="I470:I471"/>
    <mergeCell ref="J470:J471"/>
    <mergeCell ref="K470:K471"/>
    <mergeCell ref="L470:L471"/>
    <mergeCell ref="G465:J465"/>
    <mergeCell ref="A503:A506"/>
    <mergeCell ref="B503:B506"/>
    <mergeCell ref="C503:C506"/>
    <mergeCell ref="J503:J504"/>
    <mergeCell ref="K503:K504"/>
    <mergeCell ref="D504:F506"/>
    <mergeCell ref="G505:J505"/>
    <mergeCell ref="G488:K488"/>
    <mergeCell ref="D489:E489"/>
    <mergeCell ref="G489:K489"/>
    <mergeCell ref="A495:A496"/>
    <mergeCell ref="B495:B496"/>
    <mergeCell ref="C495:C496"/>
    <mergeCell ref="A475:A490"/>
    <mergeCell ref="B475:B490"/>
    <mergeCell ref="C475:C490"/>
    <mergeCell ref="D481:E481"/>
    <mergeCell ref="G483:K483"/>
    <mergeCell ref="G484:K484"/>
    <mergeCell ref="G485:K485"/>
    <mergeCell ref="D486:E486"/>
    <mergeCell ref="G486:K486"/>
    <mergeCell ref="G487:K487"/>
    <mergeCell ref="G493:J493"/>
    <mergeCell ref="C493:C494"/>
    <mergeCell ref="B493:B494"/>
    <mergeCell ref="A493:A494"/>
    <mergeCell ref="G513:G514"/>
    <mergeCell ref="H513:H514"/>
    <mergeCell ref="I513:I514"/>
    <mergeCell ref="J513:J514"/>
    <mergeCell ref="K513:K514"/>
    <mergeCell ref="L513:L514"/>
    <mergeCell ref="E507:F507"/>
    <mergeCell ref="A510:A511"/>
    <mergeCell ref="B510:B511"/>
    <mergeCell ref="A513:A514"/>
    <mergeCell ref="B513:B514"/>
    <mergeCell ref="C513:C514"/>
    <mergeCell ref="K521:K530"/>
    <mergeCell ref="H522:I522"/>
    <mergeCell ref="H525:I525"/>
    <mergeCell ref="J517:J518"/>
    <mergeCell ref="K517:K518"/>
    <mergeCell ref="L517:L518"/>
    <mergeCell ref="A519:A520"/>
    <mergeCell ref="B519:B520"/>
    <mergeCell ref="C519:C520"/>
    <mergeCell ref="G519:G520"/>
    <mergeCell ref="H519:H520"/>
    <mergeCell ref="I519:I520"/>
    <mergeCell ref="J519:J520"/>
    <mergeCell ref="A517:A518"/>
    <mergeCell ref="B517:B518"/>
    <mergeCell ref="C517:C518"/>
    <mergeCell ref="D517:D518"/>
    <mergeCell ref="E517:E518"/>
    <mergeCell ref="F517:F518"/>
    <mergeCell ref="L519:L520"/>
    <mergeCell ref="A531:A533"/>
    <mergeCell ref="B531:B533"/>
    <mergeCell ref="C531:C533"/>
    <mergeCell ref="D531:D533"/>
    <mergeCell ref="E531:E533"/>
    <mergeCell ref="F531:F533"/>
    <mergeCell ref="K519:K520"/>
    <mergeCell ref="L534:O534"/>
    <mergeCell ref="A540:A541"/>
    <mergeCell ref="B540:B541"/>
    <mergeCell ref="C540:C541"/>
    <mergeCell ref="D540:D541"/>
    <mergeCell ref="E540:E541"/>
    <mergeCell ref="F540:F541"/>
    <mergeCell ref="G540:G541"/>
    <mergeCell ref="H540:H541"/>
    <mergeCell ref="I540:I541"/>
    <mergeCell ref="A521:A530"/>
    <mergeCell ref="B521:B530"/>
    <mergeCell ref="C521:C530"/>
    <mergeCell ref="D521:D530"/>
    <mergeCell ref="E521:E530"/>
    <mergeCell ref="F521:F530"/>
    <mergeCell ref="J521:J530"/>
    <mergeCell ref="A547:A548"/>
    <mergeCell ref="B547:B548"/>
    <mergeCell ref="C547:C548"/>
    <mergeCell ref="D547:D548"/>
    <mergeCell ref="E547:E548"/>
    <mergeCell ref="F547:F548"/>
    <mergeCell ref="J540:J541"/>
    <mergeCell ref="K540:K541"/>
    <mergeCell ref="L540:L541"/>
    <mergeCell ref="A542:A545"/>
    <mergeCell ref="B542:B545"/>
    <mergeCell ref="C542:C545"/>
    <mergeCell ref="J556:J557"/>
    <mergeCell ref="K556:K557"/>
    <mergeCell ref="L556:L557"/>
    <mergeCell ref="A556:A557"/>
    <mergeCell ref="B556:B557"/>
    <mergeCell ref="C556:C557"/>
    <mergeCell ref="D556:D557"/>
    <mergeCell ref="E556:E557"/>
    <mergeCell ref="F556:F557"/>
    <mergeCell ref="A558:A559"/>
    <mergeCell ref="B558:B559"/>
    <mergeCell ref="C558:C559"/>
    <mergeCell ref="D558:D559"/>
    <mergeCell ref="E558:E559"/>
    <mergeCell ref="F558:F559"/>
    <mergeCell ref="G556:G557"/>
    <mergeCell ref="H556:H557"/>
    <mergeCell ref="I556:I557"/>
    <mergeCell ref="K567:K568"/>
    <mergeCell ref="A570:A571"/>
    <mergeCell ref="B570:B571"/>
    <mergeCell ref="C570:C571"/>
    <mergeCell ref="D570:D571"/>
    <mergeCell ref="E570:E571"/>
    <mergeCell ref="F570:F571"/>
    <mergeCell ref="G570:G571"/>
    <mergeCell ref="H570:H571"/>
    <mergeCell ref="I570:I571"/>
    <mergeCell ref="A567:A568"/>
    <mergeCell ref="B567:B568"/>
    <mergeCell ref="C567:C568"/>
    <mergeCell ref="D567:D568"/>
    <mergeCell ref="E567:E568"/>
    <mergeCell ref="F567:F568"/>
    <mergeCell ref="J570:J571"/>
    <mergeCell ref="K570:K571"/>
    <mergeCell ref="H567:H568"/>
    <mergeCell ref="I567:I568"/>
    <mergeCell ref="J567:J568"/>
    <mergeCell ref="G567:G568"/>
    <mergeCell ref="L570:L571"/>
    <mergeCell ref="A573:A578"/>
    <mergeCell ref="B573:B578"/>
    <mergeCell ref="C574:C578"/>
    <mergeCell ref="D574:D577"/>
    <mergeCell ref="E574:E577"/>
    <mergeCell ref="K574:K577"/>
    <mergeCell ref="F584:F585"/>
    <mergeCell ref="J584:J585"/>
    <mergeCell ref="K584:K585"/>
    <mergeCell ref="L584:L585"/>
    <mergeCell ref="J579:J583"/>
    <mergeCell ref="A597:A600"/>
    <mergeCell ref="B597:B600"/>
    <mergeCell ref="C597:C598"/>
    <mergeCell ref="G597:G598"/>
    <mergeCell ref="H597:H598"/>
    <mergeCell ref="I597:I598"/>
    <mergeCell ref="A579:A585"/>
    <mergeCell ref="C579:C583"/>
    <mergeCell ref="G579:G583"/>
    <mergeCell ref="H579:H583"/>
    <mergeCell ref="I579:I583"/>
    <mergeCell ref="B584:B585"/>
    <mergeCell ref="C584:C585"/>
    <mergeCell ref="D584:D585"/>
    <mergeCell ref="E584:E585"/>
    <mergeCell ref="J597:J598"/>
    <mergeCell ref="K597:K598"/>
    <mergeCell ref="L597:L598"/>
    <mergeCell ref="C599:C600"/>
    <mergeCell ref="D599:D600"/>
    <mergeCell ref="E599:E600"/>
    <mergeCell ref="F599:F600"/>
    <mergeCell ref="J599:J600"/>
    <mergeCell ref="K599:K600"/>
    <mergeCell ref="A603:A607"/>
    <mergeCell ref="B603:B607"/>
    <mergeCell ref="G603:J603"/>
    <mergeCell ref="A608:A610"/>
    <mergeCell ref="B608:B610"/>
    <mergeCell ref="C608:C610"/>
    <mergeCell ref="D608:D610"/>
    <mergeCell ref="E608:E610"/>
    <mergeCell ref="F608:F610"/>
    <mergeCell ref="J608:J610"/>
    <mergeCell ref="F613:F615"/>
    <mergeCell ref="G619:J619"/>
    <mergeCell ref="A621:A627"/>
    <mergeCell ref="B621:B627"/>
    <mergeCell ref="C621:C627"/>
    <mergeCell ref="J621:J626"/>
    <mergeCell ref="K608:K610"/>
    <mergeCell ref="G607:J607"/>
    <mergeCell ref="G605:J605"/>
    <mergeCell ref="G606:J606"/>
    <mergeCell ref="G604:J604"/>
    <mergeCell ref="E606:F606"/>
    <mergeCell ref="C603:C607"/>
    <mergeCell ref="L608:L610"/>
    <mergeCell ref="A611:A612"/>
    <mergeCell ref="B611:B612"/>
    <mergeCell ref="C611:C612"/>
    <mergeCell ref="A613:A618"/>
    <mergeCell ref="B613:B618"/>
    <mergeCell ref="C613:C618"/>
    <mergeCell ref="D613:D615"/>
    <mergeCell ref="E613:E615"/>
    <mergeCell ref="A634:A635"/>
    <mergeCell ref="B634:B635"/>
    <mergeCell ref="C634:C635"/>
    <mergeCell ref="D634:D635"/>
    <mergeCell ref="E634:E635"/>
    <mergeCell ref="F634:F635"/>
    <mergeCell ref="K621:K626"/>
    <mergeCell ref="L621:L622"/>
    <mergeCell ref="G624:I626"/>
    <mergeCell ref="G627:I627"/>
    <mergeCell ref="A628:A630"/>
    <mergeCell ref="B628:B630"/>
    <mergeCell ref="C628:C630"/>
    <mergeCell ref="G629:J629"/>
    <mergeCell ref="G630:J630"/>
    <mergeCell ref="G641:G642"/>
    <mergeCell ref="H641:H642"/>
    <mergeCell ref="I641:I642"/>
    <mergeCell ref="J641:J642"/>
    <mergeCell ref="K641:K642"/>
    <mergeCell ref="L641:L642"/>
    <mergeCell ref="A641:A642"/>
    <mergeCell ref="B641:B642"/>
    <mergeCell ref="C641:C642"/>
    <mergeCell ref="D641:D642"/>
    <mergeCell ref="E641:E642"/>
    <mergeCell ref="F641:F642"/>
    <mergeCell ref="K647:K651"/>
    <mergeCell ref="A650:A651"/>
    <mergeCell ref="B650:B651"/>
    <mergeCell ref="C650:C651"/>
    <mergeCell ref="A658:A659"/>
    <mergeCell ref="B658:B659"/>
    <mergeCell ref="C658:C659"/>
    <mergeCell ref="D658:D659"/>
    <mergeCell ref="E658:E659"/>
    <mergeCell ref="F658:F659"/>
    <mergeCell ref="A647:A649"/>
    <mergeCell ref="C647:C649"/>
    <mergeCell ref="D647:D649"/>
    <mergeCell ref="E647:E649"/>
    <mergeCell ref="F647:F649"/>
    <mergeCell ref="J647:J651"/>
    <mergeCell ref="J664:J668"/>
    <mergeCell ref="K664:K668"/>
    <mergeCell ref="L664:L668"/>
    <mergeCell ref="L671:P671"/>
    <mergeCell ref="A672:A673"/>
    <mergeCell ref="B672:B673"/>
    <mergeCell ref="C672:C673"/>
    <mergeCell ref="D672:D673"/>
    <mergeCell ref="E672:E673"/>
    <mergeCell ref="F672:F673"/>
    <mergeCell ref="A661:A668"/>
    <mergeCell ref="B661:B668"/>
    <mergeCell ref="C661:C668"/>
    <mergeCell ref="D661:D663"/>
    <mergeCell ref="E661:E663"/>
    <mergeCell ref="F661:F663"/>
    <mergeCell ref="D664:F668"/>
    <mergeCell ref="I677:I678"/>
    <mergeCell ref="J677:J678"/>
    <mergeCell ref="K677:K678"/>
    <mergeCell ref="G672:G673"/>
    <mergeCell ref="H672:H673"/>
    <mergeCell ref="I672:I673"/>
    <mergeCell ref="J672:J673"/>
    <mergeCell ref="K672:K673"/>
    <mergeCell ref="L672:L673"/>
    <mergeCell ref="A689:A690"/>
    <mergeCell ref="B689:B690"/>
    <mergeCell ref="A695:A696"/>
    <mergeCell ref="B695:B696"/>
    <mergeCell ref="C695:C696"/>
    <mergeCell ref="G695:G696"/>
    <mergeCell ref="A677:A678"/>
    <mergeCell ref="B677:B678"/>
    <mergeCell ref="H677:H678"/>
    <mergeCell ref="H695:H696"/>
    <mergeCell ref="K695:K696"/>
    <mergeCell ref="I695:I696"/>
    <mergeCell ref="J695:J696"/>
    <mergeCell ref="A707:A708"/>
    <mergeCell ref="B707:B708"/>
    <mergeCell ref="C707:C708"/>
    <mergeCell ref="D707:D708"/>
    <mergeCell ref="E707:E708"/>
    <mergeCell ref="F707:F708"/>
    <mergeCell ref="G707:G708"/>
    <mergeCell ref="K707:K708"/>
    <mergeCell ref="G704:J704"/>
    <mergeCell ref="H707:H708"/>
    <mergeCell ref="I707:I708"/>
    <mergeCell ref="J707:J708"/>
    <mergeCell ref="A711:A712"/>
    <mergeCell ref="B711:B712"/>
    <mergeCell ref="C711:C712"/>
    <mergeCell ref="J711:J712"/>
    <mergeCell ref="K711:K712"/>
    <mergeCell ref="G747:J747"/>
    <mergeCell ref="K735:K736"/>
    <mergeCell ref="A720:A721"/>
    <mergeCell ref="B720:B721"/>
    <mergeCell ref="L735:L736"/>
    <mergeCell ref="C737:C738"/>
    <mergeCell ref="D737:F737"/>
    <mergeCell ref="G734:J734"/>
    <mergeCell ref="A735:A736"/>
    <mergeCell ref="B735:B736"/>
    <mergeCell ref="C735:C736"/>
    <mergeCell ref="D735:F736"/>
    <mergeCell ref="J735:J736"/>
    <mergeCell ref="G731:J731"/>
    <mergeCell ref="A732:A733"/>
    <mergeCell ref="B732:B733"/>
    <mergeCell ref="C732:C733"/>
    <mergeCell ref="D732:F732"/>
    <mergeCell ref="B737:B739"/>
    <mergeCell ref="A737:A739"/>
    <mergeCell ref="G729:J729"/>
    <mergeCell ref="A356:A357"/>
    <mergeCell ref="B356:B357"/>
    <mergeCell ref="C356:C357"/>
    <mergeCell ref="G357:J357"/>
    <mergeCell ref="L750:O750"/>
    <mergeCell ref="L751:O751"/>
    <mergeCell ref="A755:A757"/>
    <mergeCell ref="B755:B757"/>
    <mergeCell ref="C755:C756"/>
    <mergeCell ref="D755:D756"/>
    <mergeCell ref="E755:E756"/>
    <mergeCell ref="F755:F756"/>
    <mergeCell ref="G755:G756"/>
    <mergeCell ref="J758:J759"/>
    <mergeCell ref="K758:K759"/>
    <mergeCell ref="A767:B767"/>
    <mergeCell ref="G352:J352"/>
    <mergeCell ref="A352:A355"/>
    <mergeCell ref="B352:B355"/>
    <mergeCell ref="C352:C355"/>
    <mergeCell ref="G354:J354"/>
    <mergeCell ref="G355:J355"/>
    <mergeCell ref="H755:H756"/>
    <mergeCell ref="I755:I756"/>
    <mergeCell ref="J755:J756"/>
    <mergeCell ref="K755:K756"/>
    <mergeCell ref="A758:A759"/>
    <mergeCell ref="B758:B759"/>
    <mergeCell ref="C758:C759"/>
    <mergeCell ref="D758:D759"/>
    <mergeCell ref="E758:E759"/>
    <mergeCell ref="F758:F75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8"/>
  <sheetViews>
    <sheetView rightToLeft="1" tabSelected="1" zoomScale="60" zoomScaleNormal="60" workbookViewId="0">
      <selection activeCell="D597" sqref="D597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2423">
        <v>1</v>
      </c>
      <c r="B2" s="22" t="s">
        <v>1589</v>
      </c>
      <c r="C2" s="2467" t="s">
        <v>380</v>
      </c>
      <c r="D2" s="2422">
        <v>600000000</v>
      </c>
      <c r="E2" s="2463">
        <v>0.06</v>
      </c>
      <c r="F2" s="2422">
        <f>D2*E2</f>
        <v>36000000</v>
      </c>
      <c r="G2" s="2422">
        <v>36000000</v>
      </c>
      <c r="H2" s="2422" t="s">
        <v>4579</v>
      </c>
      <c r="I2" s="2470" t="s">
        <v>1923</v>
      </c>
      <c r="J2" s="2422">
        <f>G2</f>
        <v>36000000</v>
      </c>
      <c r="K2" s="2422">
        <f>F2-J2</f>
        <v>0</v>
      </c>
      <c r="L2" s="2447"/>
    </row>
    <row r="3" spans="1:12" ht="30" customHeight="1" x14ac:dyDescent="0.2">
      <c r="A3" s="3973">
        <v>2</v>
      </c>
      <c r="B3" s="3951" t="s">
        <v>287</v>
      </c>
      <c r="C3" s="3949"/>
      <c r="D3" s="3044">
        <v>300000000</v>
      </c>
      <c r="E3" s="3051">
        <v>0.05</v>
      </c>
      <c r="F3" s="3044">
        <f>D3*E3</f>
        <v>15000000</v>
      </c>
      <c r="G3" s="3044">
        <v>15000000</v>
      </c>
      <c r="H3" s="3044" t="s">
        <v>4617</v>
      </c>
      <c r="I3" s="303" t="s">
        <v>4240</v>
      </c>
      <c r="J3" s="3044">
        <f>G3</f>
        <v>15000000</v>
      </c>
      <c r="K3" s="3044">
        <f>F3-J3</f>
        <v>0</v>
      </c>
      <c r="L3" s="3052"/>
    </row>
    <row r="4" spans="1:12" ht="30" customHeight="1" x14ac:dyDescent="0.2">
      <c r="A4" s="3974"/>
      <c r="B4" s="3952"/>
      <c r="C4" s="3954"/>
      <c r="D4" s="3955" t="s">
        <v>4688</v>
      </c>
      <c r="E4" s="3956"/>
      <c r="F4" s="3957"/>
      <c r="G4" s="3044">
        <v>100000000</v>
      </c>
      <c r="H4" s="3044" t="s">
        <v>3138</v>
      </c>
      <c r="I4" s="303" t="s">
        <v>4240</v>
      </c>
      <c r="J4" s="3964">
        <f>G4+G5+G6</f>
        <v>300000000</v>
      </c>
      <c r="K4" s="3964">
        <f>300000000-J4</f>
        <v>0</v>
      </c>
      <c r="L4" s="3970" t="s">
        <v>1398</v>
      </c>
    </row>
    <row r="5" spans="1:12" ht="30" customHeight="1" x14ac:dyDescent="0.2">
      <c r="A5" s="3974"/>
      <c r="B5" s="3952"/>
      <c r="C5" s="3954"/>
      <c r="D5" s="3958"/>
      <c r="E5" s="3959"/>
      <c r="F5" s="3960"/>
      <c r="G5" s="3044">
        <v>89000000</v>
      </c>
      <c r="H5" s="3044" t="s">
        <v>4756</v>
      </c>
      <c r="I5" s="303" t="s">
        <v>4240</v>
      </c>
      <c r="J5" s="3965"/>
      <c r="K5" s="3965"/>
      <c r="L5" s="3971"/>
    </row>
    <row r="6" spans="1:12" ht="30" customHeight="1" x14ac:dyDescent="0.2">
      <c r="A6" s="3975"/>
      <c r="B6" s="3953"/>
      <c r="C6" s="3950"/>
      <c r="D6" s="3961"/>
      <c r="E6" s="3962"/>
      <c r="F6" s="3963"/>
      <c r="G6" s="3044">
        <v>111000000</v>
      </c>
      <c r="H6" s="3044" t="s">
        <v>4779</v>
      </c>
      <c r="I6" s="303" t="s">
        <v>4240</v>
      </c>
      <c r="J6" s="3966"/>
      <c r="K6" s="3966"/>
      <c r="L6" s="3972"/>
    </row>
    <row r="7" spans="1:12" ht="30" customHeight="1" x14ac:dyDescent="0.2">
      <c r="A7" s="2465">
        <v>3</v>
      </c>
      <c r="B7" s="22" t="s">
        <v>290</v>
      </c>
      <c r="C7" s="2445" t="s">
        <v>367</v>
      </c>
      <c r="D7" s="2434">
        <v>36000000</v>
      </c>
      <c r="E7" s="2463">
        <v>7.0000000000000007E-2</v>
      </c>
      <c r="F7" s="2434">
        <v>2500000</v>
      </c>
      <c r="G7" s="2434">
        <v>2500000</v>
      </c>
      <c r="H7" s="2434" t="s">
        <v>4579</v>
      </c>
      <c r="I7" s="28" t="s">
        <v>2152</v>
      </c>
      <c r="J7" s="2434">
        <f>G7</f>
        <v>2500000</v>
      </c>
      <c r="K7" s="2434">
        <f>F7-J7</f>
        <v>0</v>
      </c>
      <c r="L7" s="2469"/>
    </row>
    <row r="8" spans="1:12" ht="30" customHeight="1" x14ac:dyDescent="0.2">
      <c r="A8" s="2423">
        <v>4</v>
      </c>
      <c r="B8" s="2468" t="s">
        <v>315</v>
      </c>
      <c r="C8" s="2467" t="s">
        <v>2778</v>
      </c>
      <c r="D8" s="2434">
        <v>700000000</v>
      </c>
      <c r="E8" s="2463">
        <v>6.3E-2</v>
      </c>
      <c r="F8" s="2434">
        <f>D8*E8</f>
        <v>44100000</v>
      </c>
      <c r="G8" s="2434">
        <v>44000000</v>
      </c>
      <c r="H8" s="2434" t="s">
        <v>4536</v>
      </c>
      <c r="I8" s="28" t="s">
        <v>1636</v>
      </c>
      <c r="J8" s="2434">
        <f>G8</f>
        <v>44000000</v>
      </c>
      <c r="K8" s="2434">
        <f>F8-J8</f>
        <v>100000</v>
      </c>
      <c r="L8" s="33"/>
    </row>
    <row r="9" spans="1:12" ht="30" customHeight="1" x14ac:dyDescent="0.2">
      <c r="A9" s="2465">
        <v>5</v>
      </c>
      <c r="B9" s="22" t="s">
        <v>323</v>
      </c>
      <c r="C9" s="2445" t="s">
        <v>380</v>
      </c>
      <c r="D9" s="2434">
        <v>20000000</v>
      </c>
      <c r="E9" s="2463">
        <v>7.0000000000000007E-2</v>
      </c>
      <c r="F9" s="2434">
        <v>1400000</v>
      </c>
      <c r="G9" s="2434">
        <v>22000000</v>
      </c>
      <c r="H9" s="2434" t="s">
        <v>3138</v>
      </c>
      <c r="I9" s="28" t="s">
        <v>4689</v>
      </c>
      <c r="J9" s="2434">
        <f t="shared" ref="J9:J14" si="0">G9</f>
        <v>22000000</v>
      </c>
      <c r="K9" s="2434">
        <f t="shared" ref="K9:K14" si="1">F9-J9</f>
        <v>-20600000</v>
      </c>
      <c r="L9" s="33" t="s">
        <v>1398</v>
      </c>
    </row>
    <row r="10" spans="1:12" ht="30" customHeight="1" x14ac:dyDescent="0.2">
      <c r="A10" s="2423">
        <v>6</v>
      </c>
      <c r="B10" s="2468" t="s">
        <v>416</v>
      </c>
      <c r="C10" s="2444"/>
      <c r="D10" s="2434">
        <v>15000000</v>
      </c>
      <c r="E10" s="2463">
        <v>0.05</v>
      </c>
      <c r="F10" s="2434">
        <f t="shared" ref="F10:F16" si="2">D10*E10</f>
        <v>750000</v>
      </c>
      <c r="G10" s="2434"/>
      <c r="H10" s="2434"/>
      <c r="I10" s="28"/>
      <c r="J10" s="2434">
        <f t="shared" si="0"/>
        <v>0</v>
      </c>
      <c r="K10" s="2434">
        <f t="shared" si="1"/>
        <v>750000</v>
      </c>
      <c r="L10" s="683"/>
    </row>
    <row r="11" spans="1:12" ht="30" customHeight="1" x14ac:dyDescent="0.2">
      <c r="A11" s="2423">
        <v>7</v>
      </c>
      <c r="B11" s="2468" t="s">
        <v>104</v>
      </c>
      <c r="C11" s="2444" t="s">
        <v>916</v>
      </c>
      <c r="D11" s="2434">
        <v>45000000</v>
      </c>
      <c r="E11" s="2463">
        <v>0.05</v>
      </c>
      <c r="F11" s="2434">
        <f t="shared" si="2"/>
        <v>2250000</v>
      </c>
      <c r="G11" s="2434">
        <v>2250000</v>
      </c>
      <c r="H11" s="2434" t="s">
        <v>4579</v>
      </c>
      <c r="I11" s="30" t="s">
        <v>3556</v>
      </c>
      <c r="J11" s="2434">
        <f t="shared" si="0"/>
        <v>2250000</v>
      </c>
      <c r="K11" s="2434">
        <f t="shared" si="1"/>
        <v>0</v>
      </c>
      <c r="L11" s="786"/>
    </row>
    <row r="12" spans="1:12" ht="30" customHeight="1" x14ac:dyDescent="0.2">
      <c r="A12" s="2423">
        <v>8</v>
      </c>
      <c r="B12" s="22" t="s">
        <v>356</v>
      </c>
      <c r="C12" s="2467" t="s">
        <v>1346</v>
      </c>
      <c r="D12" s="2422">
        <v>400000000</v>
      </c>
      <c r="E12" s="2463">
        <v>4.4999999999999998E-2</v>
      </c>
      <c r="F12" s="2422">
        <f t="shared" si="2"/>
        <v>18000000</v>
      </c>
      <c r="G12" s="2422">
        <v>18000000</v>
      </c>
      <c r="H12" s="2434" t="s">
        <v>2604</v>
      </c>
      <c r="I12" s="28" t="s">
        <v>3877</v>
      </c>
      <c r="J12" s="2434">
        <f t="shared" si="0"/>
        <v>18000000</v>
      </c>
      <c r="K12" s="2422">
        <f t="shared" si="1"/>
        <v>0</v>
      </c>
      <c r="L12" s="2431" t="s">
        <v>4672</v>
      </c>
    </row>
    <row r="13" spans="1:12" ht="30" customHeight="1" x14ac:dyDescent="0.2">
      <c r="A13" s="2465">
        <v>9</v>
      </c>
      <c r="B13" s="2469" t="s">
        <v>387</v>
      </c>
      <c r="C13" s="2445" t="s">
        <v>379</v>
      </c>
      <c r="D13" s="2434">
        <v>10000000</v>
      </c>
      <c r="E13" s="2437">
        <v>0.05</v>
      </c>
      <c r="F13" s="2434">
        <f t="shared" si="2"/>
        <v>500000</v>
      </c>
      <c r="G13" s="2434">
        <v>500000</v>
      </c>
      <c r="H13" s="2434" t="s">
        <v>4604</v>
      </c>
      <c r="I13" s="28" t="s">
        <v>1031</v>
      </c>
      <c r="J13" s="2434">
        <f t="shared" si="0"/>
        <v>500000</v>
      </c>
      <c r="K13" s="2434">
        <f t="shared" si="1"/>
        <v>0</v>
      </c>
      <c r="L13" s="33"/>
    </row>
    <row r="14" spans="1:12" ht="30" customHeight="1" x14ac:dyDescent="0.2">
      <c r="A14" s="2465">
        <v>10</v>
      </c>
      <c r="B14" s="2468" t="s">
        <v>1029</v>
      </c>
      <c r="C14" s="2467" t="s">
        <v>1909</v>
      </c>
      <c r="D14" s="2434">
        <v>180000000</v>
      </c>
      <c r="E14" s="2463">
        <v>7.0000000000000007E-2</v>
      </c>
      <c r="F14" s="2434">
        <f t="shared" si="2"/>
        <v>12600000.000000002</v>
      </c>
      <c r="G14" s="2434">
        <v>12600000</v>
      </c>
      <c r="H14" s="2434" t="s">
        <v>4924</v>
      </c>
      <c r="I14" s="28" t="s">
        <v>2502</v>
      </c>
      <c r="J14" s="2434">
        <f t="shared" si="0"/>
        <v>12600000</v>
      </c>
      <c r="K14" s="2434">
        <f t="shared" si="1"/>
        <v>0</v>
      </c>
      <c r="L14" s="192" t="s">
        <v>3332</v>
      </c>
    </row>
    <row r="15" spans="1:12" ht="30" customHeight="1" x14ac:dyDescent="0.2">
      <c r="A15" s="3450">
        <v>11</v>
      </c>
      <c r="B15" s="3687" t="s">
        <v>402</v>
      </c>
      <c r="C15" s="2445" t="s">
        <v>367</v>
      </c>
      <c r="D15" s="2422">
        <v>15000000</v>
      </c>
      <c r="E15" s="2463">
        <v>7.0000000000000007E-2</v>
      </c>
      <c r="F15" s="2422">
        <f t="shared" si="2"/>
        <v>1050000</v>
      </c>
      <c r="G15" s="3442">
        <v>1300000</v>
      </c>
      <c r="H15" s="3442" t="s">
        <v>4604</v>
      </c>
      <c r="I15" s="3925" t="s">
        <v>403</v>
      </c>
      <c r="J15" s="3442">
        <f>G15+G16</f>
        <v>1300000</v>
      </c>
      <c r="K15" s="3442">
        <v>0</v>
      </c>
      <c r="L15" s="3468" t="s">
        <v>4163</v>
      </c>
    </row>
    <row r="16" spans="1:12" ht="30" customHeight="1" x14ac:dyDescent="0.2">
      <c r="A16" s="3456"/>
      <c r="B16" s="3687"/>
      <c r="C16" s="2445" t="s">
        <v>1110</v>
      </c>
      <c r="D16" s="2422">
        <v>5000000</v>
      </c>
      <c r="E16" s="2463">
        <v>0.05</v>
      </c>
      <c r="F16" s="2422">
        <f t="shared" si="2"/>
        <v>250000</v>
      </c>
      <c r="G16" s="3443"/>
      <c r="H16" s="3443"/>
      <c r="I16" s="3926"/>
      <c r="J16" s="3443"/>
      <c r="K16" s="3443"/>
      <c r="L16" s="3469"/>
    </row>
    <row r="17" spans="1:14" ht="30" customHeight="1" x14ac:dyDescent="0.2">
      <c r="A17" s="1081">
        <v>12</v>
      </c>
      <c r="B17" s="2468" t="s">
        <v>408</v>
      </c>
      <c r="C17" s="2445" t="s">
        <v>1215</v>
      </c>
      <c r="D17" s="2434">
        <v>75000000</v>
      </c>
      <c r="E17" s="2437">
        <f>F17/D17</f>
        <v>5.3333333333333337E-2</v>
      </c>
      <c r="F17" s="2434">
        <v>4000000</v>
      </c>
      <c r="G17" s="2434">
        <v>4000000</v>
      </c>
      <c r="H17" s="2434" t="s">
        <v>4536</v>
      </c>
      <c r="I17" s="57" t="s">
        <v>410</v>
      </c>
      <c r="J17" s="2434">
        <f>G17</f>
        <v>4000000</v>
      </c>
      <c r="K17" s="2434">
        <f>F17-J17</f>
        <v>0</v>
      </c>
      <c r="L17" s="2432" t="s">
        <v>3852</v>
      </c>
    </row>
    <row r="18" spans="1:14" ht="30" customHeight="1" x14ac:dyDescent="0.2">
      <c r="A18" s="2887"/>
      <c r="B18" s="22" t="s">
        <v>429</v>
      </c>
      <c r="C18" s="2889" t="s">
        <v>367</v>
      </c>
      <c r="D18" s="2870">
        <v>100000000</v>
      </c>
      <c r="E18" s="2886">
        <v>7.0000000000000007E-2</v>
      </c>
      <c r="F18" s="2870">
        <f t="shared" ref="F18" si="3">D18*E18</f>
        <v>7000000.0000000009</v>
      </c>
      <c r="G18" s="1508">
        <v>7000000</v>
      </c>
      <c r="H18" s="1508" t="s">
        <v>4604</v>
      </c>
      <c r="I18" s="1508" t="s">
        <v>2066</v>
      </c>
      <c r="J18" s="2870">
        <f>G18</f>
        <v>7000000</v>
      </c>
      <c r="K18" s="2870">
        <f>F18-J18</f>
        <v>0</v>
      </c>
      <c r="L18" s="2893"/>
    </row>
    <row r="19" spans="1:14" ht="30" customHeight="1" x14ac:dyDescent="0.2">
      <c r="A19" s="2425">
        <v>14</v>
      </c>
      <c r="B19" s="2428" t="s">
        <v>437</v>
      </c>
      <c r="C19" s="2445" t="s">
        <v>1355</v>
      </c>
      <c r="D19" s="2434">
        <v>150000000</v>
      </c>
      <c r="E19" s="2437">
        <v>0.04</v>
      </c>
      <c r="F19" s="2434">
        <f t="shared" ref="F19:F24" si="4">D19*E19</f>
        <v>6000000</v>
      </c>
      <c r="G19" s="2434">
        <v>6000000</v>
      </c>
      <c r="H19" s="2434" t="s">
        <v>4003</v>
      </c>
      <c r="I19" s="69" t="s">
        <v>4202</v>
      </c>
      <c r="J19" s="2434">
        <f t="shared" ref="J19:J25" si="5">G19</f>
        <v>6000000</v>
      </c>
      <c r="K19" s="2434">
        <f t="shared" ref="K19:K25" si="6">F19-J19</f>
        <v>0</v>
      </c>
      <c r="L19" s="2430"/>
    </row>
    <row r="20" spans="1:14" ht="30" customHeight="1" x14ac:dyDescent="0.2">
      <c r="A20" s="3202"/>
      <c r="B20" s="3207" t="s">
        <v>4889</v>
      </c>
      <c r="C20" s="3211" t="s">
        <v>1354</v>
      </c>
      <c r="D20" s="3204">
        <v>350000000</v>
      </c>
      <c r="E20" s="3206">
        <v>7.0000000000000007E-2</v>
      </c>
      <c r="F20" s="3204">
        <f t="shared" si="4"/>
        <v>24500000.000000004</v>
      </c>
      <c r="G20" s="3204"/>
      <c r="H20" s="3204"/>
      <c r="I20" s="69"/>
      <c r="J20" s="3204"/>
      <c r="K20" s="3204"/>
      <c r="L20" s="3208" t="s">
        <v>4890</v>
      </c>
    </row>
    <row r="21" spans="1:14" ht="30" customHeight="1" x14ac:dyDescent="0.2">
      <c r="A21" s="2425">
        <v>15</v>
      </c>
      <c r="B21" s="2428" t="s">
        <v>445</v>
      </c>
      <c r="C21" s="2445"/>
      <c r="D21" s="2434">
        <v>13000000</v>
      </c>
      <c r="E21" s="2437">
        <v>0.05</v>
      </c>
      <c r="F21" s="2434">
        <f t="shared" si="4"/>
        <v>650000</v>
      </c>
      <c r="G21" s="2434">
        <v>650000</v>
      </c>
      <c r="H21" s="2434" t="s">
        <v>1047</v>
      </c>
      <c r="I21" s="69" t="s">
        <v>2218</v>
      </c>
      <c r="J21" s="2434">
        <f t="shared" si="5"/>
        <v>650000</v>
      </c>
      <c r="K21" s="2434">
        <f t="shared" si="6"/>
        <v>0</v>
      </c>
      <c r="L21" s="2430"/>
    </row>
    <row r="22" spans="1:14" ht="30" customHeight="1" x14ac:dyDescent="0.2">
      <c r="A22" s="2465">
        <v>16</v>
      </c>
      <c r="B22" s="22" t="s">
        <v>498</v>
      </c>
      <c r="C22" s="2467" t="s">
        <v>1817</v>
      </c>
      <c r="D22" s="2422">
        <v>80000000</v>
      </c>
      <c r="E22" s="2463">
        <v>0.04</v>
      </c>
      <c r="F22" s="2422">
        <f t="shared" si="4"/>
        <v>3200000</v>
      </c>
      <c r="G22" s="2422">
        <v>3200000</v>
      </c>
      <c r="H22" s="2422" t="s">
        <v>4512</v>
      </c>
      <c r="I22" s="2499" t="s">
        <v>4140</v>
      </c>
      <c r="J22" s="2422">
        <f t="shared" si="5"/>
        <v>3200000</v>
      </c>
      <c r="K22" s="2422">
        <f t="shared" si="6"/>
        <v>0</v>
      </c>
      <c r="L22" s="53"/>
    </row>
    <row r="23" spans="1:14" ht="30" customHeight="1" x14ac:dyDescent="0.2">
      <c r="A23" s="2425">
        <v>17</v>
      </c>
      <c r="B23" s="2428" t="s">
        <v>768</v>
      </c>
      <c r="C23" s="2445" t="s">
        <v>1344</v>
      </c>
      <c r="D23" s="2434">
        <v>100000000</v>
      </c>
      <c r="E23" s="2437">
        <v>0.06</v>
      </c>
      <c r="F23" s="2434">
        <f t="shared" si="4"/>
        <v>6000000</v>
      </c>
      <c r="G23" s="2434">
        <v>6000000</v>
      </c>
      <c r="H23" s="2434" t="s">
        <v>1047</v>
      </c>
      <c r="I23" s="69" t="s">
        <v>3343</v>
      </c>
      <c r="J23" s="2434">
        <f t="shared" si="5"/>
        <v>6000000</v>
      </c>
      <c r="K23" s="2434">
        <f t="shared" si="6"/>
        <v>0</v>
      </c>
      <c r="L23" s="2430"/>
    </row>
    <row r="24" spans="1:14" ht="30" customHeight="1" x14ac:dyDescent="0.2">
      <c r="A24" s="2425">
        <v>18</v>
      </c>
      <c r="B24" s="2428" t="s">
        <v>567</v>
      </c>
      <c r="C24" s="2445" t="s">
        <v>1355</v>
      </c>
      <c r="D24" s="2434">
        <v>50000000</v>
      </c>
      <c r="E24" s="2437">
        <v>0.05</v>
      </c>
      <c r="F24" s="2434">
        <f t="shared" si="4"/>
        <v>2500000</v>
      </c>
      <c r="G24" s="2434">
        <v>2500000</v>
      </c>
      <c r="H24" s="2434" t="s">
        <v>4003</v>
      </c>
      <c r="I24" s="69" t="s">
        <v>4626</v>
      </c>
      <c r="J24" s="2434">
        <f t="shared" si="5"/>
        <v>2500000</v>
      </c>
      <c r="K24" s="2434">
        <f t="shared" si="6"/>
        <v>0</v>
      </c>
      <c r="L24" s="2430"/>
    </row>
    <row r="25" spans="1:14" ht="30" customHeight="1" x14ac:dyDescent="0.2">
      <c r="A25" s="3693">
        <v>19</v>
      </c>
      <c r="B25" s="3457" t="s">
        <v>574</v>
      </c>
      <c r="C25" s="3570" t="s">
        <v>1355</v>
      </c>
      <c r="D25" s="2434">
        <v>50000000</v>
      </c>
      <c r="E25" s="3444">
        <f>F25/(D25+D26)</f>
        <v>0.05</v>
      </c>
      <c r="F25" s="3442">
        <v>3250000</v>
      </c>
      <c r="G25" s="3442">
        <v>3250000</v>
      </c>
      <c r="H25" s="3442" t="s">
        <v>4552</v>
      </c>
      <c r="I25" s="3582" t="s">
        <v>4553</v>
      </c>
      <c r="J25" s="3442">
        <f t="shared" si="5"/>
        <v>3250000</v>
      </c>
      <c r="K25" s="3442">
        <f t="shared" si="6"/>
        <v>0</v>
      </c>
      <c r="L25" s="2482" t="s">
        <v>2121</v>
      </c>
    </row>
    <row r="26" spans="1:14" ht="30" customHeight="1" x14ac:dyDescent="0.2">
      <c r="A26" s="3693"/>
      <c r="B26" s="3459"/>
      <c r="C26" s="3576"/>
      <c r="D26" s="2434">
        <v>15000000</v>
      </c>
      <c r="E26" s="3445"/>
      <c r="F26" s="3443"/>
      <c r="G26" s="3443"/>
      <c r="H26" s="3443"/>
      <c r="I26" s="3583"/>
      <c r="J26" s="3443"/>
      <c r="K26" s="3443"/>
      <c r="L26" s="2482" t="s">
        <v>4673</v>
      </c>
    </row>
    <row r="27" spans="1:14" ht="30" customHeight="1" x14ac:dyDescent="0.2">
      <c r="A27" s="3693"/>
      <c r="B27" s="3458"/>
      <c r="C27" s="3571"/>
      <c r="D27" s="2868">
        <v>30000000</v>
      </c>
      <c r="E27" s="2867">
        <v>0.05</v>
      </c>
      <c r="F27" s="2868">
        <f>E27*D27</f>
        <v>1500000</v>
      </c>
      <c r="G27" s="2868">
        <v>1900000</v>
      </c>
      <c r="H27" s="2868" t="s">
        <v>2604</v>
      </c>
      <c r="I27" s="69" t="s">
        <v>4553</v>
      </c>
      <c r="J27" s="2868">
        <f>G27</f>
        <v>1900000</v>
      </c>
      <c r="K27" s="2868"/>
      <c r="L27" s="2869" t="s">
        <v>4674</v>
      </c>
    </row>
    <row r="28" spans="1:14" ht="30" customHeight="1" x14ac:dyDescent="0.2">
      <c r="A28" s="2425">
        <v>22</v>
      </c>
      <c r="B28" s="22" t="s">
        <v>674</v>
      </c>
      <c r="C28" s="2467" t="s">
        <v>1342</v>
      </c>
      <c r="D28" s="2434">
        <v>300000000</v>
      </c>
      <c r="E28" s="2437">
        <v>0.05</v>
      </c>
      <c r="F28" s="2434">
        <f>D28*E28</f>
        <v>15000000</v>
      </c>
      <c r="G28" s="2434">
        <v>15000000</v>
      </c>
      <c r="H28" s="2434" t="s">
        <v>4630</v>
      </c>
      <c r="I28" s="69" t="s">
        <v>2294</v>
      </c>
      <c r="J28" s="2422">
        <f>G28</f>
        <v>15000000</v>
      </c>
      <c r="K28" s="2422">
        <f>F28-J28</f>
        <v>0</v>
      </c>
      <c r="L28" s="53"/>
    </row>
    <row r="29" spans="1:14" ht="30" customHeight="1" x14ac:dyDescent="0.2">
      <c r="A29" s="1081">
        <v>23</v>
      </c>
      <c r="B29" s="22" t="s">
        <v>2247</v>
      </c>
      <c r="C29" s="2467" t="s">
        <v>2130</v>
      </c>
      <c r="D29" s="2434">
        <v>150000000</v>
      </c>
      <c r="E29" s="2437">
        <v>7.0000000000000007E-2</v>
      </c>
      <c r="F29" s="2434">
        <f>D29*E29</f>
        <v>10500000.000000002</v>
      </c>
      <c r="G29" s="2434">
        <v>10500000</v>
      </c>
      <c r="H29" s="2451" t="s">
        <v>3138</v>
      </c>
      <c r="I29" s="69" t="s">
        <v>3842</v>
      </c>
      <c r="J29" s="2422">
        <f>G29</f>
        <v>10500000</v>
      </c>
      <c r="K29" s="2422">
        <f>F29-G29</f>
        <v>0</v>
      </c>
      <c r="L29" s="683"/>
    </row>
    <row r="30" spans="1:14" ht="30" customHeight="1" x14ac:dyDescent="0.2">
      <c r="A30" s="1081"/>
      <c r="B30" s="22" t="s">
        <v>3756</v>
      </c>
      <c r="C30" s="2467" t="s">
        <v>2130</v>
      </c>
      <c r="D30" s="2434">
        <v>70000000</v>
      </c>
      <c r="E30" s="2437">
        <v>0.06</v>
      </c>
      <c r="F30" s="2434">
        <f>D30*E30</f>
        <v>4200000</v>
      </c>
      <c r="G30" s="2434">
        <v>4200000</v>
      </c>
      <c r="H30" s="2451" t="s">
        <v>3138</v>
      </c>
      <c r="I30" s="69" t="s">
        <v>3843</v>
      </c>
      <c r="J30" s="2422">
        <f>G30</f>
        <v>4200000</v>
      </c>
      <c r="K30" s="2434">
        <v>0</v>
      </c>
      <c r="L30" s="33" t="s">
        <v>3844</v>
      </c>
    </row>
    <row r="31" spans="1:14" ht="30" customHeight="1" x14ac:dyDescent="0.2">
      <c r="A31" s="3104"/>
      <c r="B31" s="22" t="s">
        <v>722</v>
      </c>
      <c r="C31" s="421"/>
      <c r="D31" s="3090">
        <v>150000000</v>
      </c>
      <c r="E31" s="1926"/>
      <c r="F31" s="1926"/>
      <c r="G31" s="3694" t="s">
        <v>4803</v>
      </c>
      <c r="H31" s="3969"/>
      <c r="I31" s="3969"/>
      <c r="J31" s="3695"/>
      <c r="K31" s="3090"/>
      <c r="L31" s="3106" t="s">
        <v>4574</v>
      </c>
    </row>
    <row r="32" spans="1:14" ht="30" customHeight="1" x14ac:dyDescent="0.2">
      <c r="A32" s="2425">
        <v>25</v>
      </c>
      <c r="B32" s="2428" t="s">
        <v>738</v>
      </c>
      <c r="C32" s="2445" t="s">
        <v>1351</v>
      </c>
      <c r="D32" s="2434">
        <v>35000000</v>
      </c>
      <c r="E32" s="2437">
        <v>5.8000000000000003E-2</v>
      </c>
      <c r="F32" s="2434">
        <v>2000000</v>
      </c>
      <c r="G32" s="2434">
        <v>2000000</v>
      </c>
      <c r="H32" s="2451" t="s">
        <v>4756</v>
      </c>
      <c r="I32" s="69" t="s">
        <v>4277</v>
      </c>
      <c r="J32" s="2434">
        <f>G32</f>
        <v>2000000</v>
      </c>
      <c r="K32" s="2434">
        <f>F32-G32</f>
        <v>0</v>
      </c>
      <c r="L32" s="2432"/>
      <c r="M32" s="406"/>
      <c r="N32" s="406"/>
    </row>
    <row r="33" spans="1:14" ht="30" customHeight="1" x14ac:dyDescent="0.2">
      <c r="A33" s="2424"/>
      <c r="B33" s="2427" t="s">
        <v>828</v>
      </c>
      <c r="C33" s="2454" t="s">
        <v>367</v>
      </c>
      <c r="D33" s="2438">
        <v>700000000</v>
      </c>
      <c r="E33" s="2436">
        <v>0.05</v>
      </c>
      <c r="F33" s="2438">
        <f t="shared" ref="F33:F45" si="7">D33*E33</f>
        <v>35000000</v>
      </c>
      <c r="G33" s="2422"/>
      <c r="H33" s="2422"/>
      <c r="I33" s="2422" t="s">
        <v>3198</v>
      </c>
      <c r="J33" s="2422">
        <f>G33</f>
        <v>0</v>
      </c>
      <c r="K33" s="2438">
        <f>F33-J33</f>
        <v>35000000</v>
      </c>
      <c r="L33" s="192" t="s">
        <v>3824</v>
      </c>
      <c r="M33" s="406"/>
      <c r="N33" s="406"/>
    </row>
    <row r="34" spans="1:14" ht="30" customHeight="1" x14ac:dyDescent="0.2">
      <c r="A34" s="3450">
        <v>27</v>
      </c>
      <c r="B34" s="3457" t="s">
        <v>832</v>
      </c>
      <c r="C34" s="3570" t="s">
        <v>1354</v>
      </c>
      <c r="D34" s="2433">
        <v>500000000</v>
      </c>
      <c r="E34" s="2435">
        <v>7.0000000000000007E-2</v>
      </c>
      <c r="F34" s="2433">
        <f t="shared" si="7"/>
        <v>35000000</v>
      </c>
      <c r="G34" s="3442">
        <v>68800000</v>
      </c>
      <c r="H34" s="3442" t="s">
        <v>2251</v>
      </c>
      <c r="I34" s="3582" t="s">
        <v>2420</v>
      </c>
      <c r="J34" s="3442">
        <f t="shared" ref="J34:J42" si="8">G34</f>
        <v>68800000</v>
      </c>
      <c r="K34" s="3442"/>
      <c r="L34" s="2429"/>
      <c r="M34" s="406"/>
      <c r="N34" s="406"/>
    </row>
    <row r="35" spans="1:14" ht="30" customHeight="1" x14ac:dyDescent="0.2">
      <c r="A35" s="3456"/>
      <c r="B35" s="3459"/>
      <c r="C35" s="3576"/>
      <c r="D35" s="2950">
        <v>150000000</v>
      </c>
      <c r="E35" s="2949"/>
      <c r="F35" s="2950"/>
      <c r="G35" s="3461"/>
      <c r="H35" s="3461"/>
      <c r="I35" s="3924"/>
      <c r="J35" s="3461"/>
      <c r="K35" s="3461"/>
      <c r="L35" s="2952" t="s">
        <v>4592</v>
      </c>
      <c r="M35" s="406"/>
      <c r="N35" s="406"/>
    </row>
    <row r="36" spans="1:14" ht="30" customHeight="1" x14ac:dyDescent="0.2">
      <c r="A36" s="3451"/>
      <c r="B36" s="3458"/>
      <c r="C36" s="3571"/>
      <c r="D36" s="2950">
        <v>500000000</v>
      </c>
      <c r="E36" s="2949"/>
      <c r="F36" s="2950"/>
      <c r="G36" s="3443"/>
      <c r="H36" s="3443"/>
      <c r="I36" s="3583"/>
      <c r="J36" s="3443"/>
      <c r="K36" s="3443"/>
      <c r="L36" s="2951"/>
      <c r="M36" s="406"/>
      <c r="N36" s="406"/>
    </row>
    <row r="37" spans="1:14" ht="30" customHeight="1" x14ac:dyDescent="0.2">
      <c r="A37" s="3450"/>
      <c r="B37" s="3457" t="s">
        <v>3505</v>
      </c>
      <c r="C37" s="3570" t="s">
        <v>1354</v>
      </c>
      <c r="D37" s="3442">
        <v>700000000</v>
      </c>
      <c r="E37" s="3444">
        <v>0.06</v>
      </c>
      <c r="F37" s="3442">
        <f t="shared" si="7"/>
        <v>42000000</v>
      </c>
      <c r="G37" s="2422">
        <v>15000000</v>
      </c>
      <c r="H37" s="2422" t="s">
        <v>4480</v>
      </c>
      <c r="I37" s="2422" t="s">
        <v>4503</v>
      </c>
      <c r="J37" s="3442">
        <f>G37+G38</f>
        <v>57000000</v>
      </c>
      <c r="K37" s="3442">
        <f>F37-8000000-J37-J38</f>
        <v>-23000000</v>
      </c>
      <c r="L37" s="3277" t="s">
        <v>4416</v>
      </c>
      <c r="M37" s="406"/>
      <c r="N37" s="406"/>
    </row>
    <row r="38" spans="1:14" ht="30" customHeight="1" x14ac:dyDescent="0.2">
      <c r="A38" s="3451"/>
      <c r="B38" s="3458"/>
      <c r="C38" s="3571"/>
      <c r="D38" s="3443"/>
      <c r="E38" s="3445"/>
      <c r="F38" s="3443"/>
      <c r="G38" s="2434">
        <v>42000000</v>
      </c>
      <c r="H38" s="2451" t="s">
        <v>4954</v>
      </c>
      <c r="I38" s="2451" t="s">
        <v>846</v>
      </c>
      <c r="J38" s="3443"/>
      <c r="K38" s="3443"/>
      <c r="L38" s="2432" t="s">
        <v>4955</v>
      </c>
      <c r="M38" s="406"/>
      <c r="N38" s="406"/>
    </row>
    <row r="39" spans="1:14" ht="30" customHeight="1" x14ac:dyDescent="0.2">
      <c r="A39" s="3450">
        <v>29</v>
      </c>
      <c r="B39" s="3457" t="s">
        <v>865</v>
      </c>
      <c r="C39" s="2467" t="s">
        <v>1378</v>
      </c>
      <c r="D39" s="2434">
        <v>42000000</v>
      </c>
      <c r="E39" s="2437">
        <v>7.0000000000000007E-2</v>
      </c>
      <c r="F39" s="2434">
        <f t="shared" si="7"/>
        <v>2940000.0000000005</v>
      </c>
      <c r="G39" s="2434">
        <v>2940000</v>
      </c>
      <c r="H39" s="2451" t="s">
        <v>4756</v>
      </c>
      <c r="I39" s="69" t="s">
        <v>4757</v>
      </c>
      <c r="J39" s="2434">
        <f t="shared" si="8"/>
        <v>2940000</v>
      </c>
      <c r="K39" s="2434">
        <f t="shared" ref="K39:K42" si="9">F39-J39</f>
        <v>0</v>
      </c>
      <c r="L39" s="2432"/>
      <c r="M39" s="406"/>
      <c r="N39" s="406"/>
    </row>
    <row r="40" spans="1:14" ht="30" customHeight="1" x14ac:dyDescent="0.2">
      <c r="A40" s="3451"/>
      <c r="B40" s="3458"/>
      <c r="C40" s="2445" t="s">
        <v>4247</v>
      </c>
      <c r="D40" s="2434">
        <v>200000000</v>
      </c>
      <c r="E40" s="2437"/>
      <c r="F40" s="2434"/>
      <c r="G40" s="2434"/>
      <c r="H40" s="2451"/>
      <c r="I40" s="69"/>
      <c r="J40" s="2434"/>
      <c r="K40" s="2434"/>
      <c r="L40" s="2482" t="s">
        <v>4248</v>
      </c>
      <c r="M40" s="406"/>
      <c r="N40" s="406"/>
    </row>
    <row r="41" spans="1:14" ht="30" customHeight="1" x14ac:dyDescent="0.2">
      <c r="A41" s="2425">
        <v>30</v>
      </c>
      <c r="B41" s="2428" t="s">
        <v>870</v>
      </c>
      <c r="C41" s="2445" t="s">
        <v>1138</v>
      </c>
      <c r="D41" s="2434">
        <v>20000000</v>
      </c>
      <c r="E41" s="2437">
        <v>0.04</v>
      </c>
      <c r="F41" s="2434">
        <f t="shared" si="7"/>
        <v>800000</v>
      </c>
      <c r="G41" s="2434">
        <v>800000</v>
      </c>
      <c r="H41" s="2451" t="s">
        <v>4756</v>
      </c>
      <c r="I41" s="69" t="s">
        <v>3240</v>
      </c>
      <c r="J41" s="2434">
        <f t="shared" si="8"/>
        <v>800000</v>
      </c>
      <c r="K41" s="2434">
        <f t="shared" si="9"/>
        <v>0</v>
      </c>
      <c r="L41" s="683"/>
      <c r="M41" s="406"/>
      <c r="N41" s="406"/>
    </row>
    <row r="42" spans="1:14" ht="30" customHeight="1" x14ac:dyDescent="0.2">
      <c r="A42" s="2423">
        <v>31</v>
      </c>
      <c r="B42" s="2468" t="s">
        <v>944</v>
      </c>
      <c r="C42" s="2444"/>
      <c r="D42" s="2422">
        <v>100000000</v>
      </c>
      <c r="E42" s="2463">
        <v>7.0000000000000007E-2</v>
      </c>
      <c r="F42" s="2422">
        <f t="shared" si="7"/>
        <v>7000000.0000000009</v>
      </c>
      <c r="G42" s="2434">
        <v>7000000</v>
      </c>
      <c r="H42" s="2451" t="s">
        <v>4779</v>
      </c>
      <c r="I42" s="69" t="s">
        <v>3330</v>
      </c>
      <c r="J42" s="2433">
        <f t="shared" si="8"/>
        <v>7000000</v>
      </c>
      <c r="K42" s="2433">
        <f t="shared" si="9"/>
        <v>0</v>
      </c>
      <c r="L42" s="2429"/>
      <c r="M42" s="406"/>
      <c r="N42" s="406"/>
    </row>
    <row r="43" spans="1:14" ht="30" customHeight="1" x14ac:dyDescent="0.2">
      <c r="A43" s="3450">
        <v>32</v>
      </c>
      <c r="B43" s="3457" t="s">
        <v>1011</v>
      </c>
      <c r="C43" s="3570" t="s">
        <v>1378</v>
      </c>
      <c r="D43" s="2434">
        <v>100000000</v>
      </c>
      <c r="E43" s="2437">
        <v>0.05</v>
      </c>
      <c r="F43" s="2434">
        <f t="shared" si="7"/>
        <v>5000000</v>
      </c>
      <c r="G43" s="3442">
        <v>8850000</v>
      </c>
      <c r="H43" s="3442" t="s">
        <v>4779</v>
      </c>
      <c r="I43" s="3582" t="s">
        <v>3121</v>
      </c>
      <c r="J43" s="3442">
        <f>G43</f>
        <v>8850000</v>
      </c>
      <c r="K43" s="3442">
        <f>(F43+F44+F45)-J43</f>
        <v>0</v>
      </c>
      <c r="L43" s="3468"/>
      <c r="M43" s="406"/>
      <c r="N43" s="406"/>
    </row>
    <row r="44" spans="1:14" ht="30" customHeight="1" x14ac:dyDescent="0.2">
      <c r="A44" s="3456"/>
      <c r="B44" s="3459"/>
      <c r="C44" s="3576"/>
      <c r="D44" s="2434">
        <v>35000000</v>
      </c>
      <c r="E44" s="2437">
        <v>7.0000000000000007E-2</v>
      </c>
      <c r="F44" s="2434">
        <f t="shared" si="7"/>
        <v>2450000.0000000005</v>
      </c>
      <c r="G44" s="3461"/>
      <c r="H44" s="3461"/>
      <c r="I44" s="3924"/>
      <c r="J44" s="3461"/>
      <c r="K44" s="3461"/>
      <c r="L44" s="3606"/>
      <c r="M44" s="406"/>
      <c r="N44" s="406"/>
    </row>
    <row r="45" spans="1:14" ht="30" customHeight="1" x14ac:dyDescent="0.2">
      <c r="A45" s="3451"/>
      <c r="B45" s="3458"/>
      <c r="C45" s="3571"/>
      <c r="D45" s="2422">
        <v>20000000</v>
      </c>
      <c r="E45" s="2463">
        <v>7.0000000000000007E-2</v>
      </c>
      <c r="F45" s="2422">
        <f t="shared" si="7"/>
        <v>1400000.0000000002</v>
      </c>
      <c r="G45" s="3443"/>
      <c r="H45" s="3443"/>
      <c r="I45" s="3583"/>
      <c r="J45" s="3443"/>
      <c r="K45" s="3443"/>
      <c r="L45" s="3812"/>
      <c r="M45" s="3479"/>
      <c r="N45" s="3480"/>
    </row>
    <row r="46" spans="1:14" ht="30" customHeight="1" x14ac:dyDescent="0.2">
      <c r="A46" s="2425">
        <v>33</v>
      </c>
      <c r="B46" s="2428" t="s">
        <v>1022</v>
      </c>
      <c r="C46" s="2445" t="s">
        <v>1342</v>
      </c>
      <c r="D46" s="2434">
        <v>63580000</v>
      </c>
      <c r="E46" s="2437">
        <v>7.0000000000000007E-2</v>
      </c>
      <c r="F46" s="2434">
        <v>4450000</v>
      </c>
      <c r="G46" s="2434">
        <v>4450000</v>
      </c>
      <c r="H46" s="2434" t="s">
        <v>4630</v>
      </c>
      <c r="I46" s="69" t="s">
        <v>495</v>
      </c>
      <c r="J46" s="2434">
        <f>G46</f>
        <v>4450000</v>
      </c>
      <c r="K46" s="2434">
        <f t="shared" ref="K46:K56" si="10">F46-J46</f>
        <v>0</v>
      </c>
      <c r="L46" s="2432"/>
      <c r="M46" s="406"/>
      <c r="N46" s="406"/>
    </row>
    <row r="47" spans="1:14" ht="30" customHeight="1" x14ac:dyDescent="0.2">
      <c r="A47" s="2425">
        <v>34</v>
      </c>
      <c r="B47" s="2427" t="s">
        <v>1141</v>
      </c>
      <c r="C47" s="2445"/>
      <c r="D47" s="2434">
        <v>20000000</v>
      </c>
      <c r="E47" s="2437">
        <v>0.04</v>
      </c>
      <c r="F47" s="2434">
        <f>D47*E47</f>
        <v>800000</v>
      </c>
      <c r="G47" s="2434">
        <v>800000</v>
      </c>
      <c r="H47" s="2434" t="s">
        <v>4756</v>
      </c>
      <c r="I47" s="69" t="s">
        <v>1143</v>
      </c>
      <c r="J47" s="2434">
        <f>G47</f>
        <v>800000</v>
      </c>
      <c r="K47" s="2434">
        <f t="shared" si="10"/>
        <v>0</v>
      </c>
      <c r="L47" s="2432"/>
      <c r="M47" s="406"/>
      <c r="N47" s="406"/>
    </row>
    <row r="48" spans="1:14" ht="30" customHeight="1" x14ac:dyDescent="0.2">
      <c r="A48" s="2465">
        <v>35</v>
      </c>
      <c r="B48" s="22" t="s">
        <v>1188</v>
      </c>
      <c r="C48" s="2467" t="s">
        <v>1175</v>
      </c>
      <c r="D48" s="2422">
        <v>175000000</v>
      </c>
      <c r="E48" s="2463">
        <v>0.06</v>
      </c>
      <c r="F48" s="2422">
        <f>D48*E48</f>
        <v>10500000</v>
      </c>
      <c r="G48" s="3442">
        <v>14500000</v>
      </c>
      <c r="H48" s="3442" t="s">
        <v>4942</v>
      </c>
      <c r="I48" s="3442" t="s">
        <v>1819</v>
      </c>
      <c r="J48" s="3442">
        <f>G48</f>
        <v>14500000</v>
      </c>
      <c r="K48" s="3442">
        <f>(F48+F49)-J48</f>
        <v>0</v>
      </c>
      <c r="L48" s="2497"/>
      <c r="M48" s="406"/>
      <c r="N48" s="406"/>
    </row>
    <row r="49" spans="1:14" ht="30" customHeight="1" x14ac:dyDescent="0.2">
      <c r="A49" s="3450"/>
      <c r="B49" s="3939" t="s">
        <v>3399</v>
      </c>
      <c r="C49" s="3570" t="s">
        <v>1175</v>
      </c>
      <c r="D49" s="3282">
        <v>100000000</v>
      </c>
      <c r="E49" s="3051">
        <v>0.04</v>
      </c>
      <c r="F49" s="3282">
        <f>D49*E49</f>
        <v>4000000</v>
      </c>
      <c r="G49" s="3443"/>
      <c r="H49" s="3443"/>
      <c r="I49" s="3443"/>
      <c r="J49" s="3443"/>
      <c r="K49" s="3443"/>
      <c r="L49" s="2432" t="s">
        <v>3400</v>
      </c>
      <c r="M49" s="406"/>
      <c r="N49" s="406"/>
    </row>
    <row r="50" spans="1:14" ht="30" customHeight="1" x14ac:dyDescent="0.2">
      <c r="A50" s="3451"/>
      <c r="B50" s="3940"/>
      <c r="C50" s="3571"/>
      <c r="D50" s="3941" t="s">
        <v>2171</v>
      </c>
      <c r="E50" s="3942"/>
      <c r="F50" s="3943"/>
      <c r="G50" s="3281">
        <v>100000000</v>
      </c>
      <c r="H50" s="3281" t="s">
        <v>4950</v>
      </c>
      <c r="I50" s="3281" t="s">
        <v>4952</v>
      </c>
      <c r="J50" s="3281">
        <f>G50</f>
        <v>100000000</v>
      </c>
      <c r="K50" s="3275"/>
      <c r="L50" s="3277"/>
      <c r="M50" s="406"/>
      <c r="N50" s="406"/>
    </row>
    <row r="51" spans="1:14" ht="30" customHeight="1" x14ac:dyDescent="0.2">
      <c r="A51" s="3450">
        <v>36</v>
      </c>
      <c r="B51" s="3457" t="s">
        <v>3506</v>
      </c>
      <c r="C51" s="3570" t="s">
        <v>1112</v>
      </c>
      <c r="D51" s="2422">
        <v>50000000</v>
      </c>
      <c r="E51" s="2463">
        <v>7.0000000000000007E-2</v>
      </c>
      <c r="F51" s="2422">
        <f>D51*E51</f>
        <v>3500000.0000000005</v>
      </c>
      <c r="G51" s="3442">
        <v>5600000</v>
      </c>
      <c r="H51" s="3442" t="s">
        <v>4942</v>
      </c>
      <c r="I51" s="3564" t="s">
        <v>4409</v>
      </c>
      <c r="J51" s="3442">
        <f>G51</f>
        <v>5600000</v>
      </c>
      <c r="K51" s="3442"/>
      <c r="L51" s="2432" t="s">
        <v>4442</v>
      </c>
      <c r="M51" s="406"/>
      <c r="N51" s="406"/>
    </row>
    <row r="52" spans="1:14" ht="30" customHeight="1" x14ac:dyDescent="0.2">
      <c r="A52" s="3451"/>
      <c r="B52" s="3458"/>
      <c r="C52" s="3571"/>
      <c r="D52" s="2558">
        <v>40000000</v>
      </c>
      <c r="E52" s="2587">
        <v>0.06</v>
      </c>
      <c r="F52" s="2552">
        <v>2500000</v>
      </c>
      <c r="G52" s="3443"/>
      <c r="H52" s="3443"/>
      <c r="I52" s="3565"/>
      <c r="J52" s="3443"/>
      <c r="K52" s="3443"/>
      <c r="L52" s="2556" t="s">
        <v>4449</v>
      </c>
      <c r="M52" s="406"/>
      <c r="N52" s="406"/>
    </row>
    <row r="53" spans="1:14" ht="30" customHeight="1" x14ac:dyDescent="0.2">
      <c r="A53" s="2425">
        <v>38</v>
      </c>
      <c r="B53" s="2426" t="s">
        <v>1302</v>
      </c>
      <c r="C53" s="2445"/>
      <c r="D53" s="315"/>
      <c r="E53" s="316"/>
      <c r="F53" s="315"/>
      <c r="G53" s="2434"/>
      <c r="H53" s="2434"/>
      <c r="I53" s="69"/>
      <c r="J53" s="2434"/>
      <c r="K53" s="2440">
        <f t="shared" si="10"/>
        <v>0</v>
      </c>
      <c r="L53" s="2432"/>
    </row>
    <row r="54" spans="1:14" ht="30" customHeight="1" x14ac:dyDescent="0.2">
      <c r="A54" s="2425">
        <v>39</v>
      </c>
      <c r="B54" s="2426" t="s">
        <v>1261</v>
      </c>
      <c r="C54" s="2445"/>
      <c r="D54" s="315"/>
      <c r="E54" s="316"/>
      <c r="F54" s="315"/>
      <c r="G54" s="2434"/>
      <c r="H54" s="2434"/>
      <c r="I54" s="69"/>
      <c r="J54" s="2434"/>
      <c r="K54" s="2440">
        <f t="shared" si="10"/>
        <v>0</v>
      </c>
      <c r="L54" s="2432"/>
    </row>
    <row r="55" spans="1:14" ht="30" customHeight="1" x14ac:dyDescent="0.2">
      <c r="A55" s="2425">
        <v>40</v>
      </c>
      <c r="B55" s="2426" t="s">
        <v>1314</v>
      </c>
      <c r="C55" s="2445" t="s">
        <v>1344</v>
      </c>
      <c r="D55" s="2487">
        <v>16000000</v>
      </c>
      <c r="E55" s="317">
        <v>0.05</v>
      </c>
      <c r="F55" s="2487">
        <f>D55*E55</f>
        <v>800000</v>
      </c>
      <c r="G55" s="2434">
        <v>800000</v>
      </c>
      <c r="H55" s="2434" t="s">
        <v>1047</v>
      </c>
      <c r="I55" s="69" t="s">
        <v>1317</v>
      </c>
      <c r="J55" s="2434">
        <f>G55</f>
        <v>800000</v>
      </c>
      <c r="K55" s="2434">
        <f t="shared" si="10"/>
        <v>0</v>
      </c>
      <c r="L55" s="2432"/>
    </row>
    <row r="56" spans="1:14" ht="30" customHeight="1" x14ac:dyDescent="0.2">
      <c r="A56" s="2425">
        <v>41</v>
      </c>
      <c r="B56" s="2426" t="s">
        <v>1337</v>
      </c>
      <c r="C56" s="2445"/>
      <c r="D56" s="315"/>
      <c r="E56" s="316"/>
      <c r="F56" s="315"/>
      <c r="G56" s="2434"/>
      <c r="H56" s="2434"/>
      <c r="I56" s="69"/>
      <c r="J56" s="2434"/>
      <c r="K56" s="2440">
        <f t="shared" si="10"/>
        <v>0</v>
      </c>
      <c r="L56" s="2432"/>
    </row>
    <row r="57" spans="1:14" ht="30" customHeight="1" x14ac:dyDescent="0.2">
      <c r="A57" s="2425">
        <v>42</v>
      </c>
      <c r="B57" s="2468" t="s">
        <v>186</v>
      </c>
      <c r="C57" s="2445"/>
      <c r="D57" s="2434">
        <v>60000000</v>
      </c>
      <c r="E57" s="2463">
        <v>0.05</v>
      </c>
      <c r="F57" s="2434">
        <f t="shared" ref="F57:F177" si="11">D57*E57</f>
        <v>3000000</v>
      </c>
      <c r="G57" s="3442">
        <v>3500000</v>
      </c>
      <c r="H57" s="3442" t="s">
        <v>4512</v>
      </c>
      <c r="I57" s="3589" t="s">
        <v>2954</v>
      </c>
      <c r="J57" s="3442">
        <f>G57</f>
        <v>3500000</v>
      </c>
      <c r="K57" s="3442">
        <f>(F57+F58)-J57</f>
        <v>0</v>
      </c>
      <c r="L57" s="3525"/>
    </row>
    <row r="58" spans="1:14" ht="30" customHeight="1" x14ac:dyDescent="0.2">
      <c r="A58" s="2425">
        <v>43</v>
      </c>
      <c r="B58" s="2466" t="s">
        <v>1109</v>
      </c>
      <c r="C58" s="2445"/>
      <c r="D58" s="2434">
        <v>10000000</v>
      </c>
      <c r="E58" s="2463">
        <v>0.05</v>
      </c>
      <c r="F58" s="2434">
        <f>D58*E58</f>
        <v>500000</v>
      </c>
      <c r="G58" s="3443"/>
      <c r="H58" s="3443"/>
      <c r="I58" s="3591"/>
      <c r="J58" s="3443"/>
      <c r="K58" s="3443"/>
      <c r="L58" s="3526"/>
    </row>
    <row r="59" spans="1:14" ht="30" customHeight="1" x14ac:dyDescent="0.2">
      <c r="A59" s="2425">
        <v>44</v>
      </c>
      <c r="B59" s="2466" t="s">
        <v>187</v>
      </c>
      <c r="C59" s="2445" t="s">
        <v>916</v>
      </c>
      <c r="D59" s="2434">
        <v>150000000</v>
      </c>
      <c r="E59" s="2463">
        <v>0.05</v>
      </c>
      <c r="F59" s="2434">
        <f t="shared" si="11"/>
        <v>7500000</v>
      </c>
      <c r="G59" s="2434">
        <v>7500000</v>
      </c>
      <c r="H59" s="2434" t="s">
        <v>4480</v>
      </c>
      <c r="I59" s="2422" t="s">
        <v>1411</v>
      </c>
      <c r="J59" s="2434">
        <f>G59</f>
        <v>7500000</v>
      </c>
      <c r="K59" s="2434">
        <f>F59-J59</f>
        <v>0</v>
      </c>
      <c r="L59" s="2466"/>
    </row>
    <row r="60" spans="1:14" ht="30" customHeight="1" x14ac:dyDescent="0.2">
      <c r="A60" s="3450">
        <v>45</v>
      </c>
      <c r="B60" s="3457" t="s">
        <v>188</v>
      </c>
      <c r="C60" s="3570" t="s">
        <v>1350</v>
      </c>
      <c r="D60" s="2422">
        <v>1590000000</v>
      </c>
      <c r="E60" s="2463">
        <v>7.0000000000000007E-2</v>
      </c>
      <c r="F60" s="2422">
        <f>D60*E60</f>
        <v>111300000.00000001</v>
      </c>
      <c r="G60" s="2422">
        <v>11300000</v>
      </c>
      <c r="H60" s="2434" t="s">
        <v>4480</v>
      </c>
      <c r="I60" s="24" t="s">
        <v>2830</v>
      </c>
      <c r="J60" s="2434">
        <f>G60</f>
        <v>11300000</v>
      </c>
      <c r="K60" s="3442">
        <f>F60-J60</f>
        <v>100000000.00000001</v>
      </c>
      <c r="L60" s="3525"/>
    </row>
    <row r="61" spans="1:14" ht="30" customHeight="1" x14ac:dyDescent="0.2">
      <c r="A61" s="3451"/>
      <c r="B61" s="3458"/>
      <c r="C61" s="3571"/>
      <c r="D61" s="3245">
        <f>D60+100000000</f>
        <v>1690000000</v>
      </c>
      <c r="E61" s="3247">
        <v>7.0000000000000007E-2</v>
      </c>
      <c r="F61" s="3245">
        <f>D61*E61</f>
        <v>118300000.00000001</v>
      </c>
      <c r="G61" s="3478" t="s">
        <v>4393</v>
      </c>
      <c r="H61" s="3479"/>
      <c r="I61" s="3479"/>
      <c r="J61" s="3480"/>
      <c r="K61" s="3443"/>
      <c r="L61" s="3526"/>
    </row>
    <row r="62" spans="1:14" ht="30" customHeight="1" x14ac:dyDescent="0.2">
      <c r="A62" s="3248"/>
      <c r="B62" s="3249"/>
      <c r="C62" s="3251"/>
      <c r="D62" s="3245">
        <v>400000000</v>
      </c>
      <c r="E62" s="3247">
        <v>7.0000000000000007E-2</v>
      </c>
      <c r="F62" s="3245">
        <f>D62*E62</f>
        <v>28000000.000000004</v>
      </c>
      <c r="G62" s="3255"/>
      <c r="H62" s="3256"/>
      <c r="I62" s="3256"/>
      <c r="J62" s="3250"/>
      <c r="K62" s="3246"/>
      <c r="L62" s="3252"/>
    </row>
    <row r="63" spans="1:14" ht="30" customHeight="1" x14ac:dyDescent="0.2">
      <c r="A63" s="3248"/>
      <c r="B63" s="3249"/>
      <c r="C63" s="3251"/>
      <c r="D63" s="3253">
        <f>D61+D62</f>
        <v>2090000000</v>
      </c>
      <c r="E63" s="3254">
        <v>7.0000000000000007E-2</v>
      </c>
      <c r="F63" s="3253">
        <f>D63*E63</f>
        <v>146300000</v>
      </c>
      <c r="G63" s="3255"/>
      <c r="H63" s="3256"/>
      <c r="I63" s="3256"/>
      <c r="J63" s="3250"/>
      <c r="K63" s="3246"/>
      <c r="L63" s="3252"/>
    </row>
    <row r="64" spans="1:14" ht="30" customHeight="1" x14ac:dyDescent="0.2">
      <c r="A64" s="3450">
        <v>46</v>
      </c>
      <c r="B64" s="3457" t="s">
        <v>189</v>
      </c>
      <c r="C64" s="3570" t="s">
        <v>1112</v>
      </c>
      <c r="D64" s="3442">
        <v>1200000000</v>
      </c>
      <c r="E64" s="3444">
        <v>0.08</v>
      </c>
      <c r="F64" s="3442">
        <f>D64*E64</f>
        <v>96000000</v>
      </c>
      <c r="G64" s="2434"/>
      <c r="H64" s="2434"/>
      <c r="I64" s="24"/>
      <c r="J64" s="247"/>
      <c r="K64" s="247"/>
      <c r="L64" s="2474"/>
    </row>
    <row r="65" spans="1:12" ht="30" customHeight="1" x14ac:dyDescent="0.2">
      <c r="A65" s="3456"/>
      <c r="B65" s="3459"/>
      <c r="C65" s="3576"/>
      <c r="D65" s="3461"/>
      <c r="E65" s="3474"/>
      <c r="F65" s="3461"/>
      <c r="G65" s="2434"/>
      <c r="H65" s="2434"/>
      <c r="I65" s="24"/>
      <c r="J65" s="247"/>
      <c r="K65" s="247"/>
      <c r="L65" s="2483"/>
    </row>
    <row r="66" spans="1:12" ht="30" customHeight="1" x14ac:dyDescent="0.2">
      <c r="A66" s="3456"/>
      <c r="B66" s="3459"/>
      <c r="C66" s="3576"/>
      <c r="D66" s="3461"/>
      <c r="E66" s="3474"/>
      <c r="F66" s="3461"/>
      <c r="G66" s="247"/>
      <c r="H66" s="247"/>
      <c r="I66" s="247"/>
      <c r="J66" s="247"/>
      <c r="K66" s="247"/>
      <c r="L66" s="2483"/>
    </row>
    <row r="67" spans="1:12" ht="30" customHeight="1" x14ac:dyDescent="0.2">
      <c r="A67" s="3456"/>
      <c r="B67" s="3459"/>
      <c r="C67" s="3576"/>
      <c r="D67" s="3443"/>
      <c r="E67" s="3445"/>
      <c r="F67" s="3443"/>
      <c r="G67" s="2434"/>
      <c r="H67" s="2434"/>
      <c r="I67" s="24"/>
      <c r="J67" s="2434"/>
      <c r="K67" s="2434"/>
      <c r="L67" s="2483"/>
    </row>
    <row r="68" spans="1:12" ht="30" customHeight="1" x14ac:dyDescent="0.2">
      <c r="A68" s="3451"/>
      <c r="B68" s="3458"/>
      <c r="C68" s="3571"/>
      <c r="D68" s="2434">
        <v>1000000000</v>
      </c>
      <c r="E68" s="2437"/>
      <c r="F68" s="2434"/>
      <c r="G68" s="3478" t="s">
        <v>4033</v>
      </c>
      <c r="H68" s="3479"/>
      <c r="I68" s="3479"/>
      <c r="J68" s="3480"/>
      <c r="K68" s="2434"/>
      <c r="L68" s="2475"/>
    </row>
    <row r="69" spans="1:12" ht="30" customHeight="1" x14ac:dyDescent="0.2">
      <c r="A69" s="2423">
        <v>47</v>
      </c>
      <c r="B69" s="2468" t="s">
        <v>190</v>
      </c>
      <c r="C69" s="2467" t="s">
        <v>1110</v>
      </c>
      <c r="D69" s="2434">
        <v>20000000</v>
      </c>
      <c r="E69" s="2437">
        <v>0.05</v>
      </c>
      <c r="F69" s="2434">
        <f t="shared" si="11"/>
        <v>1000000</v>
      </c>
      <c r="G69" s="2434">
        <v>1000000</v>
      </c>
      <c r="H69" s="2434" t="s">
        <v>4447</v>
      </c>
      <c r="I69" s="2456" t="s">
        <v>4457</v>
      </c>
      <c r="J69" s="2434">
        <f>G69</f>
        <v>1000000</v>
      </c>
      <c r="K69" s="2434">
        <f>F69-J69</f>
        <v>0</v>
      </c>
      <c r="L69" s="2447"/>
    </row>
    <row r="70" spans="1:12" ht="30" customHeight="1" x14ac:dyDescent="0.2">
      <c r="A70" s="3450">
        <v>48</v>
      </c>
      <c r="B70" s="3457" t="s">
        <v>1708</v>
      </c>
      <c r="C70" s="3570" t="s">
        <v>1112</v>
      </c>
      <c r="D70" s="3442">
        <v>100000000</v>
      </c>
      <c r="E70" s="3444">
        <v>0.05</v>
      </c>
      <c r="F70" s="3442">
        <f t="shared" si="11"/>
        <v>5000000</v>
      </c>
      <c r="G70" s="2434">
        <v>5000000</v>
      </c>
      <c r="H70" s="2434" t="s">
        <v>4447</v>
      </c>
      <c r="I70" s="24" t="s">
        <v>4048</v>
      </c>
      <c r="J70" s="2434">
        <f>G70</f>
        <v>5000000</v>
      </c>
      <c r="K70" s="2434">
        <f>F70-J70</f>
        <v>0</v>
      </c>
      <c r="L70" s="2497" t="s">
        <v>4092</v>
      </c>
    </row>
    <row r="71" spans="1:12" ht="30" customHeight="1" x14ac:dyDescent="0.2">
      <c r="A71" s="3451"/>
      <c r="B71" s="3458"/>
      <c r="C71" s="3571"/>
      <c r="D71" s="3443"/>
      <c r="E71" s="3445"/>
      <c r="F71" s="3443"/>
      <c r="G71" s="3274">
        <v>5000000</v>
      </c>
      <c r="H71" s="3274" t="s">
        <v>4942</v>
      </c>
      <c r="I71" s="24" t="s">
        <v>4048</v>
      </c>
      <c r="J71" s="3274">
        <f>G71</f>
        <v>5000000</v>
      </c>
      <c r="K71" s="3274">
        <f>F70-J71</f>
        <v>0</v>
      </c>
      <c r="L71" s="3276" t="s">
        <v>4592</v>
      </c>
    </row>
    <row r="72" spans="1:12" ht="30" customHeight="1" x14ac:dyDescent="0.2">
      <c r="A72" s="1081">
        <v>49</v>
      </c>
      <c r="B72" s="22" t="s">
        <v>192</v>
      </c>
      <c r="C72" s="2467" t="s">
        <v>1350</v>
      </c>
      <c r="D72" s="2422">
        <v>230000000</v>
      </c>
      <c r="E72" s="2463">
        <v>0.05</v>
      </c>
      <c r="F72" s="2422">
        <f t="shared" si="11"/>
        <v>11500000</v>
      </c>
      <c r="G72" s="2422"/>
      <c r="H72" s="2422"/>
      <c r="I72" s="2470" t="s">
        <v>1082</v>
      </c>
      <c r="J72" s="2422">
        <f>G72</f>
        <v>0</v>
      </c>
      <c r="K72" s="2422">
        <f>F72-J72</f>
        <v>11500000</v>
      </c>
      <c r="L72" s="813" t="s">
        <v>4417</v>
      </c>
    </row>
    <row r="73" spans="1:12" ht="30" customHeight="1" x14ac:dyDescent="0.2">
      <c r="A73" s="3450">
        <v>50</v>
      </c>
      <c r="B73" s="3457" t="s">
        <v>193</v>
      </c>
      <c r="C73" s="3570" t="s">
        <v>916</v>
      </c>
      <c r="D73" s="3442">
        <v>350000000</v>
      </c>
      <c r="E73" s="3444">
        <v>0.05</v>
      </c>
      <c r="F73" s="3442">
        <f t="shared" si="11"/>
        <v>17500000</v>
      </c>
      <c r="G73" s="3325" t="s">
        <v>4050</v>
      </c>
      <c r="H73" s="3340"/>
      <c r="I73" s="3340"/>
      <c r="J73" s="3340"/>
      <c r="K73" s="3341"/>
      <c r="L73" s="2497"/>
    </row>
    <row r="74" spans="1:12" ht="30" customHeight="1" x14ac:dyDescent="0.2">
      <c r="A74" s="3451"/>
      <c r="B74" s="3458"/>
      <c r="C74" s="3571"/>
      <c r="D74" s="3443"/>
      <c r="E74" s="3445"/>
      <c r="F74" s="3443"/>
      <c r="G74" s="2422">
        <v>17000000</v>
      </c>
      <c r="H74" s="2422" t="s">
        <v>4950</v>
      </c>
      <c r="I74" s="2422" t="s">
        <v>1084</v>
      </c>
      <c r="J74" s="2422">
        <f>G74</f>
        <v>17000000</v>
      </c>
      <c r="K74" s="2422"/>
      <c r="L74" s="813" t="s">
        <v>4953</v>
      </c>
    </row>
    <row r="75" spans="1:12" ht="30" customHeight="1" x14ac:dyDescent="0.2">
      <c r="A75" s="2502">
        <v>51</v>
      </c>
      <c r="B75" s="22" t="s">
        <v>194</v>
      </c>
      <c r="C75" s="2467" t="s">
        <v>916</v>
      </c>
      <c r="D75" s="2422">
        <v>260000000</v>
      </c>
      <c r="E75" s="2463">
        <f>F75/D75</f>
        <v>5.5769230769230772E-2</v>
      </c>
      <c r="F75" s="2422">
        <v>14500000</v>
      </c>
      <c r="G75" s="2422">
        <v>14500000</v>
      </c>
      <c r="H75" s="2422" t="s">
        <v>4458</v>
      </c>
      <c r="I75" s="2422" t="s">
        <v>3636</v>
      </c>
      <c r="J75" s="2422">
        <f>G75</f>
        <v>14500000</v>
      </c>
      <c r="K75" s="2422">
        <f>F75-J75</f>
        <v>0</v>
      </c>
      <c r="L75" s="2426"/>
    </row>
    <row r="76" spans="1:12" ht="30" customHeight="1" x14ac:dyDescent="0.2">
      <c r="A76" s="3901"/>
      <c r="B76" s="3457" t="s">
        <v>195</v>
      </c>
      <c r="C76" s="3570" t="s">
        <v>916</v>
      </c>
      <c r="D76" s="2438">
        <v>100000000</v>
      </c>
      <c r="E76" s="2436">
        <v>7.0000000000000007E-2</v>
      </c>
      <c r="F76" s="3242">
        <f>D76*E76</f>
        <v>7000000.0000000009</v>
      </c>
      <c r="G76" s="3521" t="s">
        <v>4432</v>
      </c>
      <c r="H76" s="3613"/>
      <c r="I76" s="3613"/>
      <c r="J76" s="3522"/>
      <c r="K76" s="3442">
        <f>(F76+F77)-J76</f>
        <v>7500000.0000000009</v>
      </c>
      <c r="L76" s="813"/>
    </row>
    <row r="77" spans="1:12" ht="30" customHeight="1" x14ac:dyDescent="0.2">
      <c r="A77" s="3985"/>
      <c r="B77" s="3459"/>
      <c r="C77" s="3576"/>
      <c r="D77" s="2433">
        <v>10000000</v>
      </c>
      <c r="E77" s="2435">
        <v>0.05</v>
      </c>
      <c r="F77" s="3234">
        <f>D77*E77</f>
        <v>500000</v>
      </c>
      <c r="G77" s="3523"/>
      <c r="H77" s="3614"/>
      <c r="I77" s="3614"/>
      <c r="J77" s="3524"/>
      <c r="K77" s="3443"/>
      <c r="L77" s="813"/>
    </row>
    <row r="78" spans="1:12" ht="30" customHeight="1" x14ac:dyDescent="0.2">
      <c r="A78" s="3985"/>
      <c r="B78" s="3459"/>
      <c r="C78" s="3576"/>
      <c r="D78" s="3084">
        <v>7500000</v>
      </c>
      <c r="E78" s="3231">
        <v>0.05</v>
      </c>
      <c r="F78" s="3234">
        <f t="shared" ref="F78:F82" si="12">D78*E78</f>
        <v>375000</v>
      </c>
      <c r="G78" s="3081"/>
      <c r="H78" s="3081"/>
      <c r="I78" s="3081"/>
      <c r="J78" s="3081"/>
      <c r="K78" s="3085"/>
      <c r="L78" s="813"/>
    </row>
    <row r="79" spans="1:12" ht="30" customHeight="1" x14ac:dyDescent="0.2">
      <c r="A79" s="3985"/>
      <c r="B79" s="3459"/>
      <c r="C79" s="3576"/>
      <c r="D79" s="3084">
        <v>2000000</v>
      </c>
      <c r="E79" s="3231">
        <v>0.05</v>
      </c>
      <c r="F79" s="3234">
        <f t="shared" si="12"/>
        <v>100000</v>
      </c>
      <c r="G79" s="3085">
        <f>H79-500000</f>
        <v>8675000</v>
      </c>
      <c r="H79" s="3085">
        <f>F76+F77+F78+F79+G80+G81+G82</f>
        <v>9175000</v>
      </c>
      <c r="I79" s="3085"/>
      <c r="J79" s="3085"/>
      <c r="K79" s="3085"/>
      <c r="L79" s="813" t="s">
        <v>4796</v>
      </c>
    </row>
    <row r="80" spans="1:12" ht="30" customHeight="1" x14ac:dyDescent="0.2">
      <c r="A80" s="3985"/>
      <c r="B80" s="3459"/>
      <c r="C80" s="3576"/>
      <c r="D80" s="3084">
        <v>10000000</v>
      </c>
      <c r="E80" s="3231">
        <v>0.05</v>
      </c>
      <c r="F80" s="3229">
        <f t="shared" si="12"/>
        <v>500000</v>
      </c>
      <c r="G80" s="3235">
        <v>417000</v>
      </c>
      <c r="H80" s="3085">
        <v>25</v>
      </c>
      <c r="I80" s="3085"/>
      <c r="J80" s="3085"/>
      <c r="K80" s="3085"/>
      <c r="L80" s="813" t="s">
        <v>4797</v>
      </c>
    </row>
    <row r="81" spans="1:12" ht="30" customHeight="1" x14ac:dyDescent="0.2">
      <c r="A81" s="3985"/>
      <c r="B81" s="3459"/>
      <c r="C81" s="3576"/>
      <c r="D81" s="3084">
        <v>10000000</v>
      </c>
      <c r="E81" s="3231">
        <v>0.05</v>
      </c>
      <c r="F81" s="3229">
        <f t="shared" si="12"/>
        <v>500000</v>
      </c>
      <c r="G81" s="3235">
        <v>400000</v>
      </c>
      <c r="H81" s="3085">
        <v>24</v>
      </c>
      <c r="I81" s="3085"/>
      <c r="J81" s="3085"/>
      <c r="K81" s="3085"/>
      <c r="L81" s="813" t="s">
        <v>4798</v>
      </c>
    </row>
    <row r="82" spans="1:12" ht="30" customHeight="1" x14ac:dyDescent="0.2">
      <c r="A82" s="3902"/>
      <c r="B82" s="3458"/>
      <c r="C82" s="3571"/>
      <c r="D82" s="2433">
        <v>10000000</v>
      </c>
      <c r="E82" s="3231">
        <v>0.05</v>
      </c>
      <c r="F82" s="3229">
        <f t="shared" si="12"/>
        <v>500000</v>
      </c>
      <c r="G82" s="3235">
        <v>383000</v>
      </c>
      <c r="H82" s="2434">
        <v>23</v>
      </c>
      <c r="I82" s="2434"/>
      <c r="J82" s="2434"/>
      <c r="K82" s="2434"/>
      <c r="L82" s="813" t="s">
        <v>4799</v>
      </c>
    </row>
    <row r="83" spans="1:12" ht="30" customHeight="1" x14ac:dyDescent="0.2">
      <c r="A83" s="3088"/>
      <c r="B83" s="3470" t="s">
        <v>195</v>
      </c>
      <c r="C83" s="3087"/>
      <c r="D83" s="3082">
        <v>100000000</v>
      </c>
      <c r="E83" s="3086">
        <v>7.0000000000000007E-2</v>
      </c>
      <c r="F83" s="3082">
        <f>D83*E83</f>
        <v>7000000.0000000009</v>
      </c>
      <c r="G83" s="3083"/>
      <c r="H83" s="3083"/>
      <c r="I83" s="3083"/>
      <c r="J83" s="3083"/>
      <c r="K83" s="3083"/>
      <c r="L83" s="3947" t="s">
        <v>4800</v>
      </c>
    </row>
    <row r="84" spans="1:12" ht="30" customHeight="1" x14ac:dyDescent="0.2">
      <c r="A84" s="3088"/>
      <c r="B84" s="3471"/>
      <c r="C84" s="3087"/>
      <c r="D84" s="3082">
        <v>49500000</v>
      </c>
      <c r="E84" s="3086">
        <v>0.05</v>
      </c>
      <c r="F84" s="3082">
        <f>D84*E84</f>
        <v>2475000</v>
      </c>
      <c r="G84" s="3083"/>
      <c r="H84" s="3083"/>
      <c r="I84" s="3083"/>
      <c r="J84" s="3083"/>
      <c r="K84" s="3083"/>
      <c r="L84" s="3948"/>
    </row>
    <row r="85" spans="1:12" ht="30" customHeight="1" x14ac:dyDescent="0.2">
      <c r="A85" s="3450"/>
      <c r="B85" s="3457" t="s">
        <v>196</v>
      </c>
      <c r="C85" s="3570" t="s">
        <v>1349</v>
      </c>
      <c r="D85" s="2422">
        <v>500000000</v>
      </c>
      <c r="E85" s="2463">
        <v>7.0000000000000007E-2</v>
      </c>
      <c r="F85" s="2422">
        <f>D85*E85</f>
        <v>35000000</v>
      </c>
      <c r="G85" s="2422"/>
      <c r="H85" s="2422"/>
      <c r="I85" s="2422" t="s">
        <v>1923</v>
      </c>
      <c r="J85" s="2422">
        <f>G85</f>
        <v>0</v>
      </c>
      <c r="K85" s="2422">
        <v>0</v>
      </c>
      <c r="L85" s="1441" t="s">
        <v>3863</v>
      </c>
    </row>
    <row r="86" spans="1:12" ht="30" customHeight="1" x14ac:dyDescent="0.2">
      <c r="A86" s="3451"/>
      <c r="B86" s="3458"/>
      <c r="C86" s="3571"/>
      <c r="D86" s="2877">
        <v>150000000</v>
      </c>
      <c r="E86" s="2879">
        <v>7.0000000000000007E-2</v>
      </c>
      <c r="F86" s="2877">
        <f>D86*E86</f>
        <v>10500000.000000002</v>
      </c>
      <c r="G86" s="2876"/>
      <c r="H86" s="2876"/>
      <c r="I86" s="2876"/>
      <c r="J86" s="2876"/>
      <c r="K86" s="2876"/>
      <c r="L86" s="813" t="s">
        <v>4643</v>
      </c>
    </row>
    <row r="87" spans="1:12" ht="30" customHeight="1" x14ac:dyDescent="0.2">
      <c r="A87" s="3450">
        <v>54</v>
      </c>
      <c r="B87" s="3457" t="s">
        <v>1090</v>
      </c>
      <c r="C87" s="3570"/>
      <c r="D87" s="2434">
        <v>35000000</v>
      </c>
      <c r="E87" s="2437">
        <v>7.1999999999999995E-2</v>
      </c>
      <c r="F87" s="2434">
        <v>2500000</v>
      </c>
      <c r="G87" s="3738"/>
      <c r="H87" s="3738"/>
      <c r="I87" s="3740" t="s">
        <v>4115</v>
      </c>
      <c r="J87" s="3738">
        <f>G87</f>
        <v>0</v>
      </c>
      <c r="K87" s="3738">
        <f>(F87+F88)-J87</f>
        <v>3500000</v>
      </c>
      <c r="L87" s="3525"/>
    </row>
    <row r="88" spans="1:12" ht="30" customHeight="1" x14ac:dyDescent="0.2">
      <c r="A88" s="3456"/>
      <c r="B88" s="3458"/>
      <c r="C88" s="3571"/>
      <c r="D88" s="2434">
        <v>13000000</v>
      </c>
      <c r="E88" s="2463">
        <v>7.6999999999999999E-2</v>
      </c>
      <c r="F88" s="2434">
        <v>1000000</v>
      </c>
      <c r="G88" s="3739"/>
      <c r="H88" s="3739"/>
      <c r="I88" s="3741"/>
      <c r="J88" s="3739"/>
      <c r="K88" s="3739"/>
      <c r="L88" s="3526"/>
    </row>
    <row r="89" spans="1:12" ht="30" customHeight="1" x14ac:dyDescent="0.2">
      <c r="A89" s="3450">
        <v>55</v>
      </c>
      <c r="B89" s="3457" t="s">
        <v>1295</v>
      </c>
      <c r="C89" s="3570" t="s">
        <v>1350</v>
      </c>
      <c r="D89" s="2422">
        <v>175000000</v>
      </c>
      <c r="E89" s="2463">
        <v>0.52</v>
      </c>
      <c r="F89" s="2422">
        <v>9000000</v>
      </c>
      <c r="G89" s="3442">
        <v>18250000</v>
      </c>
      <c r="H89" s="3452" t="s">
        <v>4512</v>
      </c>
      <c r="I89" s="3452" t="s">
        <v>1093</v>
      </c>
      <c r="J89" s="3564">
        <f>G89</f>
        <v>18250000</v>
      </c>
      <c r="K89" s="3575">
        <f>(F89+F90+F91)-J89</f>
        <v>0</v>
      </c>
      <c r="L89" s="3468" t="s">
        <v>4966</v>
      </c>
    </row>
    <row r="90" spans="1:12" ht="30" customHeight="1" x14ac:dyDescent="0.2">
      <c r="A90" s="3456"/>
      <c r="B90" s="3459"/>
      <c r="C90" s="3576"/>
      <c r="D90" s="2433">
        <f>85000000+20000000</f>
        <v>105000000</v>
      </c>
      <c r="E90" s="2435">
        <v>7.0000000000000007E-2</v>
      </c>
      <c r="F90" s="2433">
        <v>7500000</v>
      </c>
      <c r="G90" s="3461"/>
      <c r="H90" s="3653"/>
      <c r="I90" s="3653"/>
      <c r="J90" s="3653"/>
      <c r="K90" s="3575"/>
      <c r="L90" s="3606"/>
    </row>
    <row r="91" spans="1:12" ht="30" customHeight="1" x14ac:dyDescent="0.2">
      <c r="A91" s="3451"/>
      <c r="B91" s="3458"/>
      <c r="C91" s="3571"/>
      <c r="D91" s="2422">
        <v>35000000</v>
      </c>
      <c r="E91" s="2463">
        <v>0.05</v>
      </c>
      <c r="F91" s="2422">
        <f>D91*E91</f>
        <v>1750000</v>
      </c>
      <c r="G91" s="3443"/>
      <c r="H91" s="3453"/>
      <c r="I91" s="3453"/>
      <c r="J91" s="3453"/>
      <c r="K91" s="3575"/>
      <c r="L91" s="3469"/>
    </row>
    <row r="92" spans="1:12" ht="30" customHeight="1" x14ac:dyDescent="0.2">
      <c r="A92" s="3450">
        <v>56</v>
      </c>
      <c r="B92" s="3457" t="s">
        <v>36</v>
      </c>
      <c r="C92" s="3570" t="s">
        <v>1350</v>
      </c>
      <c r="D92" s="3454">
        <v>3284000000</v>
      </c>
      <c r="E92" s="3462">
        <v>7.0000000000000007E-2</v>
      </c>
      <c r="F92" s="3454">
        <v>229880000</v>
      </c>
      <c r="G92" s="2943">
        <v>50000000</v>
      </c>
      <c r="H92" s="2943" t="s">
        <v>4554</v>
      </c>
      <c r="I92" s="24" t="s">
        <v>696</v>
      </c>
      <c r="J92" s="3564">
        <f>G92+G93+G94+G95</f>
        <v>229880000</v>
      </c>
      <c r="K92" s="3442">
        <v>0</v>
      </c>
      <c r="L92" s="683"/>
    </row>
    <row r="93" spans="1:12" ht="30" customHeight="1" x14ac:dyDescent="0.2">
      <c r="A93" s="3456"/>
      <c r="B93" s="3459"/>
      <c r="C93" s="3576"/>
      <c r="D93" s="3818"/>
      <c r="E93" s="3978"/>
      <c r="F93" s="3818"/>
      <c r="G93" s="2943">
        <v>50000000</v>
      </c>
      <c r="H93" s="2943" t="s">
        <v>4630</v>
      </c>
      <c r="I93" s="24" t="s">
        <v>696</v>
      </c>
      <c r="J93" s="3653"/>
      <c r="K93" s="3461"/>
      <c r="L93" s="192"/>
    </row>
    <row r="94" spans="1:12" ht="30" customHeight="1" x14ac:dyDescent="0.2">
      <c r="A94" s="3456"/>
      <c r="B94" s="3459"/>
      <c r="C94" s="3576"/>
      <c r="D94" s="3818"/>
      <c r="E94" s="3978"/>
      <c r="F94" s="3818"/>
      <c r="G94" s="2943">
        <v>73880000</v>
      </c>
      <c r="H94" s="2943" t="s">
        <v>2604</v>
      </c>
      <c r="I94" s="24" t="s">
        <v>696</v>
      </c>
      <c r="J94" s="3653"/>
      <c r="K94" s="3461"/>
      <c r="L94" s="192"/>
    </row>
    <row r="95" spans="1:12" ht="30" customHeight="1" x14ac:dyDescent="0.2">
      <c r="A95" s="3456"/>
      <c r="B95" s="3459"/>
      <c r="C95" s="3571"/>
      <c r="D95" s="3455"/>
      <c r="E95" s="3463"/>
      <c r="F95" s="3455"/>
      <c r="G95" s="2943">
        <v>56000000</v>
      </c>
      <c r="H95" s="2943" t="s">
        <v>1047</v>
      </c>
      <c r="I95" s="24" t="s">
        <v>696</v>
      </c>
      <c r="J95" s="3453"/>
      <c r="K95" s="3443"/>
      <c r="L95" s="1665"/>
    </row>
    <row r="96" spans="1:12" ht="30" customHeight="1" x14ac:dyDescent="0.2">
      <c r="A96" s="3456"/>
      <c r="B96" s="3459"/>
      <c r="C96" s="3570" t="s">
        <v>1378</v>
      </c>
      <c r="D96" s="3454">
        <v>1891929000</v>
      </c>
      <c r="E96" s="3462">
        <v>0.08</v>
      </c>
      <c r="F96" s="3454">
        <f>D96*E96</f>
        <v>151354320</v>
      </c>
      <c r="G96" s="2434"/>
      <c r="H96" s="2434"/>
      <c r="I96" s="2434"/>
      <c r="J96" s="2438"/>
      <c r="K96" s="2438"/>
      <c r="L96" s="1665"/>
    </row>
    <row r="97" spans="1:12" ht="30" customHeight="1" x14ac:dyDescent="0.2">
      <c r="A97" s="3456"/>
      <c r="B97" s="3459"/>
      <c r="C97" s="3576"/>
      <c r="D97" s="3818"/>
      <c r="E97" s="3978"/>
      <c r="F97" s="3818"/>
      <c r="G97" s="247"/>
      <c r="H97" s="247"/>
      <c r="I97" s="247"/>
      <c r="J97" s="247"/>
      <c r="K97" s="2422"/>
      <c r="L97" s="1665"/>
    </row>
    <row r="98" spans="1:12" ht="30" customHeight="1" x14ac:dyDescent="0.2">
      <c r="A98" s="3456"/>
      <c r="B98" s="3459"/>
      <c r="C98" s="3576"/>
      <c r="D98" s="3818"/>
      <c r="E98" s="3978"/>
      <c r="F98" s="3818"/>
      <c r="G98" s="2434"/>
      <c r="H98" s="2434"/>
      <c r="I98" s="2434"/>
      <c r="J98" s="2422"/>
      <c r="K98" s="2422"/>
      <c r="L98" s="1665"/>
    </row>
    <row r="99" spans="1:12" ht="30" customHeight="1" x14ac:dyDescent="0.2">
      <c r="A99" s="3456"/>
      <c r="B99" s="3459"/>
      <c r="C99" s="3576"/>
      <c r="D99" s="3818"/>
      <c r="E99" s="3978"/>
      <c r="F99" s="3818"/>
      <c r="G99" s="247"/>
      <c r="H99" s="247"/>
      <c r="I99" s="247"/>
      <c r="J99" s="247"/>
      <c r="K99" s="2422"/>
      <c r="L99" s="1665"/>
    </row>
    <row r="100" spans="1:12" ht="30" customHeight="1" x14ac:dyDescent="0.2">
      <c r="A100" s="3456"/>
      <c r="B100" s="3459"/>
      <c r="C100" s="3576"/>
      <c r="D100" s="3818"/>
      <c r="E100" s="3978"/>
      <c r="F100" s="3818"/>
      <c r="G100" s="2422"/>
      <c r="H100" s="2422"/>
      <c r="I100" s="2422"/>
      <c r="J100" s="2422"/>
      <c r="K100" s="2422"/>
      <c r="L100" s="1665"/>
    </row>
    <row r="101" spans="1:12" ht="30" customHeight="1" x14ac:dyDescent="0.2">
      <c r="A101" s="3451"/>
      <c r="B101" s="3458"/>
      <c r="C101" s="3571"/>
      <c r="D101" s="3455"/>
      <c r="E101" s="3463"/>
      <c r="F101" s="3455"/>
      <c r="G101" s="2434"/>
      <c r="H101" s="2434"/>
      <c r="I101" s="2434"/>
      <c r="J101" s="2422"/>
      <c r="K101" s="2422"/>
      <c r="L101" s="1665"/>
    </row>
    <row r="102" spans="1:12" ht="30" customHeight="1" x14ac:dyDescent="0.2">
      <c r="A102" s="3450">
        <v>57</v>
      </c>
      <c r="B102" s="3457" t="s">
        <v>1107</v>
      </c>
      <c r="C102" s="3570" t="s">
        <v>1353</v>
      </c>
      <c r="D102" s="3454">
        <v>317000000</v>
      </c>
      <c r="E102" s="3462">
        <v>7.0000000000000007E-2</v>
      </c>
      <c r="F102" s="3454">
        <f>D102*E102</f>
        <v>22190000.000000004</v>
      </c>
      <c r="G102" s="247"/>
      <c r="H102" s="247"/>
      <c r="I102" s="247"/>
      <c r="J102" s="247"/>
      <c r="K102" s="3442"/>
      <c r="L102" s="3618"/>
    </row>
    <row r="103" spans="1:12" ht="30" customHeight="1" x14ac:dyDescent="0.2">
      <c r="A103" s="3451"/>
      <c r="B103" s="3458"/>
      <c r="C103" s="3571"/>
      <c r="D103" s="3455"/>
      <c r="E103" s="3463"/>
      <c r="F103" s="3455"/>
      <c r="G103" s="247"/>
      <c r="H103" s="247"/>
      <c r="I103" s="247"/>
      <c r="J103" s="247"/>
      <c r="K103" s="3443"/>
      <c r="L103" s="3619"/>
    </row>
    <row r="104" spans="1:12" ht="30" customHeight="1" x14ac:dyDescent="0.2">
      <c r="A104" s="3450">
        <v>58</v>
      </c>
      <c r="B104" s="3687" t="s">
        <v>1094</v>
      </c>
      <c r="C104" s="3686" t="s">
        <v>916</v>
      </c>
      <c r="D104" s="2434">
        <v>11000000</v>
      </c>
      <c r="E104" s="2463">
        <v>7.0000000000000007E-2</v>
      </c>
      <c r="F104" s="2434">
        <v>700000</v>
      </c>
      <c r="G104" s="3442">
        <v>2100000</v>
      </c>
      <c r="H104" s="3442" t="s">
        <v>4554</v>
      </c>
      <c r="I104" s="3589" t="s">
        <v>1096</v>
      </c>
      <c r="J104" s="3442">
        <f>G104</f>
        <v>2100000</v>
      </c>
      <c r="K104" s="3442">
        <f>(F104+F105)-J104</f>
        <v>0</v>
      </c>
      <c r="L104" s="2466"/>
    </row>
    <row r="105" spans="1:12" ht="30" customHeight="1" x14ac:dyDescent="0.2">
      <c r="A105" s="3451"/>
      <c r="B105" s="3687"/>
      <c r="C105" s="3686"/>
      <c r="D105" s="2540">
        <v>20000000</v>
      </c>
      <c r="E105" s="2543">
        <v>7.0000000000000007E-2</v>
      </c>
      <c r="F105" s="2540">
        <f>D105*E105</f>
        <v>1400000.0000000002</v>
      </c>
      <c r="G105" s="3443"/>
      <c r="H105" s="3443"/>
      <c r="I105" s="3591"/>
      <c r="J105" s="3443"/>
      <c r="K105" s="3443"/>
      <c r="L105" s="2546"/>
    </row>
    <row r="106" spans="1:12" ht="30" customHeight="1" x14ac:dyDescent="0.2">
      <c r="A106" s="3450"/>
      <c r="B106" s="3457" t="s">
        <v>197</v>
      </c>
      <c r="C106" s="3686" t="s">
        <v>1350</v>
      </c>
      <c r="D106" s="2434">
        <v>100000000</v>
      </c>
      <c r="E106" s="2463">
        <v>5.1999999999999998E-2</v>
      </c>
      <c r="F106" s="2434">
        <f t="shared" si="11"/>
        <v>5200000</v>
      </c>
      <c r="G106" s="3442">
        <v>6000000</v>
      </c>
      <c r="H106" s="3442" t="s">
        <v>4458</v>
      </c>
      <c r="I106" s="3442" t="s">
        <v>4081</v>
      </c>
      <c r="J106" s="3442">
        <f>G106</f>
        <v>6000000</v>
      </c>
      <c r="K106" s="3442">
        <f>(F106+F107)-J106</f>
        <v>0</v>
      </c>
      <c r="L106" s="683"/>
    </row>
    <row r="107" spans="1:12" ht="30" customHeight="1" x14ac:dyDescent="0.2">
      <c r="A107" s="3456"/>
      <c r="B107" s="3459"/>
      <c r="C107" s="3686"/>
      <c r="D107" s="2434">
        <v>15000000</v>
      </c>
      <c r="E107" s="2463">
        <v>5.5E-2</v>
      </c>
      <c r="F107" s="2434">
        <v>800000</v>
      </c>
      <c r="G107" s="3443"/>
      <c r="H107" s="3443"/>
      <c r="I107" s="3443"/>
      <c r="J107" s="3443"/>
      <c r="K107" s="3443"/>
      <c r="L107" s="192" t="s">
        <v>4477</v>
      </c>
    </row>
    <row r="108" spans="1:12" ht="30" customHeight="1" x14ac:dyDescent="0.2">
      <c r="A108" s="3451"/>
      <c r="B108" s="3458"/>
      <c r="C108" s="2905"/>
      <c r="D108" s="2903">
        <v>29000000</v>
      </c>
      <c r="E108" s="2907">
        <v>5.1999999999999998E-2</v>
      </c>
      <c r="F108" s="2903">
        <v>1500000</v>
      </c>
      <c r="G108" s="2903"/>
      <c r="H108" s="2903"/>
      <c r="I108" s="2906"/>
      <c r="J108" s="2903"/>
      <c r="K108" s="2903"/>
      <c r="L108" s="192" t="s">
        <v>4663</v>
      </c>
    </row>
    <row r="109" spans="1:12" ht="30" customHeight="1" x14ac:dyDescent="0.2">
      <c r="A109" s="2465">
        <v>60</v>
      </c>
      <c r="B109" s="117" t="s">
        <v>1591</v>
      </c>
      <c r="C109" s="2445" t="s">
        <v>916</v>
      </c>
      <c r="D109" s="2440"/>
      <c r="E109" s="44"/>
      <c r="F109" s="2440">
        <f t="shared" si="11"/>
        <v>0</v>
      </c>
      <c r="G109" s="2434">
        <v>10000000</v>
      </c>
      <c r="H109" s="2434" t="s">
        <v>4458</v>
      </c>
      <c r="I109" s="24" t="s">
        <v>4459</v>
      </c>
      <c r="J109" s="2434">
        <f>G109</f>
        <v>10000000</v>
      </c>
      <c r="K109" s="2440">
        <f>F109-J109</f>
        <v>-10000000</v>
      </c>
      <c r="L109" s="2466"/>
    </row>
    <row r="110" spans="1:12" ht="30" customHeight="1" x14ac:dyDescent="0.2">
      <c r="A110" s="2425">
        <v>61</v>
      </c>
      <c r="B110" s="2466" t="s">
        <v>199</v>
      </c>
      <c r="C110" s="2445"/>
      <c r="D110" s="2434">
        <v>100000000</v>
      </c>
      <c r="E110" s="2463">
        <v>7.0000000000000007E-2</v>
      </c>
      <c r="F110" s="2434">
        <f t="shared" si="11"/>
        <v>7000000.0000000009</v>
      </c>
      <c r="G110" s="2434">
        <v>7000000</v>
      </c>
      <c r="H110" s="2434" t="s">
        <v>1236</v>
      </c>
      <c r="I110" s="24" t="s">
        <v>3602</v>
      </c>
      <c r="J110" s="2434">
        <f>G110</f>
        <v>7000000</v>
      </c>
      <c r="K110" s="2434">
        <f>F110-J110</f>
        <v>0</v>
      </c>
      <c r="L110" s="2466"/>
    </row>
    <row r="111" spans="1:12" ht="30" customHeight="1" x14ac:dyDescent="0.2">
      <c r="A111" s="2502">
        <v>62</v>
      </c>
      <c r="B111" s="2468" t="s">
        <v>200</v>
      </c>
      <c r="C111" s="2444"/>
      <c r="D111" s="2422">
        <v>125000000</v>
      </c>
      <c r="E111" s="2463">
        <v>5.1999999999999998E-2</v>
      </c>
      <c r="F111" s="2422">
        <f t="shared" si="11"/>
        <v>6500000</v>
      </c>
      <c r="G111" s="2422">
        <v>3300000</v>
      </c>
      <c r="H111" s="2422" t="s">
        <v>4821</v>
      </c>
      <c r="I111" s="2422" t="s">
        <v>1299</v>
      </c>
      <c r="J111" s="2422">
        <f>G111</f>
        <v>3300000</v>
      </c>
      <c r="K111" s="2422">
        <f>F111-J111</f>
        <v>3200000</v>
      </c>
      <c r="L111" s="2497"/>
    </row>
    <row r="112" spans="1:12" ht="30" customHeight="1" x14ac:dyDescent="0.2">
      <c r="A112" s="3693">
        <v>63</v>
      </c>
      <c r="B112" s="3687" t="s">
        <v>201</v>
      </c>
      <c r="C112" s="3686" t="s">
        <v>916</v>
      </c>
      <c r="D112" s="2422">
        <v>1800000000</v>
      </c>
      <c r="E112" s="2463">
        <v>6.5000000000000002E-2</v>
      </c>
      <c r="F112" s="2422">
        <f t="shared" si="11"/>
        <v>117000000</v>
      </c>
      <c r="G112" s="2422">
        <v>17000000</v>
      </c>
      <c r="H112" s="2422" t="s">
        <v>4458</v>
      </c>
      <c r="I112" s="2422" t="s">
        <v>3862</v>
      </c>
      <c r="J112" s="2422">
        <f>G112</f>
        <v>17000000</v>
      </c>
      <c r="K112" s="2422">
        <f>F112-100000000-J112</f>
        <v>0</v>
      </c>
      <c r="L112" s="683" t="s">
        <v>3510</v>
      </c>
    </row>
    <row r="113" spans="1:12" ht="30" customHeight="1" x14ac:dyDescent="0.2">
      <c r="A113" s="3693"/>
      <c r="B113" s="3687"/>
      <c r="C113" s="3686"/>
      <c r="D113" s="2422">
        <v>1900000000</v>
      </c>
      <c r="E113" s="2463">
        <v>6.5000000000000002E-2</v>
      </c>
      <c r="F113" s="2422">
        <f>D113*E113</f>
        <v>123500000</v>
      </c>
      <c r="G113" s="3912" t="s">
        <v>4419</v>
      </c>
      <c r="H113" s="3913"/>
      <c r="I113" s="3913"/>
      <c r="J113" s="3914"/>
      <c r="K113" s="2434"/>
      <c r="L113" s="33" t="s">
        <v>4418</v>
      </c>
    </row>
    <row r="114" spans="1:12" ht="30" customHeight="1" x14ac:dyDescent="0.2">
      <c r="A114" s="2425">
        <v>64</v>
      </c>
      <c r="B114" s="2428" t="s">
        <v>1408</v>
      </c>
      <c r="C114" s="2445" t="s">
        <v>916</v>
      </c>
      <c r="D114" s="2434">
        <v>200000000</v>
      </c>
      <c r="E114" s="2437">
        <v>5.5E-2</v>
      </c>
      <c r="F114" s="2434">
        <f t="shared" si="11"/>
        <v>11000000</v>
      </c>
      <c r="G114" s="2434">
        <v>11000000</v>
      </c>
      <c r="H114" s="2434" t="s">
        <v>4480</v>
      </c>
      <c r="I114" s="24" t="s">
        <v>4064</v>
      </c>
      <c r="J114" s="2434">
        <f>G114</f>
        <v>11000000</v>
      </c>
      <c r="K114" s="2434">
        <f t="shared" ref="K114:K128" si="13">F114-J114</f>
        <v>0</v>
      </c>
      <c r="L114" s="2497" t="s">
        <v>1409</v>
      </c>
    </row>
    <row r="115" spans="1:12" ht="30" customHeight="1" x14ac:dyDescent="0.2">
      <c r="A115" s="2425">
        <v>65</v>
      </c>
      <c r="B115" s="2466" t="s">
        <v>203</v>
      </c>
      <c r="C115" s="2445"/>
      <c r="D115" s="2434">
        <v>500000000</v>
      </c>
      <c r="E115" s="2463">
        <v>0.04</v>
      </c>
      <c r="F115" s="2434">
        <f t="shared" si="11"/>
        <v>20000000</v>
      </c>
      <c r="G115" s="2434"/>
      <c r="H115" s="2434"/>
      <c r="I115" s="24"/>
      <c r="J115" s="2434"/>
      <c r="K115" s="2434">
        <f t="shared" si="13"/>
        <v>20000000</v>
      </c>
      <c r="L115" s="2497" t="s">
        <v>1615</v>
      </c>
    </row>
    <row r="116" spans="1:12" ht="30" customHeight="1" x14ac:dyDescent="0.2">
      <c r="A116" s="3450">
        <v>66</v>
      </c>
      <c r="B116" s="3457" t="s">
        <v>204</v>
      </c>
      <c r="C116" s="3570" t="s">
        <v>916</v>
      </c>
      <c r="D116" s="2422">
        <v>220000000</v>
      </c>
      <c r="E116" s="2463">
        <v>0.05</v>
      </c>
      <c r="F116" s="2422">
        <f t="shared" ref="F116:F121" si="14">D116*E116</f>
        <v>11000000</v>
      </c>
      <c r="G116" s="2422"/>
      <c r="H116" s="2422"/>
      <c r="I116" s="2470" t="s">
        <v>3637</v>
      </c>
      <c r="J116" s="2422">
        <f t="shared" ref="J116:J126" si="15">G116</f>
        <v>0</v>
      </c>
      <c r="K116" s="2422">
        <f t="shared" si="13"/>
        <v>11000000</v>
      </c>
      <c r="L116" s="2497"/>
    </row>
    <row r="117" spans="1:12" ht="30" customHeight="1" x14ac:dyDescent="0.2">
      <c r="A117" s="3456"/>
      <c r="B117" s="3459"/>
      <c r="C117" s="3576"/>
      <c r="D117" s="3119">
        <v>12000000</v>
      </c>
      <c r="E117" s="3137">
        <v>7.0000000000000007E-2</v>
      </c>
      <c r="F117" s="3119">
        <f t="shared" si="14"/>
        <v>840000.00000000012</v>
      </c>
      <c r="G117" s="3119"/>
      <c r="H117" s="3119"/>
      <c r="I117" s="3136"/>
      <c r="J117" s="3119"/>
      <c r="K117" s="3119"/>
      <c r="L117" s="3128"/>
    </row>
    <row r="118" spans="1:12" ht="30" customHeight="1" x14ac:dyDescent="0.2">
      <c r="A118" s="3456"/>
      <c r="B118" s="3459"/>
      <c r="C118" s="3576"/>
      <c r="D118" s="3119">
        <v>10000000</v>
      </c>
      <c r="E118" s="3137">
        <v>0.06</v>
      </c>
      <c r="F118" s="3119">
        <f t="shared" si="14"/>
        <v>600000</v>
      </c>
      <c r="G118" s="3119"/>
      <c r="H118" s="3119"/>
      <c r="I118" s="3136"/>
      <c r="J118" s="3119"/>
      <c r="K118" s="3119"/>
      <c r="L118" s="3128"/>
    </row>
    <row r="119" spans="1:12" ht="30" customHeight="1" x14ac:dyDescent="0.2">
      <c r="A119" s="3456"/>
      <c r="B119" s="3459"/>
      <c r="C119" s="3576"/>
      <c r="D119" s="3119">
        <v>10000000</v>
      </c>
      <c r="E119" s="3137">
        <v>7.0000000000000007E-2</v>
      </c>
      <c r="F119" s="3119">
        <f t="shared" si="14"/>
        <v>700000.00000000012</v>
      </c>
      <c r="G119" s="3119"/>
      <c r="H119" s="3119"/>
      <c r="I119" s="3136"/>
      <c r="J119" s="3119"/>
      <c r="K119" s="3119"/>
      <c r="L119" s="3128"/>
    </row>
    <row r="120" spans="1:12" ht="30" customHeight="1" x14ac:dyDescent="0.2">
      <c r="A120" s="3456"/>
      <c r="B120" s="3459"/>
      <c r="C120" s="3576"/>
      <c r="D120" s="3119">
        <v>13140000</v>
      </c>
      <c r="E120" s="3137">
        <v>7.0000000000000007E-2</v>
      </c>
      <c r="F120" s="3119">
        <f t="shared" si="14"/>
        <v>919800.00000000012</v>
      </c>
      <c r="G120" s="3478" t="s">
        <v>4811</v>
      </c>
      <c r="H120" s="3479"/>
      <c r="I120" s="3479"/>
      <c r="J120" s="3480"/>
      <c r="K120" s="3119"/>
      <c r="L120" s="3128"/>
    </row>
    <row r="121" spans="1:12" ht="30" customHeight="1" x14ac:dyDescent="0.2">
      <c r="A121" s="3456"/>
      <c r="B121" s="3459"/>
      <c r="C121" s="3576"/>
      <c r="D121" s="3119">
        <v>269000000</v>
      </c>
      <c r="E121" s="3137">
        <v>7.0000000000000007E-2</v>
      </c>
      <c r="F121" s="3119">
        <f t="shared" si="14"/>
        <v>18830000</v>
      </c>
      <c r="G121" s="3478" t="s">
        <v>4812</v>
      </c>
      <c r="H121" s="3479"/>
      <c r="I121" s="3479"/>
      <c r="J121" s="3480"/>
      <c r="K121" s="3119"/>
      <c r="L121" s="3128"/>
    </row>
    <row r="122" spans="1:12" ht="30" customHeight="1" x14ac:dyDescent="0.2">
      <c r="A122" s="3451"/>
      <c r="B122" s="3458"/>
      <c r="C122" s="3571"/>
      <c r="D122" s="1913">
        <v>534000000</v>
      </c>
      <c r="E122" s="949">
        <f>F122/D122</f>
        <v>6.1573033707865168E-2</v>
      </c>
      <c r="F122" s="1913">
        <v>32880000</v>
      </c>
      <c r="G122" s="2422"/>
      <c r="H122" s="2422"/>
      <c r="I122" s="2470"/>
      <c r="J122" s="2422"/>
      <c r="K122" s="2422"/>
      <c r="L122" s="2431" t="s">
        <v>4384</v>
      </c>
    </row>
    <row r="123" spans="1:12" ht="30" customHeight="1" x14ac:dyDescent="0.2">
      <c r="A123" s="2423">
        <v>68</v>
      </c>
      <c r="B123" s="2466" t="s">
        <v>205</v>
      </c>
      <c r="C123" s="2467" t="s">
        <v>1350</v>
      </c>
      <c r="D123" s="2422">
        <v>150000000</v>
      </c>
      <c r="E123" s="2463">
        <v>0.05</v>
      </c>
      <c r="F123" s="2422">
        <f t="shared" si="11"/>
        <v>7500000</v>
      </c>
      <c r="G123" s="2422">
        <v>7500000</v>
      </c>
      <c r="H123" s="2422" t="s">
        <v>4458</v>
      </c>
      <c r="I123" s="1592" t="s">
        <v>2672</v>
      </c>
      <c r="J123" s="2422">
        <f t="shared" si="15"/>
        <v>7500000</v>
      </c>
      <c r="K123" s="2422">
        <f t="shared" si="13"/>
        <v>0</v>
      </c>
      <c r="L123" s="2447"/>
    </row>
    <row r="124" spans="1:12" ht="30" customHeight="1" x14ac:dyDescent="0.2">
      <c r="A124" s="1081">
        <v>69</v>
      </c>
      <c r="B124" s="22" t="s">
        <v>206</v>
      </c>
      <c r="C124" s="2467" t="s">
        <v>916</v>
      </c>
      <c r="D124" s="2422">
        <v>280000000</v>
      </c>
      <c r="E124" s="2463">
        <f>F124/D124</f>
        <v>7.0000000000000007E-2</v>
      </c>
      <c r="F124" s="2422">
        <v>19600000</v>
      </c>
      <c r="G124" s="3912" t="s">
        <v>4420</v>
      </c>
      <c r="H124" s="3913"/>
      <c r="I124" s="3913"/>
      <c r="J124" s="3914"/>
      <c r="K124" s="2422">
        <f t="shared" si="13"/>
        <v>19600000</v>
      </c>
      <c r="L124" s="2471"/>
    </row>
    <row r="125" spans="1:12" ht="30" customHeight="1" x14ac:dyDescent="0.2">
      <c r="A125" s="2423">
        <v>70</v>
      </c>
      <c r="B125" s="2468" t="s">
        <v>207</v>
      </c>
      <c r="C125" s="2467" t="s">
        <v>916</v>
      </c>
      <c r="D125" s="2422">
        <v>100000000</v>
      </c>
      <c r="E125" s="2463">
        <v>0.04</v>
      </c>
      <c r="F125" s="2422">
        <f t="shared" si="11"/>
        <v>4000000</v>
      </c>
      <c r="G125" s="2422">
        <v>4000000</v>
      </c>
      <c r="H125" s="2422" t="s">
        <v>4458</v>
      </c>
      <c r="I125" s="2488" t="s">
        <v>3541</v>
      </c>
      <c r="J125" s="2422">
        <f t="shared" si="15"/>
        <v>4000000</v>
      </c>
      <c r="K125" s="2422">
        <f t="shared" si="13"/>
        <v>0</v>
      </c>
      <c r="L125" s="2447"/>
    </row>
    <row r="126" spans="1:12" ht="30" customHeight="1" x14ac:dyDescent="0.2">
      <c r="A126" s="3450"/>
      <c r="B126" s="3457" t="s">
        <v>208</v>
      </c>
      <c r="C126" s="3570" t="s">
        <v>916</v>
      </c>
      <c r="D126" s="2434">
        <v>30000000</v>
      </c>
      <c r="E126" s="2437">
        <v>0.05</v>
      </c>
      <c r="F126" s="2434">
        <f t="shared" si="11"/>
        <v>1500000</v>
      </c>
      <c r="G126" s="3442">
        <v>1835000</v>
      </c>
      <c r="H126" s="3442" t="s">
        <v>4512</v>
      </c>
      <c r="I126" s="3442" t="s">
        <v>1479</v>
      </c>
      <c r="J126" s="3442">
        <f t="shared" si="15"/>
        <v>1835000</v>
      </c>
      <c r="K126" s="3442">
        <f t="shared" si="13"/>
        <v>-335000</v>
      </c>
      <c r="L126" s="2430"/>
    </row>
    <row r="127" spans="1:12" ht="30" customHeight="1" x14ac:dyDescent="0.2">
      <c r="A127" s="3451"/>
      <c r="B127" s="3458"/>
      <c r="C127" s="3571"/>
      <c r="D127" s="2438">
        <v>10000000</v>
      </c>
      <c r="E127" s="2436">
        <v>0.05</v>
      </c>
      <c r="F127" s="2438">
        <f t="shared" si="11"/>
        <v>500000</v>
      </c>
      <c r="G127" s="3443"/>
      <c r="H127" s="3443"/>
      <c r="I127" s="3443"/>
      <c r="J127" s="3443"/>
      <c r="K127" s="3443"/>
      <c r="L127" s="2482" t="s">
        <v>4361</v>
      </c>
    </row>
    <row r="128" spans="1:12" ht="30" customHeight="1" x14ac:dyDescent="0.2">
      <c r="A128" s="3450">
        <v>72</v>
      </c>
      <c r="B128" s="3457" t="s">
        <v>1053</v>
      </c>
      <c r="C128" s="3570" t="s">
        <v>1817</v>
      </c>
      <c r="D128" s="3442">
        <v>1685000000</v>
      </c>
      <c r="E128" s="3444">
        <v>0.06</v>
      </c>
      <c r="F128" s="3442">
        <f t="shared" si="11"/>
        <v>101100000</v>
      </c>
      <c r="G128" s="2434">
        <v>50000000</v>
      </c>
      <c r="H128" s="2434" t="s">
        <v>4554</v>
      </c>
      <c r="I128" s="24" t="s">
        <v>3202</v>
      </c>
      <c r="J128" s="3442">
        <f>G128+G129</f>
        <v>100000000</v>
      </c>
      <c r="K128" s="3442">
        <f t="shared" si="13"/>
        <v>1100000</v>
      </c>
      <c r="L128" s="3607"/>
    </row>
    <row r="129" spans="1:16" ht="30" customHeight="1" x14ac:dyDescent="0.2">
      <c r="A129" s="3451"/>
      <c r="B129" s="3458"/>
      <c r="C129" s="3571"/>
      <c r="D129" s="3443"/>
      <c r="E129" s="3445"/>
      <c r="F129" s="3443"/>
      <c r="G129" s="2434">
        <v>50000000</v>
      </c>
      <c r="H129" s="2434" t="s">
        <v>4579</v>
      </c>
      <c r="I129" s="24" t="s">
        <v>3202</v>
      </c>
      <c r="J129" s="3443"/>
      <c r="K129" s="3443"/>
      <c r="L129" s="3609"/>
    </row>
    <row r="130" spans="1:16" ht="30" customHeight="1" x14ac:dyDescent="0.2">
      <c r="A130" s="2425">
        <v>73</v>
      </c>
      <c r="B130" s="2466" t="s">
        <v>209</v>
      </c>
      <c r="C130" s="2445" t="s">
        <v>1348</v>
      </c>
      <c r="D130" s="2434">
        <v>20000000</v>
      </c>
      <c r="E130" s="2463">
        <v>0.05</v>
      </c>
      <c r="F130" s="2434">
        <f t="shared" si="11"/>
        <v>1000000</v>
      </c>
      <c r="G130" s="2434">
        <v>1000000</v>
      </c>
      <c r="H130" s="2434" t="s">
        <v>1236</v>
      </c>
      <c r="I130" s="24" t="s">
        <v>4128</v>
      </c>
      <c r="J130" s="2434">
        <f>G130</f>
        <v>1000000</v>
      </c>
      <c r="K130" s="2434">
        <f>F130-J130</f>
        <v>0</v>
      </c>
      <c r="L130" s="2466"/>
    </row>
    <row r="131" spans="1:16" ht="30" customHeight="1" x14ac:dyDescent="0.2">
      <c r="A131" s="3450">
        <v>74</v>
      </c>
      <c r="B131" s="3457" t="s">
        <v>4346</v>
      </c>
      <c r="C131" s="2445" t="s">
        <v>2778</v>
      </c>
      <c r="D131" s="2434">
        <v>125000000</v>
      </c>
      <c r="E131" s="2463">
        <v>0.04</v>
      </c>
      <c r="F131" s="2434">
        <f t="shared" si="11"/>
        <v>5000000</v>
      </c>
      <c r="G131" s="3442">
        <v>8150000</v>
      </c>
      <c r="H131" s="3442" t="s">
        <v>4512</v>
      </c>
      <c r="I131" s="3442" t="s">
        <v>3202</v>
      </c>
      <c r="J131" s="3442">
        <f>G131</f>
        <v>8150000</v>
      </c>
      <c r="K131" s="3442">
        <f>F131-J131</f>
        <v>-3150000</v>
      </c>
      <c r="L131" s="786"/>
    </row>
    <row r="132" spans="1:16" ht="30" customHeight="1" x14ac:dyDescent="0.2">
      <c r="A132" s="3451"/>
      <c r="B132" s="3458"/>
      <c r="C132" s="2445" t="s">
        <v>2778</v>
      </c>
      <c r="D132" s="2434">
        <v>90000000</v>
      </c>
      <c r="E132" s="2463">
        <v>0.05</v>
      </c>
      <c r="F132" s="2434">
        <f t="shared" si="11"/>
        <v>4500000</v>
      </c>
      <c r="G132" s="3443"/>
      <c r="H132" s="3443"/>
      <c r="I132" s="3443"/>
      <c r="J132" s="3443"/>
      <c r="K132" s="3443"/>
      <c r="L132" s="786" t="s">
        <v>4349</v>
      </c>
    </row>
    <row r="133" spans="1:16" ht="30" customHeight="1" x14ac:dyDescent="0.2">
      <c r="A133" s="2465"/>
      <c r="B133" s="2466" t="s">
        <v>4348</v>
      </c>
      <c r="C133" s="2445" t="s">
        <v>265</v>
      </c>
      <c r="D133" s="2434">
        <v>200000000</v>
      </c>
      <c r="E133" s="2463">
        <v>0.05</v>
      </c>
      <c r="F133" s="2434">
        <f t="shared" si="11"/>
        <v>10000000</v>
      </c>
      <c r="G133" s="2434">
        <v>10000000</v>
      </c>
      <c r="H133" s="2434" t="s">
        <v>4604</v>
      </c>
      <c r="I133" s="2451" t="s">
        <v>4616</v>
      </c>
      <c r="J133" s="2434">
        <f>G133</f>
        <v>10000000</v>
      </c>
      <c r="K133" s="2434">
        <f>F133-J133</f>
        <v>0</v>
      </c>
      <c r="L133" s="786" t="s">
        <v>4347</v>
      </c>
    </row>
    <row r="134" spans="1:16" ht="30" customHeight="1" x14ac:dyDescent="0.2">
      <c r="A134" s="2787"/>
      <c r="B134" s="2809" t="s">
        <v>211</v>
      </c>
      <c r="C134" s="2799"/>
      <c r="D134" s="2792">
        <v>50000000</v>
      </c>
      <c r="E134" s="2808">
        <v>0.05</v>
      </c>
      <c r="F134" s="2792">
        <f t="shared" si="11"/>
        <v>2500000</v>
      </c>
      <c r="G134" s="2792">
        <v>2500000</v>
      </c>
      <c r="H134" s="2792" t="s">
        <v>1236</v>
      </c>
      <c r="I134" s="2804" t="s">
        <v>977</v>
      </c>
      <c r="J134" s="2792">
        <f>G134</f>
        <v>2500000</v>
      </c>
      <c r="K134" s="2792">
        <f>F134-J134</f>
        <v>0</v>
      </c>
      <c r="L134" s="192"/>
    </row>
    <row r="135" spans="1:16" ht="30" customHeight="1" x14ac:dyDescent="0.2">
      <c r="A135" s="3450">
        <v>76</v>
      </c>
      <c r="B135" s="3457" t="s">
        <v>3598</v>
      </c>
      <c r="C135" s="3570" t="s">
        <v>1348</v>
      </c>
      <c r="D135" s="948">
        <v>100000000</v>
      </c>
      <c r="E135" s="2463">
        <v>0.05</v>
      </c>
      <c r="F135" s="2434">
        <f t="shared" si="11"/>
        <v>5000000</v>
      </c>
      <c r="G135" s="2434">
        <v>5000000</v>
      </c>
      <c r="H135" s="2434" t="s">
        <v>4458</v>
      </c>
      <c r="I135" s="24" t="s">
        <v>1631</v>
      </c>
      <c r="J135" s="2434">
        <f>G135</f>
        <v>5000000</v>
      </c>
      <c r="K135" s="2434">
        <f>F135-J135</f>
        <v>0</v>
      </c>
      <c r="L135" s="192"/>
    </row>
    <row r="136" spans="1:16" ht="30" customHeight="1" x14ac:dyDescent="0.2">
      <c r="A136" s="3456"/>
      <c r="B136" s="3459"/>
      <c r="C136" s="3576"/>
      <c r="D136" s="948">
        <v>10000000</v>
      </c>
      <c r="E136" s="2587">
        <v>0.05</v>
      </c>
      <c r="F136" s="2558">
        <f t="shared" si="11"/>
        <v>500000</v>
      </c>
      <c r="G136" s="3442">
        <v>1885000</v>
      </c>
      <c r="H136" s="3442" t="s">
        <v>4554</v>
      </c>
      <c r="I136" s="3452" t="s">
        <v>1631</v>
      </c>
      <c r="J136" s="3442">
        <f>G136</f>
        <v>1885000</v>
      </c>
      <c r="K136" s="3442"/>
      <c r="L136" s="192" t="s">
        <v>4433</v>
      </c>
    </row>
    <row r="137" spans="1:16" ht="30" customHeight="1" x14ac:dyDescent="0.2">
      <c r="A137" s="3456"/>
      <c r="B137" s="3459"/>
      <c r="C137" s="3576"/>
      <c r="D137" s="948">
        <v>10000000</v>
      </c>
      <c r="E137" s="2587">
        <v>0.05</v>
      </c>
      <c r="F137" s="2558">
        <f t="shared" si="11"/>
        <v>500000</v>
      </c>
      <c r="G137" s="3461"/>
      <c r="H137" s="3461"/>
      <c r="I137" s="3653"/>
      <c r="J137" s="3461"/>
      <c r="K137" s="3461"/>
      <c r="L137" s="192" t="s">
        <v>4434</v>
      </c>
    </row>
    <row r="138" spans="1:16" ht="30" customHeight="1" x14ac:dyDescent="0.2">
      <c r="A138" s="3456"/>
      <c r="B138" s="3459"/>
      <c r="C138" s="3576"/>
      <c r="D138" s="948">
        <v>10000000</v>
      </c>
      <c r="E138" s="2587">
        <v>0.05</v>
      </c>
      <c r="F138" s="2558">
        <f t="shared" si="11"/>
        <v>500000</v>
      </c>
      <c r="G138" s="3461"/>
      <c r="H138" s="3461"/>
      <c r="I138" s="3653"/>
      <c r="J138" s="3461"/>
      <c r="K138" s="3461"/>
      <c r="L138" s="192" t="s">
        <v>4435</v>
      </c>
    </row>
    <row r="139" spans="1:16" ht="30" customHeight="1" x14ac:dyDescent="0.2">
      <c r="A139" s="3456"/>
      <c r="B139" s="3459"/>
      <c r="C139" s="3576"/>
      <c r="D139" s="948">
        <v>10000000</v>
      </c>
      <c r="E139" s="2587">
        <v>0.05</v>
      </c>
      <c r="F139" s="2558">
        <f t="shared" si="11"/>
        <v>500000</v>
      </c>
      <c r="G139" s="3461"/>
      <c r="H139" s="3461"/>
      <c r="I139" s="3653"/>
      <c r="J139" s="3461"/>
      <c r="K139" s="3461"/>
      <c r="L139" s="192" t="s">
        <v>4436</v>
      </c>
    </row>
    <row r="140" spans="1:16" ht="30" customHeight="1" x14ac:dyDescent="0.2">
      <c r="A140" s="3451"/>
      <c r="B140" s="3458"/>
      <c r="C140" s="3571"/>
      <c r="D140" s="948">
        <v>10000000</v>
      </c>
      <c r="E140" s="2587">
        <v>0.05</v>
      </c>
      <c r="F140" s="2558">
        <f t="shared" si="11"/>
        <v>500000</v>
      </c>
      <c r="G140" s="3443"/>
      <c r="H140" s="3443"/>
      <c r="I140" s="3453"/>
      <c r="J140" s="3443"/>
      <c r="K140" s="3443"/>
      <c r="L140" s="192" t="s">
        <v>4437</v>
      </c>
    </row>
    <row r="141" spans="1:16" ht="30" customHeight="1" x14ac:dyDescent="0.2">
      <c r="A141" s="3450">
        <v>77</v>
      </c>
      <c r="B141" s="3457" t="s">
        <v>213</v>
      </c>
      <c r="C141" s="3570" t="s">
        <v>1816</v>
      </c>
      <c r="D141" s="2434">
        <v>30000000</v>
      </c>
      <c r="E141" s="2463">
        <v>7.0000000000000007E-2</v>
      </c>
      <c r="F141" s="2434">
        <f t="shared" si="11"/>
        <v>2100000</v>
      </c>
      <c r="G141" s="3442">
        <v>3675000</v>
      </c>
      <c r="H141" s="3442" t="s">
        <v>1236</v>
      </c>
      <c r="I141" s="3452" t="s">
        <v>981</v>
      </c>
      <c r="J141" s="3442">
        <f>G141</f>
        <v>3675000</v>
      </c>
      <c r="K141" s="3442">
        <f>(F141+F142)-J141</f>
        <v>0</v>
      </c>
      <c r="L141" s="3468"/>
    </row>
    <row r="142" spans="1:16" ht="30" customHeight="1" x14ac:dyDescent="0.2">
      <c r="A142" s="3451"/>
      <c r="B142" s="3458"/>
      <c r="C142" s="3571"/>
      <c r="D142" s="2434">
        <v>35000000</v>
      </c>
      <c r="E142" s="2463">
        <v>4.4999999999999998E-2</v>
      </c>
      <c r="F142" s="2434">
        <f t="shared" si="11"/>
        <v>1575000</v>
      </c>
      <c r="G142" s="3443"/>
      <c r="H142" s="3443"/>
      <c r="I142" s="3453"/>
      <c r="J142" s="3443"/>
      <c r="K142" s="3443"/>
      <c r="L142" s="3469"/>
    </row>
    <row r="143" spans="1:16" ht="30" customHeight="1" x14ac:dyDescent="0.2">
      <c r="A143" s="2465">
        <v>78</v>
      </c>
      <c r="B143" s="2466" t="s">
        <v>214</v>
      </c>
      <c r="C143" s="2445" t="s">
        <v>2778</v>
      </c>
      <c r="D143" s="3287">
        <v>45000000</v>
      </c>
      <c r="E143" s="3291">
        <v>4.2000000000000003E-2</v>
      </c>
      <c r="F143" s="3287">
        <v>1900000</v>
      </c>
      <c r="G143" s="3287">
        <v>1900000</v>
      </c>
      <c r="H143" s="3287" t="s">
        <v>1236</v>
      </c>
      <c r="I143" s="3293" t="s">
        <v>984</v>
      </c>
      <c r="J143" s="3287">
        <f t="shared" ref="J143:J149" si="16">G143</f>
        <v>1900000</v>
      </c>
      <c r="K143" s="3287">
        <f t="shared" ref="K143:K149" si="17">F143-J143</f>
        <v>0</v>
      </c>
      <c r="L143" s="2466"/>
    </row>
    <row r="144" spans="1:16" ht="30" customHeight="1" x14ac:dyDescent="0.2">
      <c r="A144" s="2465">
        <v>79</v>
      </c>
      <c r="B144" s="2466" t="s">
        <v>215</v>
      </c>
      <c r="C144" s="2445" t="s">
        <v>916</v>
      </c>
      <c r="D144" s="2434">
        <v>15000000</v>
      </c>
      <c r="E144" s="2463">
        <v>4.4999999999999998E-2</v>
      </c>
      <c r="F144" s="2434">
        <f t="shared" si="11"/>
        <v>675000</v>
      </c>
      <c r="G144" s="2434">
        <v>675000</v>
      </c>
      <c r="H144" s="2434" t="s">
        <v>4480</v>
      </c>
      <c r="I144" s="24" t="s">
        <v>1875</v>
      </c>
      <c r="J144" s="2434">
        <f t="shared" si="16"/>
        <v>675000</v>
      </c>
      <c r="K144" s="2434">
        <f t="shared" si="17"/>
        <v>0</v>
      </c>
      <c r="L144" s="2466"/>
      <c r="M144" s="406"/>
      <c r="N144" s="406"/>
      <c r="O144" s="406"/>
      <c r="P144" s="406"/>
    </row>
    <row r="145" spans="1:16" ht="30" customHeight="1" x14ac:dyDescent="0.2">
      <c r="A145" s="2465">
        <v>80</v>
      </c>
      <c r="B145" s="2466" t="s">
        <v>185</v>
      </c>
      <c r="C145" s="2445" t="s">
        <v>1348</v>
      </c>
      <c r="D145" s="2434">
        <v>145000000</v>
      </c>
      <c r="E145" s="2463">
        <v>4.4999999999999998E-2</v>
      </c>
      <c r="F145" s="2434">
        <v>6775000</v>
      </c>
      <c r="G145" s="2434">
        <v>6775000</v>
      </c>
      <c r="H145" s="2434" t="s">
        <v>4512</v>
      </c>
      <c r="I145" s="2422" t="s">
        <v>4067</v>
      </c>
      <c r="J145" s="2434">
        <f t="shared" si="16"/>
        <v>6775000</v>
      </c>
      <c r="K145" s="2434">
        <f t="shared" si="17"/>
        <v>0</v>
      </c>
      <c r="L145" s="2466"/>
      <c r="M145" s="406"/>
      <c r="N145" s="406"/>
      <c r="O145" s="406"/>
      <c r="P145" s="406"/>
    </row>
    <row r="146" spans="1:16" ht="30" customHeight="1" x14ac:dyDescent="0.2">
      <c r="A146" s="2465">
        <v>81</v>
      </c>
      <c r="B146" s="2466" t="s">
        <v>216</v>
      </c>
      <c r="C146" s="2445"/>
      <c r="D146" s="2434">
        <v>5000000</v>
      </c>
      <c r="E146" s="2463">
        <v>0.04</v>
      </c>
      <c r="F146" s="2434">
        <f t="shared" si="11"/>
        <v>200000</v>
      </c>
      <c r="G146" s="2434">
        <v>200000</v>
      </c>
      <c r="H146" s="2434" t="s">
        <v>4480</v>
      </c>
      <c r="I146" s="24" t="s">
        <v>1435</v>
      </c>
      <c r="J146" s="2434">
        <f t="shared" si="16"/>
        <v>200000</v>
      </c>
      <c r="K146" s="2434">
        <f t="shared" si="17"/>
        <v>0</v>
      </c>
      <c r="L146" s="2466"/>
      <c r="M146" s="406"/>
      <c r="N146" s="406"/>
      <c r="O146" s="406"/>
      <c r="P146" s="406"/>
    </row>
    <row r="147" spans="1:16" ht="30" customHeight="1" x14ac:dyDescent="0.2">
      <c r="A147" s="2465">
        <v>82</v>
      </c>
      <c r="B147" s="2466" t="s">
        <v>217</v>
      </c>
      <c r="C147" s="2445" t="s">
        <v>2778</v>
      </c>
      <c r="D147" s="2434">
        <v>16000000</v>
      </c>
      <c r="E147" s="2463">
        <v>0.05</v>
      </c>
      <c r="F147" s="2434">
        <f t="shared" si="11"/>
        <v>800000</v>
      </c>
      <c r="G147" s="2434">
        <v>800000</v>
      </c>
      <c r="H147" s="2434" t="s">
        <v>1236</v>
      </c>
      <c r="I147" s="2488" t="s">
        <v>993</v>
      </c>
      <c r="J147" s="2434">
        <f t="shared" si="16"/>
        <v>800000</v>
      </c>
      <c r="K147" s="2434">
        <f t="shared" si="17"/>
        <v>0</v>
      </c>
      <c r="L147" s="2466"/>
      <c r="M147" s="406"/>
      <c r="N147" s="406"/>
      <c r="O147" s="406"/>
      <c r="P147" s="406"/>
    </row>
    <row r="148" spans="1:16" ht="30" customHeight="1" x14ac:dyDescent="0.2">
      <c r="A148" s="2465">
        <v>83</v>
      </c>
      <c r="B148" s="2466" t="s">
        <v>218</v>
      </c>
      <c r="C148" s="2445" t="s">
        <v>1110</v>
      </c>
      <c r="D148" s="2434">
        <v>160000000</v>
      </c>
      <c r="E148" s="2463">
        <v>0.05</v>
      </c>
      <c r="F148" s="2434">
        <f>D148*E148</f>
        <v>8000000</v>
      </c>
      <c r="G148" s="2434">
        <v>8000000</v>
      </c>
      <c r="H148" s="2434" t="s">
        <v>1236</v>
      </c>
      <c r="I148" s="2422" t="s">
        <v>4122</v>
      </c>
      <c r="J148" s="2434">
        <f t="shared" si="16"/>
        <v>8000000</v>
      </c>
      <c r="K148" s="2434">
        <f t="shared" si="17"/>
        <v>0</v>
      </c>
      <c r="L148" s="2466"/>
      <c r="M148" s="406"/>
      <c r="N148" s="406"/>
      <c r="O148" s="406"/>
      <c r="P148" s="406"/>
    </row>
    <row r="149" spans="1:16" ht="30" customHeight="1" x14ac:dyDescent="0.2">
      <c r="A149" s="2465">
        <v>84</v>
      </c>
      <c r="B149" s="2466" t="s">
        <v>219</v>
      </c>
      <c r="C149" s="2445"/>
      <c r="D149" s="2434">
        <v>400000000</v>
      </c>
      <c r="E149" s="2463">
        <v>6.0999999999999999E-2</v>
      </c>
      <c r="F149" s="2434">
        <f t="shared" si="11"/>
        <v>24400000</v>
      </c>
      <c r="G149" s="2434">
        <v>24400000</v>
      </c>
      <c r="H149" s="2434" t="s">
        <v>1236</v>
      </c>
      <c r="I149" s="2488" t="s">
        <v>1646</v>
      </c>
      <c r="J149" s="2434">
        <f t="shared" si="16"/>
        <v>24400000</v>
      </c>
      <c r="K149" s="2434">
        <f t="shared" si="17"/>
        <v>0</v>
      </c>
      <c r="L149" s="2466"/>
      <c r="M149" s="406"/>
      <c r="N149" s="406"/>
      <c r="O149" s="406"/>
      <c r="P149" s="406"/>
    </row>
    <row r="150" spans="1:16" ht="30" customHeight="1" x14ac:dyDescent="0.2">
      <c r="A150" s="1081"/>
      <c r="B150" s="22" t="s">
        <v>1004</v>
      </c>
      <c r="C150" s="2467" t="s">
        <v>916</v>
      </c>
      <c r="D150" s="2422">
        <v>850000000</v>
      </c>
      <c r="E150" s="2463">
        <f>F150/D150</f>
        <v>6.1647058823529409E-2</v>
      </c>
      <c r="F150" s="2422">
        <v>52400000</v>
      </c>
      <c r="G150" s="2422">
        <v>52400000</v>
      </c>
      <c r="H150" s="2422" t="s">
        <v>4546</v>
      </c>
      <c r="I150" s="2422" t="s">
        <v>2674</v>
      </c>
      <c r="J150" s="2422">
        <f>G150</f>
        <v>52400000</v>
      </c>
      <c r="K150" s="2422">
        <f>F150-J150</f>
        <v>0</v>
      </c>
      <c r="L150" s="2444"/>
      <c r="M150" s="406"/>
      <c r="N150" s="406"/>
      <c r="O150" s="406"/>
      <c r="P150" s="406"/>
    </row>
    <row r="151" spans="1:16" ht="30" customHeight="1" x14ac:dyDescent="0.2">
      <c r="A151" s="2465">
        <v>86</v>
      </c>
      <c r="B151" s="22" t="s">
        <v>220</v>
      </c>
      <c r="C151" s="2467" t="s">
        <v>916</v>
      </c>
      <c r="D151" s="2422">
        <v>111000000</v>
      </c>
      <c r="E151" s="2463">
        <v>0.05</v>
      </c>
      <c r="F151" s="2422">
        <f t="shared" ref="F151" si="18">D151*E151</f>
        <v>5550000</v>
      </c>
      <c r="G151" s="2422">
        <v>5550000</v>
      </c>
      <c r="H151" s="2422" t="s">
        <v>4480</v>
      </c>
      <c r="I151" s="2422" t="s">
        <v>4111</v>
      </c>
      <c r="J151" s="2422">
        <f>G151</f>
        <v>5550000</v>
      </c>
      <c r="K151" s="2422">
        <f>F151-J151</f>
        <v>0</v>
      </c>
      <c r="L151" s="192"/>
      <c r="M151" s="406"/>
      <c r="N151" s="406"/>
      <c r="O151" s="406"/>
      <c r="P151" s="406"/>
    </row>
    <row r="152" spans="1:16" ht="30" customHeight="1" x14ac:dyDescent="0.2">
      <c r="A152" s="2425"/>
      <c r="B152" s="3457" t="s">
        <v>177</v>
      </c>
      <c r="C152" s="3570" t="s">
        <v>916</v>
      </c>
      <c r="D152" s="2434">
        <v>723000000</v>
      </c>
      <c r="E152" s="2437">
        <f>F152/D152</f>
        <v>6.5560165975103737E-2</v>
      </c>
      <c r="F152" s="2434">
        <v>47400000</v>
      </c>
      <c r="G152" s="2434">
        <v>47400000</v>
      </c>
      <c r="H152" s="2434" t="s">
        <v>4536</v>
      </c>
      <c r="I152" s="21" t="s">
        <v>3196</v>
      </c>
      <c r="J152" s="2434">
        <f>G152</f>
        <v>47400000</v>
      </c>
      <c r="K152" s="2434">
        <f>F152-J152</f>
        <v>0</v>
      </c>
      <c r="L152" s="3688"/>
      <c r="M152" s="3689"/>
      <c r="N152" s="3689"/>
      <c r="O152" s="3689"/>
      <c r="P152" s="3690"/>
    </row>
    <row r="153" spans="1:16" ht="30" customHeight="1" x14ac:dyDescent="0.2">
      <c r="A153" s="2967"/>
      <c r="B153" s="3458"/>
      <c r="C153" s="3571"/>
      <c r="D153" s="2970">
        <v>793000000</v>
      </c>
      <c r="E153" s="2969">
        <v>6.6000000000000003E-2</v>
      </c>
      <c r="F153" s="2970">
        <v>52300000</v>
      </c>
      <c r="G153" s="3325" t="s">
        <v>4706</v>
      </c>
      <c r="H153" s="3340"/>
      <c r="I153" s="3340"/>
      <c r="J153" s="3340"/>
      <c r="K153" s="3341"/>
      <c r="L153" s="2983" t="s">
        <v>4707</v>
      </c>
      <c r="M153" s="3012"/>
      <c r="N153" s="3012"/>
      <c r="O153" s="3012"/>
      <c r="P153" s="3012"/>
    </row>
    <row r="154" spans="1:16" ht="30" customHeight="1" x14ac:dyDescent="0.2">
      <c r="A154" s="2465">
        <v>88</v>
      </c>
      <c r="B154" s="2466" t="s">
        <v>221</v>
      </c>
      <c r="C154" s="2445" t="s">
        <v>1350</v>
      </c>
      <c r="D154" s="2434">
        <v>45000000</v>
      </c>
      <c r="E154" s="2463">
        <v>0.04</v>
      </c>
      <c r="F154" s="2434">
        <v>2050000</v>
      </c>
      <c r="G154" s="2434"/>
      <c r="H154" s="2434"/>
      <c r="I154" s="21" t="s">
        <v>779</v>
      </c>
      <c r="J154" s="2434">
        <f>G154</f>
        <v>0</v>
      </c>
      <c r="K154" s="2434">
        <f>F154-J154</f>
        <v>2050000</v>
      </c>
      <c r="L154" s="2466"/>
      <c r="M154" s="406"/>
      <c r="N154" s="406"/>
      <c r="O154" s="406"/>
      <c r="P154" s="406"/>
    </row>
    <row r="155" spans="1:16" ht="30" customHeight="1" x14ac:dyDescent="0.2">
      <c r="A155" s="3450">
        <v>89</v>
      </c>
      <c r="B155" s="3457" t="s">
        <v>222</v>
      </c>
      <c r="C155" s="3570" t="s">
        <v>1348</v>
      </c>
      <c r="D155" s="1913">
        <v>93000000</v>
      </c>
      <c r="E155" s="949">
        <v>7.0000000000000007E-2</v>
      </c>
      <c r="F155" s="1913">
        <v>6500000</v>
      </c>
      <c r="G155" s="1508"/>
      <c r="H155" s="1508"/>
      <c r="I155" s="1508"/>
      <c r="J155" s="1508"/>
      <c r="K155" s="3442">
        <v>0</v>
      </c>
      <c r="L155" s="33" t="s">
        <v>3454</v>
      </c>
      <c r="M155" s="406"/>
      <c r="N155" s="406"/>
      <c r="O155" s="406"/>
      <c r="P155" s="406"/>
    </row>
    <row r="156" spans="1:16" ht="30" customHeight="1" x14ac:dyDescent="0.2">
      <c r="A156" s="3456"/>
      <c r="B156" s="3459"/>
      <c r="C156" s="3576"/>
      <c r="D156" s="1913">
        <v>450000000</v>
      </c>
      <c r="E156" s="949">
        <v>0.05</v>
      </c>
      <c r="F156" s="3144">
        <f>D156*E156</f>
        <v>22500000</v>
      </c>
      <c r="G156" s="1508"/>
      <c r="H156" s="1508"/>
      <c r="I156" s="1508"/>
      <c r="J156" s="1508"/>
      <c r="K156" s="3443"/>
      <c r="L156" s="33" t="s">
        <v>4813</v>
      </c>
      <c r="M156" s="406"/>
      <c r="N156" s="406"/>
      <c r="O156" s="406"/>
      <c r="P156" s="406"/>
    </row>
    <row r="157" spans="1:16" ht="30" customHeight="1" x14ac:dyDescent="0.2">
      <c r="A157" s="3451"/>
      <c r="B157" s="3458"/>
      <c r="C157" s="3571"/>
      <c r="D157" s="3144">
        <v>100000000</v>
      </c>
      <c r="E157" s="949">
        <v>0.06</v>
      </c>
      <c r="F157" s="3144">
        <f>D157*E157</f>
        <v>6000000</v>
      </c>
      <c r="G157" s="3994" t="s">
        <v>4518</v>
      </c>
      <c r="H157" s="3995"/>
      <c r="I157" s="3995"/>
      <c r="J157" s="3996"/>
      <c r="K157" s="2794"/>
      <c r="L157" s="33" t="s">
        <v>4516</v>
      </c>
      <c r="M157" s="406"/>
      <c r="N157" s="406"/>
      <c r="O157" s="406"/>
      <c r="P157" s="406"/>
    </row>
    <row r="158" spans="1:16" ht="30" customHeight="1" x14ac:dyDescent="0.2">
      <c r="A158" s="3450">
        <v>90</v>
      </c>
      <c r="B158" s="3457" t="s">
        <v>223</v>
      </c>
      <c r="C158" s="3570" t="s">
        <v>1215</v>
      </c>
      <c r="D158" s="2434">
        <v>130000000</v>
      </c>
      <c r="E158" s="2463">
        <v>7.0000000000000007E-2</v>
      </c>
      <c r="F158" s="2434">
        <f>D158*E158</f>
        <v>9100000</v>
      </c>
      <c r="G158" s="3442">
        <v>14460000</v>
      </c>
      <c r="H158" s="3442" t="s">
        <v>1236</v>
      </c>
      <c r="I158" s="3452" t="s">
        <v>1921</v>
      </c>
      <c r="J158" s="3442">
        <f>G158</f>
        <v>14460000</v>
      </c>
      <c r="K158" s="3442">
        <f>(F158+F159)-J158</f>
        <v>0</v>
      </c>
      <c r="L158" s="3525"/>
      <c r="M158" s="406"/>
      <c r="N158" s="406"/>
      <c r="O158" s="406"/>
      <c r="P158" s="406"/>
    </row>
    <row r="159" spans="1:16" ht="30" customHeight="1" x14ac:dyDescent="0.2">
      <c r="A159" s="3451"/>
      <c r="B159" s="3458"/>
      <c r="C159" s="3571"/>
      <c r="D159" s="2434">
        <v>100000000</v>
      </c>
      <c r="E159" s="2463">
        <v>5.3999999999999999E-2</v>
      </c>
      <c r="F159" s="2434">
        <v>5360000</v>
      </c>
      <c r="G159" s="3443"/>
      <c r="H159" s="3443"/>
      <c r="I159" s="3453"/>
      <c r="J159" s="3443"/>
      <c r="K159" s="3443"/>
      <c r="L159" s="3526"/>
      <c r="M159" s="406"/>
      <c r="N159" s="406"/>
      <c r="O159" s="406"/>
      <c r="P159" s="406"/>
    </row>
    <row r="160" spans="1:16" ht="30" customHeight="1" x14ac:dyDescent="0.2">
      <c r="A160" s="3450">
        <v>91</v>
      </c>
      <c r="B160" s="3457" t="s">
        <v>4621</v>
      </c>
      <c r="C160" s="3570"/>
      <c r="D160" s="2434">
        <v>50000000</v>
      </c>
      <c r="E160" s="2463">
        <v>0.05</v>
      </c>
      <c r="F160" s="2434">
        <f t="shared" si="11"/>
        <v>2500000</v>
      </c>
      <c r="G160" s="3442">
        <v>12333000</v>
      </c>
      <c r="H160" s="3442" t="s">
        <v>4617</v>
      </c>
      <c r="I160" s="3586" t="s">
        <v>4619</v>
      </c>
      <c r="J160" s="3442">
        <f>G160</f>
        <v>12333000</v>
      </c>
      <c r="K160" s="3442">
        <f>F160-J160</f>
        <v>-9833000</v>
      </c>
      <c r="L160" s="33" t="s">
        <v>4130</v>
      </c>
      <c r="M160" s="406"/>
      <c r="N160" s="406"/>
      <c r="O160" s="406"/>
      <c r="P160" s="406"/>
    </row>
    <row r="161" spans="1:16" ht="30" customHeight="1" x14ac:dyDescent="0.2">
      <c r="A161" s="3451"/>
      <c r="B161" s="3459"/>
      <c r="C161" s="3576"/>
      <c r="D161" s="2434">
        <v>30000000</v>
      </c>
      <c r="E161" s="2463">
        <v>0.05</v>
      </c>
      <c r="F161" s="2434">
        <f>D161*E161</f>
        <v>1500000</v>
      </c>
      <c r="G161" s="3461"/>
      <c r="H161" s="3461"/>
      <c r="I161" s="3979"/>
      <c r="J161" s="3461"/>
      <c r="K161" s="3461"/>
      <c r="L161" s="192" t="s">
        <v>4054</v>
      </c>
      <c r="M161" s="406"/>
      <c r="N161" s="406"/>
      <c r="O161" s="406"/>
      <c r="P161" s="406"/>
    </row>
    <row r="162" spans="1:16" ht="30" customHeight="1" x14ac:dyDescent="0.2">
      <c r="A162" s="2871"/>
      <c r="B162" s="3458"/>
      <c r="C162" s="3571"/>
      <c r="D162" s="2877">
        <v>200000000</v>
      </c>
      <c r="E162" s="2886">
        <v>0.05</v>
      </c>
      <c r="F162" s="2877">
        <f>D162*E162</f>
        <v>10000000</v>
      </c>
      <c r="G162" s="3443"/>
      <c r="H162" s="3443"/>
      <c r="I162" s="3587"/>
      <c r="J162" s="3443"/>
      <c r="K162" s="3443"/>
      <c r="L162" s="192" t="s">
        <v>4620</v>
      </c>
      <c r="M162" s="406"/>
      <c r="N162" s="406"/>
      <c r="O162" s="406"/>
      <c r="P162" s="406"/>
    </row>
    <row r="163" spans="1:16" ht="30" customHeight="1" x14ac:dyDescent="0.2">
      <c r="A163" s="3450">
        <v>92</v>
      </c>
      <c r="B163" s="3525" t="s">
        <v>770</v>
      </c>
      <c r="C163" s="2467" t="s">
        <v>916</v>
      </c>
      <c r="D163" s="2422">
        <v>450000000</v>
      </c>
      <c r="E163" s="2463">
        <f>F163/D163</f>
        <v>5.3222222222222219E-2</v>
      </c>
      <c r="F163" s="2422">
        <v>23950000</v>
      </c>
      <c r="G163" s="2422">
        <v>23950000</v>
      </c>
      <c r="H163" s="2422" t="s">
        <v>4536</v>
      </c>
      <c r="I163" s="2470" t="s">
        <v>3144</v>
      </c>
      <c r="J163" s="2422">
        <f>G163</f>
        <v>23950000</v>
      </c>
      <c r="K163" s="2422">
        <f>F163-J163</f>
        <v>0</v>
      </c>
      <c r="L163" s="2468"/>
      <c r="M163" s="406"/>
      <c r="N163" s="406"/>
      <c r="O163" s="406"/>
      <c r="P163" s="406"/>
    </row>
    <row r="164" spans="1:16" ht="30" customHeight="1" x14ac:dyDescent="0.2">
      <c r="A164" s="3456"/>
      <c r="B164" s="3643"/>
      <c r="C164" s="3570" t="s">
        <v>1342</v>
      </c>
      <c r="D164" s="2434">
        <v>273000000</v>
      </c>
      <c r="E164" s="2437">
        <f>F164/D164</f>
        <v>5.4615384615384614E-2</v>
      </c>
      <c r="F164" s="2434">
        <v>14910000</v>
      </c>
      <c r="G164" s="3442">
        <v>19910000</v>
      </c>
      <c r="H164" s="3442" t="s">
        <v>2604</v>
      </c>
      <c r="I164" s="3442" t="s">
        <v>3144</v>
      </c>
      <c r="J164" s="3442">
        <f>G164</f>
        <v>19910000</v>
      </c>
      <c r="K164" s="3442">
        <f>(F164+F165)-J164</f>
        <v>0</v>
      </c>
      <c r="L164" s="192" t="s">
        <v>3741</v>
      </c>
      <c r="M164" s="406"/>
      <c r="N164" s="406"/>
      <c r="O164" s="406"/>
      <c r="P164" s="406"/>
    </row>
    <row r="165" spans="1:16" ht="30" customHeight="1" x14ac:dyDescent="0.2">
      <c r="A165" s="3456"/>
      <c r="B165" s="3643"/>
      <c r="C165" s="3576"/>
      <c r="D165" s="2464">
        <v>100000000</v>
      </c>
      <c r="E165" s="2435">
        <v>0.05</v>
      </c>
      <c r="F165" s="2433">
        <f>D165*E165</f>
        <v>5000000</v>
      </c>
      <c r="G165" s="3443"/>
      <c r="H165" s="3461"/>
      <c r="I165" s="3461"/>
      <c r="J165" s="3443"/>
      <c r="K165" s="3443"/>
      <c r="L165" s="192"/>
      <c r="M165" s="406"/>
      <c r="N165" s="406"/>
      <c r="O165" s="406"/>
      <c r="P165" s="406"/>
    </row>
    <row r="166" spans="1:16" ht="30" customHeight="1" x14ac:dyDescent="0.2">
      <c r="A166" s="3451"/>
      <c r="B166" s="2947"/>
      <c r="C166" s="3571"/>
      <c r="D166" s="3575" t="s">
        <v>4693</v>
      </c>
      <c r="E166" s="3575"/>
      <c r="F166" s="3575"/>
      <c r="G166" s="2943">
        <v>350000</v>
      </c>
      <c r="H166" s="3443"/>
      <c r="I166" s="3443"/>
      <c r="J166" s="2943">
        <f>G166</f>
        <v>350000</v>
      </c>
      <c r="K166" s="2943"/>
      <c r="L166" s="192"/>
      <c r="M166" s="406"/>
      <c r="N166" s="406"/>
      <c r="O166" s="406"/>
      <c r="P166" s="406"/>
    </row>
    <row r="167" spans="1:16" ht="30" customHeight="1" x14ac:dyDescent="0.2">
      <c r="A167" s="2425"/>
      <c r="B167" s="22" t="s">
        <v>225</v>
      </c>
      <c r="C167" s="2467"/>
      <c r="D167" s="2422">
        <v>50000000</v>
      </c>
      <c r="E167" s="2422"/>
      <c r="F167" s="2422"/>
      <c r="G167" s="247"/>
      <c r="H167" s="247"/>
      <c r="I167" s="247"/>
      <c r="J167" s="247"/>
      <c r="K167" s="2422"/>
      <c r="L167" s="2333" t="s">
        <v>4055</v>
      </c>
      <c r="M167" s="406"/>
      <c r="N167" s="406"/>
      <c r="O167" s="406"/>
      <c r="P167" s="406"/>
    </row>
    <row r="168" spans="1:16" ht="30" customHeight="1" x14ac:dyDescent="0.2">
      <c r="A168" s="2465">
        <v>94</v>
      </c>
      <c r="B168" s="2466" t="s">
        <v>1182</v>
      </c>
      <c r="C168" s="2445"/>
      <c r="D168" s="2434">
        <v>25000000</v>
      </c>
      <c r="E168" s="2463">
        <v>0.04</v>
      </c>
      <c r="F168" s="2434">
        <f>D168*E168</f>
        <v>1000000</v>
      </c>
      <c r="G168" s="2434">
        <v>1000000</v>
      </c>
      <c r="H168" s="2434" t="s">
        <v>1236</v>
      </c>
      <c r="I168" s="24" t="s">
        <v>1184</v>
      </c>
      <c r="J168" s="2434">
        <f>G168</f>
        <v>1000000</v>
      </c>
      <c r="K168" s="2434">
        <f t="shared" ref="K168:K173" si="19">F168-J168</f>
        <v>0</v>
      </c>
      <c r="L168" s="2466"/>
      <c r="M168" s="406"/>
      <c r="N168" s="406"/>
      <c r="O168" s="406"/>
      <c r="P168" s="406"/>
    </row>
    <row r="169" spans="1:16" ht="30" customHeight="1" x14ac:dyDescent="0.2">
      <c r="A169" s="2425"/>
      <c r="B169" s="22" t="s">
        <v>226</v>
      </c>
      <c r="C169" s="2467"/>
      <c r="D169" s="2422">
        <v>355000000</v>
      </c>
      <c r="E169" s="2463">
        <v>0.05</v>
      </c>
      <c r="F169" s="2422">
        <f>D169*E169</f>
        <v>17750000</v>
      </c>
      <c r="G169" s="2422">
        <v>18000000</v>
      </c>
      <c r="H169" s="2422" t="s">
        <v>1236</v>
      </c>
      <c r="I169" s="2470" t="s">
        <v>3567</v>
      </c>
      <c r="J169" s="2422">
        <f>G169</f>
        <v>18000000</v>
      </c>
      <c r="K169" s="2422">
        <f t="shared" si="19"/>
        <v>-250000</v>
      </c>
      <c r="L169" s="421" t="s">
        <v>4532</v>
      </c>
      <c r="M169" s="406"/>
      <c r="N169" s="406"/>
      <c r="O169" s="406"/>
      <c r="P169" s="406"/>
    </row>
    <row r="170" spans="1:16" ht="30" customHeight="1" x14ac:dyDescent="0.2">
      <c r="A170" s="2465">
        <v>96</v>
      </c>
      <c r="B170" s="2466" t="s">
        <v>227</v>
      </c>
      <c r="C170" s="2445"/>
      <c r="D170" s="2434">
        <v>70000000</v>
      </c>
      <c r="E170" s="2463">
        <v>0.05</v>
      </c>
      <c r="F170" s="2434">
        <f>D170*E170</f>
        <v>3500000</v>
      </c>
      <c r="G170" s="2434"/>
      <c r="H170" s="2434"/>
      <c r="I170" s="2422" t="s">
        <v>1512</v>
      </c>
      <c r="J170" s="2434">
        <f>F170</f>
        <v>3500000</v>
      </c>
      <c r="K170" s="2434">
        <f t="shared" si="19"/>
        <v>0</v>
      </c>
      <c r="L170" s="2466"/>
      <c r="M170" s="406"/>
      <c r="N170" s="406"/>
      <c r="O170" s="406"/>
      <c r="P170" s="406"/>
    </row>
    <row r="171" spans="1:16" ht="30" customHeight="1" x14ac:dyDescent="0.2">
      <c r="A171" s="2465">
        <v>98</v>
      </c>
      <c r="B171" s="2466" t="s">
        <v>229</v>
      </c>
      <c r="C171" s="2445"/>
      <c r="D171" s="2434">
        <v>20000000</v>
      </c>
      <c r="E171" s="2463">
        <v>0.05</v>
      </c>
      <c r="F171" s="2434">
        <f t="shared" ref="F171" si="20">D171*E171</f>
        <v>1000000</v>
      </c>
      <c r="G171" s="2434"/>
      <c r="H171" s="2434"/>
      <c r="I171" s="2422" t="s">
        <v>812</v>
      </c>
      <c r="J171" s="2434">
        <f>G171</f>
        <v>0</v>
      </c>
      <c r="K171" s="2434">
        <f t="shared" si="19"/>
        <v>1000000</v>
      </c>
      <c r="L171" s="2466"/>
      <c r="M171" s="406"/>
      <c r="N171" s="406"/>
      <c r="O171" s="406"/>
      <c r="P171" s="406"/>
    </row>
    <row r="172" spans="1:16" ht="30" customHeight="1" x14ac:dyDescent="0.2">
      <c r="A172" s="2465">
        <v>99</v>
      </c>
      <c r="B172" s="2466" t="s">
        <v>230</v>
      </c>
      <c r="C172" s="2445" t="s">
        <v>1352</v>
      </c>
      <c r="D172" s="2434">
        <v>100000000</v>
      </c>
      <c r="E172" s="2463">
        <v>0.04</v>
      </c>
      <c r="F172" s="2434">
        <f>D172*E172</f>
        <v>4000000</v>
      </c>
      <c r="G172" s="2434">
        <v>4000000</v>
      </c>
      <c r="H172" s="2434" t="s">
        <v>4458</v>
      </c>
      <c r="I172" s="2488" t="s">
        <v>4476</v>
      </c>
      <c r="J172" s="2434">
        <f>G172</f>
        <v>4000000</v>
      </c>
      <c r="K172" s="2434">
        <f t="shared" si="19"/>
        <v>0</v>
      </c>
      <c r="L172" s="2466"/>
      <c r="M172" s="406"/>
      <c r="N172" s="406"/>
      <c r="O172" s="406"/>
      <c r="P172" s="406"/>
    </row>
    <row r="173" spans="1:16" ht="30" customHeight="1" x14ac:dyDescent="0.2">
      <c r="A173" s="2465">
        <v>100</v>
      </c>
      <c r="B173" s="2466" t="s">
        <v>231</v>
      </c>
      <c r="C173" s="2445" t="s">
        <v>401</v>
      </c>
      <c r="D173" s="2434">
        <v>101000000</v>
      </c>
      <c r="E173" s="2463">
        <v>5.0999999999999997E-2</v>
      </c>
      <c r="F173" s="2434">
        <v>5100000</v>
      </c>
      <c r="G173" s="2434">
        <v>5100000</v>
      </c>
      <c r="H173" s="2434" t="s">
        <v>4579</v>
      </c>
      <c r="I173" s="24" t="s">
        <v>2994</v>
      </c>
      <c r="J173" s="2434">
        <f>G173</f>
        <v>5100000</v>
      </c>
      <c r="K173" s="2434">
        <f t="shared" si="19"/>
        <v>0</v>
      </c>
      <c r="L173" s="2466"/>
      <c r="M173" s="406"/>
      <c r="N173" s="406"/>
      <c r="O173" s="406"/>
      <c r="P173" s="406"/>
    </row>
    <row r="174" spans="1:16" ht="30" customHeight="1" x14ac:dyDescent="0.2">
      <c r="A174" s="3497"/>
      <c r="B174" s="3457" t="s">
        <v>180</v>
      </c>
      <c r="C174" s="3570" t="s">
        <v>1110</v>
      </c>
      <c r="D174" s="3442">
        <v>100000000</v>
      </c>
      <c r="E174" s="3444">
        <v>0.06</v>
      </c>
      <c r="F174" s="3442">
        <f>D174*E174</f>
        <v>6000000</v>
      </c>
      <c r="G174" s="3442">
        <v>6000000</v>
      </c>
      <c r="H174" s="3442" t="s">
        <v>4458</v>
      </c>
      <c r="I174" s="3442" t="s">
        <v>3481</v>
      </c>
      <c r="J174" s="3442">
        <f>G174</f>
        <v>6000000</v>
      </c>
      <c r="K174" s="3442">
        <f>F174-J174</f>
        <v>0</v>
      </c>
      <c r="L174" s="2473" t="s">
        <v>3438</v>
      </c>
      <c r="M174" s="406"/>
      <c r="N174" s="406"/>
      <c r="O174" s="406"/>
      <c r="P174" s="406"/>
    </row>
    <row r="175" spans="1:16" ht="30" customHeight="1" x14ac:dyDescent="0.2">
      <c r="A175" s="3498"/>
      <c r="B175" s="3458"/>
      <c r="C175" s="3571"/>
      <c r="D175" s="3443"/>
      <c r="E175" s="3445"/>
      <c r="F175" s="3443"/>
      <c r="G175" s="3443"/>
      <c r="H175" s="3443"/>
      <c r="I175" s="3443"/>
      <c r="J175" s="3443"/>
      <c r="K175" s="3443"/>
      <c r="L175" s="2473" t="s">
        <v>4056</v>
      </c>
      <c r="M175" s="406"/>
      <c r="N175" s="406"/>
      <c r="O175" s="406"/>
      <c r="P175" s="406"/>
    </row>
    <row r="176" spans="1:16" s="1593" customFormat="1" ht="30" customHeight="1" x14ac:dyDescent="0.2">
      <c r="A176" s="2465"/>
      <c r="B176" s="22" t="s">
        <v>233</v>
      </c>
      <c r="C176" s="2467" t="s">
        <v>1215</v>
      </c>
      <c r="D176" s="2422">
        <v>37000000</v>
      </c>
      <c r="E176" s="2463">
        <v>5.5E-2</v>
      </c>
      <c r="F176" s="2422">
        <v>2000000</v>
      </c>
      <c r="G176" s="2422">
        <v>2000000</v>
      </c>
      <c r="H176" s="2422" t="s">
        <v>1236</v>
      </c>
      <c r="I176" s="2422" t="s">
        <v>4407</v>
      </c>
      <c r="J176" s="2422">
        <f>G176</f>
        <v>2000000</v>
      </c>
      <c r="K176" s="2422">
        <f>F176-J176</f>
        <v>0</v>
      </c>
      <c r="L176" s="2333"/>
      <c r="M176" s="9"/>
      <c r="N176" s="9"/>
      <c r="O176" s="9"/>
      <c r="P176" s="9"/>
    </row>
    <row r="177" spans="1:16" ht="30" customHeight="1" x14ac:dyDescent="0.2">
      <c r="A177" s="2425">
        <v>104</v>
      </c>
      <c r="B177" s="2428" t="s">
        <v>234</v>
      </c>
      <c r="C177" s="2445" t="s">
        <v>1215</v>
      </c>
      <c r="D177" s="2434">
        <v>20000000</v>
      </c>
      <c r="E177" s="2437">
        <v>0.05</v>
      </c>
      <c r="F177" s="2434">
        <f t="shared" si="11"/>
        <v>1000000</v>
      </c>
      <c r="G177" s="2434">
        <v>1000000</v>
      </c>
      <c r="H177" s="2434" t="s">
        <v>1236</v>
      </c>
      <c r="I177" s="24" t="s">
        <v>3573</v>
      </c>
      <c r="J177" s="2434">
        <f>G177</f>
        <v>1000000</v>
      </c>
      <c r="K177" s="2434">
        <f>F177-J177</f>
        <v>0</v>
      </c>
      <c r="L177" s="2428"/>
      <c r="M177" s="406"/>
      <c r="N177" s="406"/>
      <c r="O177" s="406"/>
      <c r="P177" s="406"/>
    </row>
    <row r="178" spans="1:16" ht="30" customHeight="1" x14ac:dyDescent="0.2">
      <c r="A178" s="3450">
        <v>105</v>
      </c>
      <c r="B178" s="3677" t="s">
        <v>235</v>
      </c>
      <c r="C178" s="3570"/>
      <c r="D178" s="3505"/>
      <c r="E178" s="3507"/>
      <c r="F178" s="3505">
        <f t="shared" ref="F178:F212" si="21">D178*E178</f>
        <v>0</v>
      </c>
      <c r="G178" s="2434"/>
      <c r="H178" s="2434"/>
      <c r="I178" s="24" t="s">
        <v>795</v>
      </c>
      <c r="J178" s="2434">
        <f>G178</f>
        <v>0</v>
      </c>
      <c r="K178" s="2440">
        <f>F178-J178</f>
        <v>0</v>
      </c>
      <c r="L178" s="2426"/>
    </row>
    <row r="179" spans="1:16" ht="30" customHeight="1" x14ac:dyDescent="0.2">
      <c r="A179" s="3451"/>
      <c r="B179" s="3679"/>
      <c r="C179" s="3571"/>
      <c r="D179" s="3506"/>
      <c r="E179" s="3508"/>
      <c r="F179" s="3506"/>
      <c r="G179" s="2434"/>
      <c r="H179" s="2434"/>
      <c r="I179" s="24" t="s">
        <v>3685</v>
      </c>
      <c r="J179" s="2434">
        <f>G179</f>
        <v>0</v>
      </c>
      <c r="K179" s="2440"/>
      <c r="L179" s="2432" t="s">
        <v>3686</v>
      </c>
    </row>
    <row r="180" spans="1:16" ht="30" customHeight="1" x14ac:dyDescent="0.2">
      <c r="A180" s="2465">
        <v>107</v>
      </c>
      <c r="B180" s="2466" t="s">
        <v>237</v>
      </c>
      <c r="C180" s="2445"/>
      <c r="D180" s="2434">
        <v>65000000</v>
      </c>
      <c r="E180" s="2463">
        <v>3.4000000000000002E-2</v>
      </c>
      <c r="F180" s="2434">
        <v>2200000</v>
      </c>
      <c r="G180" s="2434">
        <v>2200000</v>
      </c>
      <c r="H180" s="2434" t="s">
        <v>1236</v>
      </c>
      <c r="I180" s="2422" t="s">
        <v>4534</v>
      </c>
      <c r="J180" s="2434">
        <f t="shared" ref="J180:J189" si="22">G180</f>
        <v>2200000</v>
      </c>
      <c r="K180" s="2434">
        <f t="shared" ref="K180:K189" si="23">F180-J180</f>
        <v>0</v>
      </c>
      <c r="L180" s="2432" t="s">
        <v>4414</v>
      </c>
    </row>
    <row r="181" spans="1:16" ht="30" customHeight="1" x14ac:dyDescent="0.2">
      <c r="A181" s="3450">
        <v>108</v>
      </c>
      <c r="B181" s="3457" t="s">
        <v>238</v>
      </c>
      <c r="C181" s="3570" t="s">
        <v>1215</v>
      </c>
      <c r="D181" s="2422">
        <v>1430000000</v>
      </c>
      <c r="E181" s="2463">
        <v>5.5E-2</v>
      </c>
      <c r="F181" s="2422">
        <f t="shared" si="21"/>
        <v>78650000</v>
      </c>
      <c r="G181" s="3769" t="s">
        <v>4507</v>
      </c>
      <c r="H181" s="3770"/>
      <c r="I181" s="3770"/>
      <c r="J181" s="3771"/>
      <c r="K181" s="2422">
        <v>0</v>
      </c>
      <c r="L181" s="2467"/>
    </row>
    <row r="182" spans="1:16" ht="30" customHeight="1" x14ac:dyDescent="0.2">
      <c r="A182" s="3456"/>
      <c r="B182" s="3459"/>
      <c r="C182" s="3576"/>
      <c r="D182" s="2634">
        <v>150000000</v>
      </c>
      <c r="E182" s="2631">
        <v>5.5E-2</v>
      </c>
      <c r="F182" s="2634">
        <f>D182*E182</f>
        <v>8250000</v>
      </c>
      <c r="G182" s="3478" t="s">
        <v>4506</v>
      </c>
      <c r="H182" s="3479"/>
      <c r="I182" s="3479"/>
      <c r="J182" s="3480"/>
      <c r="K182" s="2634"/>
      <c r="L182" s="3109" t="s">
        <v>4809</v>
      </c>
    </row>
    <row r="183" spans="1:16" ht="30" customHeight="1" x14ac:dyDescent="0.2">
      <c r="A183" s="3451"/>
      <c r="B183" s="3458"/>
      <c r="C183" s="3571"/>
      <c r="D183" s="3113">
        <v>1580000000</v>
      </c>
      <c r="E183" s="3147">
        <v>5.5E-2</v>
      </c>
      <c r="F183" s="3148">
        <f>D183*E183</f>
        <v>86900000</v>
      </c>
      <c r="G183" s="3110"/>
      <c r="H183" s="3111"/>
      <c r="I183" s="3111"/>
      <c r="J183" s="3112"/>
      <c r="K183" s="3107"/>
      <c r="L183" s="3108"/>
    </row>
    <row r="184" spans="1:16" ht="30" customHeight="1" x14ac:dyDescent="0.2">
      <c r="A184" s="3450">
        <v>109</v>
      </c>
      <c r="B184" s="3457" t="s">
        <v>239</v>
      </c>
      <c r="C184" s="3570"/>
      <c r="D184" s="3575">
        <v>1000000000</v>
      </c>
      <c r="E184" s="3444">
        <v>0.05</v>
      </c>
      <c r="F184" s="3442">
        <f t="shared" si="21"/>
        <v>50000000</v>
      </c>
      <c r="G184" s="2434">
        <v>50000000</v>
      </c>
      <c r="H184" s="2434" t="s">
        <v>4579</v>
      </c>
      <c r="I184" s="24" t="s">
        <v>4580</v>
      </c>
      <c r="J184" s="2434">
        <f t="shared" si="22"/>
        <v>50000000</v>
      </c>
      <c r="K184" s="2434">
        <f t="shared" si="23"/>
        <v>0</v>
      </c>
      <c r="L184" s="2845" t="s">
        <v>4592</v>
      </c>
    </row>
    <row r="185" spans="1:16" ht="30" customHeight="1" x14ac:dyDescent="0.2">
      <c r="A185" s="3451"/>
      <c r="B185" s="3458"/>
      <c r="C185" s="3571"/>
      <c r="D185" s="3575"/>
      <c r="E185" s="3445"/>
      <c r="F185" s="3443"/>
      <c r="G185" s="2844">
        <v>50000000</v>
      </c>
      <c r="H185" s="2844" t="s">
        <v>4591</v>
      </c>
      <c r="I185" s="24" t="s">
        <v>4580</v>
      </c>
      <c r="J185" s="2844">
        <f>G185</f>
        <v>50000000</v>
      </c>
      <c r="K185" s="2844"/>
      <c r="L185" s="2845" t="s">
        <v>4593</v>
      </c>
    </row>
    <row r="186" spans="1:16" ht="30" customHeight="1" x14ac:dyDescent="0.2">
      <c r="A186" s="2465">
        <v>110</v>
      </c>
      <c r="B186" s="2468" t="s">
        <v>1960</v>
      </c>
      <c r="C186" s="2444" t="s">
        <v>1347</v>
      </c>
      <c r="D186" s="2438">
        <v>14000000</v>
      </c>
      <c r="E186" s="2435">
        <v>4.2999999999999997E-2</v>
      </c>
      <c r="F186" s="2434">
        <v>600000</v>
      </c>
      <c r="G186" s="2434">
        <v>600000</v>
      </c>
      <c r="H186" s="2434" t="s">
        <v>4003</v>
      </c>
      <c r="I186" s="24" t="s">
        <v>4066</v>
      </c>
      <c r="J186" s="2422">
        <f t="shared" si="22"/>
        <v>600000</v>
      </c>
      <c r="K186" s="2422">
        <f t="shared" si="23"/>
        <v>0</v>
      </c>
      <c r="L186" s="2875" t="s">
        <v>4628</v>
      </c>
    </row>
    <row r="187" spans="1:16" ht="30" customHeight="1" x14ac:dyDescent="0.2">
      <c r="A187" s="2425"/>
      <c r="B187" s="22" t="s">
        <v>240</v>
      </c>
      <c r="C187" s="2467" t="s">
        <v>401</v>
      </c>
      <c r="D187" s="2422">
        <v>30000000</v>
      </c>
      <c r="E187" s="2463">
        <v>0.05</v>
      </c>
      <c r="F187" s="2434">
        <f>D187*E187</f>
        <v>1500000</v>
      </c>
      <c r="G187" s="2422">
        <v>1500000</v>
      </c>
      <c r="H187" s="2422" t="s">
        <v>4554</v>
      </c>
      <c r="I187" s="2422" t="s">
        <v>4066</v>
      </c>
      <c r="J187" s="2422">
        <f t="shared" si="22"/>
        <v>1500000</v>
      </c>
      <c r="K187" s="2434">
        <f t="shared" si="23"/>
        <v>0</v>
      </c>
      <c r="L187" s="2432" t="s">
        <v>3586</v>
      </c>
    </row>
    <row r="188" spans="1:16" ht="30" customHeight="1" x14ac:dyDescent="0.2">
      <c r="A188" s="2465">
        <v>112</v>
      </c>
      <c r="B188" s="2466" t="s">
        <v>241</v>
      </c>
      <c r="C188" s="2467"/>
      <c r="D188" s="2434">
        <v>40000000</v>
      </c>
      <c r="E188" s="2463">
        <v>0.05</v>
      </c>
      <c r="F188" s="2434">
        <f t="shared" si="21"/>
        <v>2000000</v>
      </c>
      <c r="G188" s="2434">
        <v>2000000</v>
      </c>
      <c r="H188" s="2434" t="s">
        <v>4579</v>
      </c>
      <c r="I188" s="2488" t="s">
        <v>3601</v>
      </c>
      <c r="J188" s="2434">
        <f t="shared" si="22"/>
        <v>2000000</v>
      </c>
      <c r="K188" s="2434">
        <f t="shared" si="23"/>
        <v>0</v>
      </c>
      <c r="L188" s="2466"/>
    </row>
    <row r="189" spans="1:16" ht="30" customHeight="1" x14ac:dyDescent="0.2">
      <c r="A189" s="2425"/>
      <c r="B189" s="2426" t="s">
        <v>242</v>
      </c>
      <c r="C189" s="2467" t="s">
        <v>411</v>
      </c>
      <c r="D189" s="2434">
        <v>250000000</v>
      </c>
      <c r="E189" s="2463">
        <v>0.05</v>
      </c>
      <c r="F189" s="2434">
        <f>D189*E189</f>
        <v>12500000</v>
      </c>
      <c r="G189" s="2422">
        <v>12500000</v>
      </c>
      <c r="H189" s="2422" t="s">
        <v>1236</v>
      </c>
      <c r="I189" s="2422" t="s">
        <v>4129</v>
      </c>
      <c r="J189" s="2422">
        <f t="shared" si="22"/>
        <v>12500000</v>
      </c>
      <c r="K189" s="2434">
        <f t="shared" si="23"/>
        <v>0</v>
      </c>
      <c r="L189" s="2432"/>
    </row>
    <row r="190" spans="1:16" ht="30" customHeight="1" x14ac:dyDescent="0.2">
      <c r="A190" s="2465">
        <v>114</v>
      </c>
      <c r="B190" s="2466" t="s">
        <v>243</v>
      </c>
      <c r="C190" s="2445"/>
      <c r="D190" s="2434">
        <v>100000000</v>
      </c>
      <c r="E190" s="2463">
        <v>4.4999999999999998E-2</v>
      </c>
      <c r="F190" s="2434">
        <f t="shared" si="21"/>
        <v>4500000</v>
      </c>
      <c r="G190" s="2434"/>
      <c r="H190" s="2434"/>
      <c r="I190" s="89"/>
      <c r="J190" s="2434">
        <f>G190</f>
        <v>0</v>
      </c>
      <c r="K190" s="2434">
        <f>F190-J190</f>
        <v>4500000</v>
      </c>
      <c r="L190" s="2466"/>
    </row>
    <row r="191" spans="1:16" ht="30" customHeight="1" x14ac:dyDescent="0.2">
      <c r="A191" s="2502">
        <v>115</v>
      </c>
      <c r="B191" s="2468" t="s">
        <v>244</v>
      </c>
      <c r="C191" s="2444" t="s">
        <v>1175</v>
      </c>
      <c r="D191" s="2433">
        <v>20000000</v>
      </c>
      <c r="E191" s="2435">
        <v>0.05</v>
      </c>
      <c r="F191" s="2433">
        <f t="shared" si="21"/>
        <v>1000000</v>
      </c>
      <c r="G191" s="2434">
        <v>1000000</v>
      </c>
      <c r="H191" s="2434" t="s">
        <v>4554</v>
      </c>
      <c r="I191" s="24" t="s">
        <v>1444</v>
      </c>
      <c r="J191" s="2434">
        <f>G191</f>
        <v>1000000</v>
      </c>
      <c r="K191" s="2434">
        <f>F191-J191</f>
        <v>0</v>
      </c>
      <c r="L191" s="2431"/>
    </row>
    <row r="192" spans="1:16" ht="30" customHeight="1" x14ac:dyDescent="0.2">
      <c r="A192" s="1081"/>
      <c r="B192" s="22" t="s">
        <v>246</v>
      </c>
      <c r="C192" s="2467" t="s">
        <v>916</v>
      </c>
      <c r="D192" s="2422">
        <v>445000000</v>
      </c>
      <c r="E192" s="2463">
        <v>4.4999999999999998E-2</v>
      </c>
      <c r="F192" s="2422">
        <v>20000000</v>
      </c>
      <c r="G192" s="2434"/>
      <c r="H192" s="2434"/>
      <c r="I192" s="89" t="s">
        <v>2780</v>
      </c>
      <c r="J192" s="2434">
        <f>G192</f>
        <v>0</v>
      </c>
      <c r="K192" s="2434">
        <f>F192-J192</f>
        <v>20000000</v>
      </c>
      <c r="L192" s="2497" t="s">
        <v>4410</v>
      </c>
    </row>
    <row r="193" spans="1:12" ht="30" customHeight="1" x14ac:dyDescent="0.2">
      <c r="A193" s="3450">
        <v>118</v>
      </c>
      <c r="B193" s="3457" t="s">
        <v>247</v>
      </c>
      <c r="C193" s="3570" t="s">
        <v>4366</v>
      </c>
      <c r="D193" s="3442">
        <v>33000000</v>
      </c>
      <c r="E193" s="3444">
        <v>0.05</v>
      </c>
      <c r="F193" s="3442">
        <f>D193*E193</f>
        <v>1650000</v>
      </c>
      <c r="G193" s="3442">
        <v>1650000</v>
      </c>
      <c r="H193" s="3442" t="s">
        <v>4554</v>
      </c>
      <c r="I193" s="3967" t="s">
        <v>625</v>
      </c>
      <c r="J193" s="3442">
        <f>G193</f>
        <v>1650000</v>
      </c>
      <c r="K193" s="3442">
        <f>F193-J193</f>
        <v>0</v>
      </c>
      <c r="L193" s="2497" t="s">
        <v>4367</v>
      </c>
    </row>
    <row r="194" spans="1:12" ht="30" customHeight="1" x14ac:dyDescent="0.2">
      <c r="A194" s="3456"/>
      <c r="B194" s="3459"/>
      <c r="C194" s="3571"/>
      <c r="D194" s="3443"/>
      <c r="E194" s="3445"/>
      <c r="F194" s="3443"/>
      <c r="G194" s="3443"/>
      <c r="H194" s="3443"/>
      <c r="I194" s="3968"/>
      <c r="J194" s="3443"/>
      <c r="K194" s="3443"/>
      <c r="L194" s="2497" t="s">
        <v>4368</v>
      </c>
    </row>
    <row r="195" spans="1:12" ht="30" customHeight="1" x14ac:dyDescent="0.2">
      <c r="A195" s="3450">
        <v>120</v>
      </c>
      <c r="B195" s="3457" t="s">
        <v>249</v>
      </c>
      <c r="C195" s="3570" t="s">
        <v>379</v>
      </c>
      <c r="D195" s="3442">
        <v>617000000</v>
      </c>
      <c r="E195" s="3444">
        <v>7.0000000000000007E-2</v>
      </c>
      <c r="F195" s="3442">
        <v>43200000</v>
      </c>
      <c r="G195" s="2422">
        <v>30000000</v>
      </c>
      <c r="H195" s="2422" t="s">
        <v>4617</v>
      </c>
      <c r="I195" s="2470" t="s">
        <v>3000</v>
      </c>
      <c r="J195" s="3442">
        <f>G195+G196</f>
        <v>43200000</v>
      </c>
      <c r="K195" s="3442">
        <f>F195-J195</f>
        <v>0</v>
      </c>
      <c r="L195" s="3525"/>
    </row>
    <row r="196" spans="1:12" ht="30" customHeight="1" x14ac:dyDescent="0.2">
      <c r="A196" s="3451"/>
      <c r="B196" s="3458"/>
      <c r="C196" s="3571"/>
      <c r="D196" s="3443"/>
      <c r="E196" s="3445"/>
      <c r="F196" s="3443"/>
      <c r="G196" s="2434">
        <v>13200000</v>
      </c>
      <c r="H196" s="2434" t="s">
        <v>2604</v>
      </c>
      <c r="I196" s="2470" t="s">
        <v>3000</v>
      </c>
      <c r="J196" s="3443"/>
      <c r="K196" s="3443"/>
      <c r="L196" s="3526"/>
    </row>
    <row r="197" spans="1:12" ht="30" customHeight="1" x14ac:dyDescent="0.2">
      <c r="A197" s="2465">
        <v>122</v>
      </c>
      <c r="B197" s="2466" t="s">
        <v>251</v>
      </c>
      <c r="C197" s="2445"/>
      <c r="D197" s="2434">
        <v>50000000</v>
      </c>
      <c r="E197" s="2463">
        <v>4.4999999999999998E-2</v>
      </c>
      <c r="F197" s="2434">
        <f t="shared" si="21"/>
        <v>2250000</v>
      </c>
      <c r="G197" s="2434">
        <v>2250000</v>
      </c>
      <c r="H197" s="2434" t="s">
        <v>4554</v>
      </c>
      <c r="I197" s="21" t="s">
        <v>1661</v>
      </c>
      <c r="J197" s="2434">
        <f>G197</f>
        <v>2250000</v>
      </c>
      <c r="K197" s="2434">
        <f>F197-J197</f>
        <v>0</v>
      </c>
      <c r="L197" s="2466"/>
    </row>
    <row r="198" spans="1:12" ht="30" customHeight="1" x14ac:dyDescent="0.2">
      <c r="A198" s="3450">
        <v>123</v>
      </c>
      <c r="B198" s="3457" t="s">
        <v>1744</v>
      </c>
      <c r="C198" s="3570" t="s">
        <v>1219</v>
      </c>
      <c r="D198" s="2422">
        <v>60000000</v>
      </c>
      <c r="E198" s="2463">
        <v>0.05</v>
      </c>
      <c r="F198" s="2422">
        <f t="shared" si="21"/>
        <v>3000000</v>
      </c>
      <c r="G198" s="3442">
        <v>7000000</v>
      </c>
      <c r="H198" s="3442" t="s">
        <v>4617</v>
      </c>
      <c r="I198" s="3452" t="s">
        <v>3670</v>
      </c>
      <c r="J198" s="3442">
        <f>G198</f>
        <v>7000000</v>
      </c>
      <c r="K198" s="3442">
        <f>(F198+F199+F200)-G198</f>
        <v>0</v>
      </c>
      <c r="L198" s="3525"/>
    </row>
    <row r="199" spans="1:12" ht="30" customHeight="1" x14ac:dyDescent="0.2">
      <c r="A199" s="3456"/>
      <c r="B199" s="3459"/>
      <c r="C199" s="3576"/>
      <c r="D199" s="2422">
        <v>20000000</v>
      </c>
      <c r="E199" s="2463">
        <v>7.0000000000000007E-2</v>
      </c>
      <c r="F199" s="2422">
        <f t="shared" si="21"/>
        <v>1400000.0000000002</v>
      </c>
      <c r="G199" s="3461"/>
      <c r="H199" s="3461"/>
      <c r="I199" s="3653"/>
      <c r="J199" s="3461"/>
      <c r="K199" s="3461"/>
      <c r="L199" s="3526"/>
    </row>
    <row r="200" spans="1:12" ht="30" customHeight="1" x14ac:dyDescent="0.2">
      <c r="A200" s="3456"/>
      <c r="B200" s="3458"/>
      <c r="C200" s="3571"/>
      <c r="D200" s="2422">
        <v>52000000</v>
      </c>
      <c r="E200" s="2463">
        <v>0.05</v>
      </c>
      <c r="F200" s="2422">
        <f>D200*E200</f>
        <v>2600000</v>
      </c>
      <c r="G200" s="3443"/>
      <c r="H200" s="3443"/>
      <c r="I200" s="3453"/>
      <c r="J200" s="3443"/>
      <c r="K200" s="3443"/>
      <c r="L200" s="2497"/>
    </row>
    <row r="201" spans="1:12" ht="30" customHeight="1" x14ac:dyDescent="0.2">
      <c r="A201" s="2465">
        <v>124</v>
      </c>
      <c r="B201" s="2466" t="s">
        <v>253</v>
      </c>
      <c r="C201" s="2445" t="s">
        <v>401</v>
      </c>
      <c r="D201" s="2434">
        <v>200000000</v>
      </c>
      <c r="E201" s="2437">
        <v>0.05</v>
      </c>
      <c r="F201" s="2434">
        <f t="shared" si="21"/>
        <v>10000000</v>
      </c>
      <c r="G201" s="2434">
        <v>10000000</v>
      </c>
      <c r="H201" s="2434" t="s">
        <v>4554</v>
      </c>
      <c r="I201" s="2455" t="s">
        <v>1473</v>
      </c>
      <c r="J201" s="2434">
        <f t="shared" ref="J201:J212" si="24">G201</f>
        <v>10000000</v>
      </c>
      <c r="K201" s="2434">
        <f t="shared" ref="K201:K212" si="25">F201-J201</f>
        <v>0</v>
      </c>
      <c r="L201" s="2466"/>
    </row>
    <row r="202" spans="1:12" ht="30" customHeight="1" x14ac:dyDescent="0.2">
      <c r="A202" s="2502">
        <v>125</v>
      </c>
      <c r="B202" s="2468" t="s">
        <v>254</v>
      </c>
      <c r="C202" s="2467"/>
      <c r="D202" s="2422">
        <v>160000000</v>
      </c>
      <c r="E202" s="2463">
        <v>7.0000000000000007E-2</v>
      </c>
      <c r="F202" s="2422">
        <v>11000000</v>
      </c>
      <c r="G202" s="2434">
        <v>11000000</v>
      </c>
      <c r="H202" s="2434" t="s">
        <v>1236</v>
      </c>
      <c r="I202" s="24" t="s">
        <v>1723</v>
      </c>
      <c r="J202" s="2434">
        <f t="shared" si="24"/>
        <v>11000000</v>
      </c>
      <c r="K202" s="2434">
        <f t="shared" si="25"/>
        <v>0</v>
      </c>
      <c r="L202" s="2466"/>
    </row>
    <row r="203" spans="1:12" ht="30" customHeight="1" x14ac:dyDescent="0.2">
      <c r="A203" s="3450">
        <v>126</v>
      </c>
      <c r="B203" s="3457" t="s">
        <v>255</v>
      </c>
      <c r="C203" s="3570" t="s">
        <v>411</v>
      </c>
      <c r="D203" s="2434">
        <v>180000000</v>
      </c>
      <c r="E203" s="2437">
        <v>4.4999999999999998E-2</v>
      </c>
      <c r="F203" s="2434">
        <f t="shared" si="21"/>
        <v>8100000</v>
      </c>
      <c r="G203" s="2434">
        <v>8100000</v>
      </c>
      <c r="H203" s="3442" t="s">
        <v>4536</v>
      </c>
      <c r="I203" s="3452" t="s">
        <v>4595</v>
      </c>
      <c r="J203" s="2434">
        <f t="shared" si="24"/>
        <v>8100000</v>
      </c>
      <c r="K203" s="2434">
        <f t="shared" si="25"/>
        <v>0</v>
      </c>
      <c r="L203" s="2863" t="s">
        <v>4596</v>
      </c>
    </row>
    <row r="204" spans="1:12" ht="30" customHeight="1" x14ac:dyDescent="0.2">
      <c r="A204" s="3456"/>
      <c r="B204" s="3459"/>
      <c r="C204" s="3576"/>
      <c r="D204" s="3521" t="s">
        <v>2108</v>
      </c>
      <c r="E204" s="3613"/>
      <c r="F204" s="3522"/>
      <c r="G204" s="2849">
        <v>24900000</v>
      </c>
      <c r="H204" s="3443"/>
      <c r="I204" s="3453"/>
      <c r="J204" s="3442">
        <f>G204+G205+G206</f>
        <v>180000000</v>
      </c>
      <c r="K204" s="3442">
        <f>180000000-J204</f>
        <v>0</v>
      </c>
      <c r="L204" s="2847"/>
    </row>
    <row r="205" spans="1:12" ht="30" customHeight="1" x14ac:dyDescent="0.2">
      <c r="A205" s="3456"/>
      <c r="B205" s="3459"/>
      <c r="C205" s="3576"/>
      <c r="D205" s="3691"/>
      <c r="E205" s="3355"/>
      <c r="F205" s="3692"/>
      <c r="G205" s="2849">
        <v>100000000</v>
      </c>
      <c r="H205" s="2849" t="s">
        <v>4554</v>
      </c>
      <c r="I205" s="24" t="s">
        <v>4595</v>
      </c>
      <c r="J205" s="3461"/>
      <c r="K205" s="3461"/>
      <c r="L205" s="2847"/>
    </row>
    <row r="206" spans="1:12" ht="30" customHeight="1" x14ac:dyDescent="0.2">
      <c r="A206" s="3451"/>
      <c r="B206" s="3458"/>
      <c r="C206" s="3571"/>
      <c r="D206" s="3523"/>
      <c r="E206" s="3614"/>
      <c r="F206" s="3524"/>
      <c r="G206" s="2849">
        <v>55100000</v>
      </c>
      <c r="H206" s="2849" t="s">
        <v>4579</v>
      </c>
      <c r="I206" s="24" t="s">
        <v>4595</v>
      </c>
      <c r="J206" s="3443"/>
      <c r="K206" s="3443"/>
      <c r="L206" s="2847"/>
    </row>
    <row r="207" spans="1:12" ht="30" customHeight="1" x14ac:dyDescent="0.2">
      <c r="A207" s="2423">
        <v>127</v>
      </c>
      <c r="B207" s="2468" t="s">
        <v>256</v>
      </c>
      <c r="C207" s="2467" t="s">
        <v>916</v>
      </c>
      <c r="D207" s="2422">
        <v>800000000</v>
      </c>
      <c r="E207" s="2463">
        <v>0.05</v>
      </c>
      <c r="F207" s="2422">
        <f t="shared" si="21"/>
        <v>40000000</v>
      </c>
      <c r="G207" s="2422">
        <v>40000000</v>
      </c>
      <c r="H207" s="2422" t="s">
        <v>4068</v>
      </c>
      <c r="I207" s="2470" t="s">
        <v>2674</v>
      </c>
      <c r="J207" s="2422">
        <f t="shared" si="24"/>
        <v>40000000</v>
      </c>
      <c r="K207" s="2422">
        <f t="shared" si="25"/>
        <v>0</v>
      </c>
      <c r="L207" s="2447"/>
    </row>
    <row r="208" spans="1:12" ht="30" customHeight="1" x14ac:dyDescent="0.2">
      <c r="A208" s="2465">
        <v>128</v>
      </c>
      <c r="B208" s="2466" t="s">
        <v>257</v>
      </c>
      <c r="C208" s="2445"/>
      <c r="D208" s="2440"/>
      <c r="E208" s="2443"/>
      <c r="F208" s="2440">
        <f t="shared" si="21"/>
        <v>0</v>
      </c>
      <c r="G208" s="2434"/>
      <c r="H208" s="2434"/>
      <c r="I208" s="24"/>
      <c r="J208" s="2434">
        <f t="shared" si="24"/>
        <v>0</v>
      </c>
      <c r="K208" s="2440">
        <f t="shared" si="25"/>
        <v>0</v>
      </c>
      <c r="L208" s="2466"/>
    </row>
    <row r="209" spans="1:12" ht="30" customHeight="1" x14ac:dyDescent="0.2">
      <c r="A209" s="2465">
        <v>129</v>
      </c>
      <c r="B209" s="22" t="s">
        <v>258</v>
      </c>
      <c r="C209" s="2467" t="s">
        <v>1138</v>
      </c>
      <c r="D209" s="2422">
        <v>200000000</v>
      </c>
      <c r="E209" s="2463">
        <v>0.06</v>
      </c>
      <c r="F209" s="2422">
        <f>D209*E209</f>
        <v>12000000</v>
      </c>
      <c r="G209" s="2434"/>
      <c r="H209" s="2434"/>
      <c r="I209" s="24" t="s">
        <v>3387</v>
      </c>
      <c r="J209" s="2434">
        <f t="shared" si="24"/>
        <v>0</v>
      </c>
      <c r="K209" s="2434">
        <f t="shared" si="25"/>
        <v>12000000</v>
      </c>
      <c r="L209" s="2497"/>
    </row>
    <row r="210" spans="1:12" ht="30" customHeight="1" x14ac:dyDescent="0.2">
      <c r="A210" s="3699"/>
      <c r="B210" s="3457" t="s">
        <v>1213</v>
      </c>
      <c r="C210" s="3570" t="s">
        <v>1354</v>
      </c>
      <c r="D210" s="3442">
        <v>150000000</v>
      </c>
      <c r="E210" s="3444">
        <v>0.05</v>
      </c>
      <c r="F210" s="3442">
        <f>D210*E210</f>
        <v>7500000</v>
      </c>
      <c r="G210" s="2422">
        <v>7500000</v>
      </c>
      <c r="H210" s="2422" t="s">
        <v>1047</v>
      </c>
      <c r="I210" s="2422" t="s">
        <v>3121</v>
      </c>
      <c r="J210" s="2422">
        <f t="shared" si="24"/>
        <v>7500000</v>
      </c>
      <c r="K210" s="2422">
        <f t="shared" si="25"/>
        <v>0</v>
      </c>
      <c r="L210" s="2497" t="s">
        <v>4678</v>
      </c>
    </row>
    <row r="211" spans="1:12" ht="30" customHeight="1" x14ac:dyDescent="0.2">
      <c r="A211" s="3700"/>
      <c r="B211" s="3458"/>
      <c r="C211" s="3571"/>
      <c r="D211" s="3443"/>
      <c r="E211" s="3445"/>
      <c r="F211" s="3443"/>
      <c r="G211" s="2792">
        <v>1000000</v>
      </c>
      <c r="H211" s="2792" t="s">
        <v>4512</v>
      </c>
      <c r="I211" s="2804" t="s">
        <v>4523</v>
      </c>
      <c r="J211" s="2792"/>
      <c r="K211" s="2792"/>
      <c r="L211" s="2818" t="s">
        <v>4405</v>
      </c>
    </row>
    <row r="212" spans="1:12" ht="30" customHeight="1" x14ac:dyDescent="0.2">
      <c r="A212" s="3450">
        <v>131</v>
      </c>
      <c r="B212" s="3513" t="s">
        <v>259</v>
      </c>
      <c r="C212" s="3622"/>
      <c r="D212" s="2795">
        <v>200000000</v>
      </c>
      <c r="E212" s="2798">
        <v>0.05</v>
      </c>
      <c r="F212" s="2795">
        <f t="shared" si="21"/>
        <v>10000000</v>
      </c>
      <c r="G212" s="3505">
        <v>20000000</v>
      </c>
      <c r="H212" s="3505" t="s">
        <v>1236</v>
      </c>
      <c r="I212" s="3505" t="s">
        <v>3572</v>
      </c>
      <c r="J212" s="3505">
        <f t="shared" si="24"/>
        <v>20000000</v>
      </c>
      <c r="K212" s="3505">
        <f t="shared" si="25"/>
        <v>-10000000</v>
      </c>
      <c r="L212" s="1077"/>
    </row>
    <row r="213" spans="1:12" ht="30" customHeight="1" x14ac:dyDescent="0.2">
      <c r="A213" s="3451"/>
      <c r="B213" s="3514"/>
      <c r="C213" s="3624"/>
      <c r="D213" s="2796">
        <v>400000000</v>
      </c>
      <c r="E213" s="2797"/>
      <c r="F213" s="2796"/>
      <c r="G213" s="3506"/>
      <c r="H213" s="3506"/>
      <c r="I213" s="3506"/>
      <c r="J213" s="3506"/>
      <c r="K213" s="3506"/>
      <c r="L213" s="2837" t="s">
        <v>4153</v>
      </c>
    </row>
    <row r="214" spans="1:12" ht="30" customHeight="1" x14ac:dyDescent="0.2">
      <c r="A214" s="3450"/>
      <c r="B214" s="3457" t="s">
        <v>1266</v>
      </c>
      <c r="C214" s="3570" t="s">
        <v>1746</v>
      </c>
      <c r="D214" s="3442">
        <v>490000000</v>
      </c>
      <c r="E214" s="3444">
        <v>0.06</v>
      </c>
      <c r="F214" s="3442">
        <f>D214*E214</f>
        <v>29400000</v>
      </c>
      <c r="G214" s="247">
        <v>10000000</v>
      </c>
      <c r="H214" s="2434" t="s">
        <v>1236</v>
      </c>
      <c r="I214" s="2451" t="s">
        <v>1268</v>
      </c>
      <c r="J214" s="3442">
        <f>10000000+G214+G215</f>
        <v>29400000</v>
      </c>
      <c r="K214" s="3442">
        <f>F214-J214</f>
        <v>0</v>
      </c>
      <c r="L214" s="2791" t="s">
        <v>4421</v>
      </c>
    </row>
    <row r="215" spans="1:12" ht="30" customHeight="1" x14ac:dyDescent="0.2">
      <c r="A215" s="3451"/>
      <c r="B215" s="3458"/>
      <c r="C215" s="3571"/>
      <c r="D215" s="3443"/>
      <c r="E215" s="3445"/>
      <c r="F215" s="3443"/>
      <c r="G215" s="2786">
        <v>9400000</v>
      </c>
      <c r="H215" s="2792" t="s">
        <v>4554</v>
      </c>
      <c r="I215" s="2804" t="s">
        <v>1268</v>
      </c>
      <c r="J215" s="3443"/>
      <c r="K215" s="3443"/>
      <c r="L215" s="2431"/>
    </row>
    <row r="216" spans="1:12" ht="30" customHeight="1" x14ac:dyDescent="0.2">
      <c r="A216" s="2465">
        <v>133</v>
      </c>
      <c r="B216" s="2428" t="s">
        <v>178</v>
      </c>
      <c r="C216" s="2445" t="s">
        <v>1817</v>
      </c>
      <c r="D216" s="2434">
        <v>100000000</v>
      </c>
      <c r="E216" s="2437">
        <v>0.05</v>
      </c>
      <c r="F216" s="2434">
        <f t="shared" ref="F216:F300" si="26">D216*E216</f>
        <v>5000000</v>
      </c>
      <c r="G216" s="2434">
        <v>5000000</v>
      </c>
      <c r="H216" s="2434" t="s">
        <v>4554</v>
      </c>
      <c r="I216" s="24" t="s">
        <v>4564</v>
      </c>
      <c r="J216" s="2434">
        <f>G216</f>
        <v>5000000</v>
      </c>
      <c r="K216" s="2434">
        <f>F216-J216</f>
        <v>0</v>
      </c>
      <c r="L216" s="2431" t="s">
        <v>3247</v>
      </c>
    </row>
    <row r="217" spans="1:12" ht="30" customHeight="1" x14ac:dyDescent="0.2">
      <c r="A217" s="2423">
        <v>134</v>
      </c>
      <c r="B217" s="2468" t="s">
        <v>169</v>
      </c>
      <c r="C217" s="2467" t="s">
        <v>1746</v>
      </c>
      <c r="D217" s="2422">
        <v>110000000</v>
      </c>
      <c r="E217" s="2463">
        <v>0.04</v>
      </c>
      <c r="F217" s="2422">
        <f t="shared" si="26"/>
        <v>4400000</v>
      </c>
      <c r="G217" s="2434">
        <v>4400000</v>
      </c>
      <c r="H217" s="2434" t="s">
        <v>4554</v>
      </c>
      <c r="I217" s="24" t="s">
        <v>4241</v>
      </c>
      <c r="J217" s="2433">
        <f>G217</f>
        <v>4400000</v>
      </c>
      <c r="K217" s="2433">
        <f>F217-J217</f>
        <v>0</v>
      </c>
      <c r="L217" s="2447"/>
    </row>
    <row r="218" spans="1:12" ht="30" customHeight="1" x14ac:dyDescent="0.2">
      <c r="A218" s="3450">
        <v>135</v>
      </c>
      <c r="B218" s="3457" t="s">
        <v>4514</v>
      </c>
      <c r="C218" s="2467" t="s">
        <v>401</v>
      </c>
      <c r="D218" s="2434">
        <v>100000000</v>
      </c>
      <c r="E218" s="2463">
        <v>0.05</v>
      </c>
      <c r="F218" s="2434">
        <f t="shared" si="26"/>
        <v>5000000</v>
      </c>
      <c r="G218" s="2434">
        <v>5000000</v>
      </c>
      <c r="H218" s="2434" t="s">
        <v>4512</v>
      </c>
      <c r="I218" s="30" t="s">
        <v>1642</v>
      </c>
      <c r="J218" s="3442">
        <f>G218+G219</f>
        <v>11000000</v>
      </c>
      <c r="K218" s="3442">
        <f>(F218+F219)-J218</f>
        <v>0</v>
      </c>
      <c r="L218" s="3525"/>
    </row>
    <row r="219" spans="1:12" ht="30" customHeight="1" x14ac:dyDescent="0.2">
      <c r="A219" s="3451"/>
      <c r="B219" s="3458"/>
      <c r="C219" s="2467" t="s">
        <v>1354</v>
      </c>
      <c r="D219" s="2434">
        <v>124000000</v>
      </c>
      <c r="E219" s="2463">
        <v>4.9000000000000002E-2</v>
      </c>
      <c r="F219" s="2434">
        <v>6000000</v>
      </c>
      <c r="G219" s="2434">
        <v>6000000</v>
      </c>
      <c r="H219" s="2434" t="s">
        <v>1047</v>
      </c>
      <c r="I219" s="57" t="s">
        <v>1642</v>
      </c>
      <c r="J219" s="3443"/>
      <c r="K219" s="3443"/>
      <c r="L219" s="3526"/>
    </row>
    <row r="220" spans="1:12" ht="30" customHeight="1" x14ac:dyDescent="0.2">
      <c r="A220" s="3450">
        <v>136</v>
      </c>
      <c r="B220" s="3457" t="s">
        <v>4142</v>
      </c>
      <c r="C220" s="3686"/>
      <c r="D220" s="3505"/>
      <c r="E220" s="3507"/>
      <c r="F220" s="3505">
        <f t="shared" si="26"/>
        <v>0</v>
      </c>
      <c r="G220" s="2434">
        <v>13000000</v>
      </c>
      <c r="H220" s="2434" t="s">
        <v>3138</v>
      </c>
      <c r="I220" s="28" t="s">
        <v>4108</v>
      </c>
      <c r="J220" s="2434">
        <f>G220</f>
        <v>13000000</v>
      </c>
      <c r="K220" s="2440">
        <f>F220-J220</f>
        <v>-13000000</v>
      </c>
      <c r="L220" s="2431"/>
    </row>
    <row r="221" spans="1:12" ht="30" customHeight="1" x14ac:dyDescent="0.2">
      <c r="A221" s="3456"/>
      <c r="B221" s="3459"/>
      <c r="C221" s="3686"/>
      <c r="D221" s="3549"/>
      <c r="E221" s="3550"/>
      <c r="F221" s="3549"/>
      <c r="G221" s="2422"/>
      <c r="H221" s="2422"/>
      <c r="I221" s="248" t="s">
        <v>4108</v>
      </c>
      <c r="J221" s="2422">
        <f>G221</f>
        <v>0</v>
      </c>
      <c r="K221" s="2450"/>
      <c r="L221" s="2497"/>
    </row>
    <row r="222" spans="1:12" ht="30" customHeight="1" x14ac:dyDescent="0.2">
      <c r="A222" s="3451"/>
      <c r="B222" s="3458"/>
      <c r="C222" s="3686"/>
      <c r="D222" s="3506"/>
      <c r="E222" s="3508"/>
      <c r="F222" s="3506"/>
      <c r="G222" s="3325" t="s">
        <v>4422</v>
      </c>
      <c r="H222" s="3340"/>
      <c r="I222" s="3340"/>
      <c r="J222" s="3341"/>
      <c r="K222" s="2450"/>
      <c r="L222" s="2497" t="s">
        <v>4338</v>
      </c>
    </row>
    <row r="223" spans="1:12" ht="30" customHeight="1" x14ac:dyDescent="0.2">
      <c r="A223" s="2423"/>
      <c r="B223" s="2426" t="s">
        <v>260</v>
      </c>
      <c r="C223" s="2454" t="s">
        <v>1746</v>
      </c>
      <c r="D223" s="2434">
        <v>100000000</v>
      </c>
      <c r="E223" s="2463">
        <v>0.05</v>
      </c>
      <c r="F223" s="2434">
        <f>D223*E223</f>
        <v>5000000</v>
      </c>
      <c r="G223" s="2438">
        <v>5000000</v>
      </c>
      <c r="H223" s="2438" t="s">
        <v>1236</v>
      </c>
      <c r="I223" s="1664" t="s">
        <v>4143</v>
      </c>
      <c r="J223" s="2438">
        <f>G223</f>
        <v>5000000</v>
      </c>
      <c r="K223" s="2438">
        <f>F223-J223</f>
        <v>0</v>
      </c>
      <c r="L223" s="2482"/>
    </row>
    <row r="224" spans="1:12" ht="30" customHeight="1" x14ac:dyDescent="0.2">
      <c r="A224" s="3450"/>
      <c r="B224" s="3457" t="s">
        <v>182</v>
      </c>
      <c r="C224" s="3570" t="s">
        <v>1219</v>
      </c>
      <c r="D224" s="2422">
        <v>80000000</v>
      </c>
      <c r="E224" s="2463">
        <v>0.05</v>
      </c>
      <c r="F224" s="2422">
        <f>D224*E224</f>
        <v>4000000</v>
      </c>
      <c r="G224" s="3442">
        <v>6100000</v>
      </c>
      <c r="H224" s="3442" t="s">
        <v>4554</v>
      </c>
      <c r="I224" s="3442" t="s">
        <v>1810</v>
      </c>
      <c r="J224" s="3442">
        <f>G224</f>
        <v>6100000</v>
      </c>
      <c r="K224" s="3442">
        <f>(F224+F225)-J224</f>
        <v>0</v>
      </c>
      <c r="L224" s="3468"/>
    </row>
    <row r="225" spans="1:12" ht="30" customHeight="1" x14ac:dyDescent="0.2">
      <c r="A225" s="3451"/>
      <c r="B225" s="3458"/>
      <c r="C225" s="3571"/>
      <c r="D225" s="2433">
        <v>30000000</v>
      </c>
      <c r="E225" s="2435">
        <v>7.0000000000000007E-2</v>
      </c>
      <c r="F225" s="2433">
        <f>D225*E225</f>
        <v>2100000</v>
      </c>
      <c r="G225" s="3443"/>
      <c r="H225" s="3443"/>
      <c r="I225" s="3443"/>
      <c r="J225" s="3443"/>
      <c r="K225" s="3443"/>
      <c r="L225" s="3469"/>
    </row>
    <row r="226" spans="1:12" ht="30" customHeight="1" x14ac:dyDescent="0.2">
      <c r="A226" s="3450">
        <v>138</v>
      </c>
      <c r="B226" s="3457" t="s">
        <v>262</v>
      </c>
      <c r="C226" s="3570" t="s">
        <v>1215</v>
      </c>
      <c r="D226" s="3442">
        <v>1200000000</v>
      </c>
      <c r="E226" s="3444">
        <v>6.5000000000000002E-2</v>
      </c>
      <c r="F226" s="3442">
        <f t="shared" si="26"/>
        <v>78000000</v>
      </c>
      <c r="G226" s="2434"/>
      <c r="H226" s="2422"/>
      <c r="I226" s="2470" t="s">
        <v>542</v>
      </c>
      <c r="J226" s="3442">
        <f>G226+G227</f>
        <v>0</v>
      </c>
      <c r="K226" s="3442">
        <f>F226-J226</f>
        <v>78000000</v>
      </c>
      <c r="L226" s="3525"/>
    </row>
    <row r="227" spans="1:12" ht="30" customHeight="1" x14ac:dyDescent="0.2">
      <c r="A227" s="3456"/>
      <c r="B227" s="3459"/>
      <c r="C227" s="3576"/>
      <c r="D227" s="3443"/>
      <c r="E227" s="3445"/>
      <c r="F227" s="3443"/>
      <c r="G227" s="2422"/>
      <c r="H227" s="2422"/>
      <c r="I227" s="2470" t="s">
        <v>542</v>
      </c>
      <c r="J227" s="3443"/>
      <c r="K227" s="3443"/>
      <c r="L227" s="3643"/>
    </row>
    <row r="228" spans="1:12" ht="30" customHeight="1" x14ac:dyDescent="0.2">
      <c r="A228" s="3456"/>
      <c r="B228" s="3459"/>
      <c r="C228" s="3576"/>
      <c r="D228" s="2434">
        <v>150000000</v>
      </c>
      <c r="E228" s="2437">
        <v>6.5000000000000002E-2</v>
      </c>
      <c r="F228" s="2434">
        <f>D228*E228</f>
        <v>9750000</v>
      </c>
      <c r="G228" s="3909" t="s">
        <v>4373</v>
      </c>
      <c r="H228" s="3910"/>
      <c r="I228" s="3910"/>
      <c r="J228" s="3911"/>
      <c r="K228" s="2434"/>
      <c r="L228" s="3606" t="s">
        <v>4375</v>
      </c>
    </row>
    <row r="229" spans="1:12" ht="30" customHeight="1" x14ac:dyDescent="0.2">
      <c r="A229" s="3451"/>
      <c r="B229" s="3458"/>
      <c r="C229" s="3571"/>
      <c r="D229" s="2434">
        <v>79600000</v>
      </c>
      <c r="E229" s="2437">
        <v>6.5000000000000002E-2</v>
      </c>
      <c r="F229" s="2434">
        <f>D229*E229</f>
        <v>5174000</v>
      </c>
      <c r="G229" s="3478" t="s">
        <v>4374</v>
      </c>
      <c r="H229" s="3479"/>
      <c r="I229" s="3479"/>
      <c r="J229" s="3480"/>
      <c r="K229" s="2434"/>
      <c r="L229" s="3469"/>
    </row>
    <row r="230" spans="1:12" ht="30" customHeight="1" x14ac:dyDescent="0.2">
      <c r="A230" s="2465">
        <v>139</v>
      </c>
      <c r="B230" s="22" t="s">
        <v>163</v>
      </c>
      <c r="C230" s="2445" t="s">
        <v>1817</v>
      </c>
      <c r="D230" s="2422">
        <v>110000000</v>
      </c>
      <c r="E230" s="2463">
        <v>0.05</v>
      </c>
      <c r="F230" s="2422">
        <f t="shared" si="26"/>
        <v>5500000</v>
      </c>
      <c r="G230" s="2434">
        <v>5500000</v>
      </c>
      <c r="H230" s="2434" t="s">
        <v>4554</v>
      </c>
      <c r="I230" s="30" t="s">
        <v>1833</v>
      </c>
      <c r="J230" s="2422">
        <f>G230</f>
        <v>5500000</v>
      </c>
      <c r="K230" s="2422">
        <f>F230-J230</f>
        <v>0</v>
      </c>
      <c r="L230" s="22"/>
    </row>
    <row r="231" spans="1:12" ht="30" customHeight="1" x14ac:dyDescent="0.2">
      <c r="A231" s="2465"/>
      <c r="B231" s="22" t="s">
        <v>2400</v>
      </c>
      <c r="C231" s="2445" t="s">
        <v>265</v>
      </c>
      <c r="D231" s="2422">
        <v>50000000</v>
      </c>
      <c r="E231" s="2463">
        <v>0.05</v>
      </c>
      <c r="F231" s="2422">
        <f>D231*E231</f>
        <v>2500000</v>
      </c>
      <c r="G231" s="2434">
        <v>2500000</v>
      </c>
      <c r="H231" s="2434" t="s">
        <v>4604</v>
      </c>
      <c r="I231" s="30" t="s">
        <v>466</v>
      </c>
      <c r="J231" s="2422">
        <f>G231</f>
        <v>2500000</v>
      </c>
      <c r="K231" s="2422">
        <f>F231-J231</f>
        <v>0</v>
      </c>
      <c r="L231" s="22"/>
    </row>
    <row r="232" spans="1:12" ht="30" customHeight="1" x14ac:dyDescent="0.2">
      <c r="A232" s="2465">
        <v>140</v>
      </c>
      <c r="B232" s="2466" t="s">
        <v>546</v>
      </c>
      <c r="C232" s="2445" t="s">
        <v>380</v>
      </c>
      <c r="D232" s="2434">
        <v>150000000</v>
      </c>
      <c r="E232" s="2463">
        <v>0.04</v>
      </c>
      <c r="F232" s="2434">
        <f t="shared" si="26"/>
        <v>6000000</v>
      </c>
      <c r="G232" s="2434">
        <v>6000000</v>
      </c>
      <c r="H232" s="2434" t="s">
        <v>4554</v>
      </c>
      <c r="I232" s="21" t="s">
        <v>2816</v>
      </c>
      <c r="J232" s="2434">
        <f>G232</f>
        <v>6000000</v>
      </c>
      <c r="K232" s="2434">
        <f>F232-J232</f>
        <v>0</v>
      </c>
      <c r="L232" s="2466"/>
    </row>
    <row r="233" spans="1:12" ht="30" customHeight="1" x14ac:dyDescent="0.2">
      <c r="A233" s="3450">
        <v>141</v>
      </c>
      <c r="B233" s="3457" t="s">
        <v>8</v>
      </c>
      <c r="C233" s="3570"/>
      <c r="D233" s="3442">
        <v>30000000</v>
      </c>
      <c r="E233" s="3444">
        <v>0.05</v>
      </c>
      <c r="F233" s="3442">
        <f t="shared" si="26"/>
        <v>1500000</v>
      </c>
      <c r="G233" s="2434"/>
      <c r="H233" s="2434"/>
      <c r="I233" s="24" t="s">
        <v>548</v>
      </c>
      <c r="J233" s="2434">
        <f>G233</f>
        <v>0</v>
      </c>
      <c r="K233" s="2434">
        <f>F233-J233</f>
        <v>1500000</v>
      </c>
      <c r="L233" s="2431"/>
    </row>
    <row r="234" spans="1:12" ht="30" customHeight="1" x14ac:dyDescent="0.2">
      <c r="A234" s="3451"/>
      <c r="B234" s="3458"/>
      <c r="C234" s="3571"/>
      <c r="D234" s="3443"/>
      <c r="E234" s="3445"/>
      <c r="F234" s="3443"/>
      <c r="G234" s="2440"/>
      <c r="H234" s="2440"/>
      <c r="I234" s="61" t="s">
        <v>548</v>
      </c>
      <c r="J234" s="2441">
        <f>G234</f>
        <v>0</v>
      </c>
      <c r="K234" s="2438">
        <f>F233-J234</f>
        <v>1500000</v>
      </c>
      <c r="L234" s="2431" t="s">
        <v>4229</v>
      </c>
    </row>
    <row r="235" spans="1:12" ht="30" customHeight="1" x14ac:dyDescent="0.2">
      <c r="A235" s="3450">
        <v>142</v>
      </c>
      <c r="B235" s="3525" t="s">
        <v>9</v>
      </c>
      <c r="C235" s="3570"/>
      <c r="D235" s="3442">
        <v>2000000000</v>
      </c>
      <c r="E235" s="3444">
        <v>0.08</v>
      </c>
      <c r="F235" s="3442">
        <f>D235*E235</f>
        <v>160000000</v>
      </c>
      <c r="G235" s="1913">
        <v>10000000</v>
      </c>
      <c r="H235" s="1913" t="s">
        <v>4480</v>
      </c>
      <c r="I235" s="1913" t="s">
        <v>4509</v>
      </c>
      <c r="J235" s="3575"/>
      <c r="K235" s="3575"/>
      <c r="L235" s="3468" t="s">
        <v>4881</v>
      </c>
    </row>
    <row r="236" spans="1:12" ht="30" customHeight="1" x14ac:dyDescent="0.2">
      <c r="A236" s="3456"/>
      <c r="B236" s="3643"/>
      <c r="C236" s="3576"/>
      <c r="D236" s="3461"/>
      <c r="E236" s="3474"/>
      <c r="F236" s="3461"/>
      <c r="G236" s="3049">
        <v>50000000</v>
      </c>
      <c r="H236" s="3049" t="s">
        <v>4546</v>
      </c>
      <c r="I236" s="1913" t="s">
        <v>2057</v>
      </c>
      <c r="J236" s="3575"/>
      <c r="K236" s="3575"/>
      <c r="L236" s="3606"/>
    </row>
    <row r="237" spans="1:12" ht="30" customHeight="1" x14ac:dyDescent="0.2">
      <c r="A237" s="3456"/>
      <c r="B237" s="3643"/>
      <c r="C237" s="3576"/>
      <c r="D237" s="3461"/>
      <c r="E237" s="3474"/>
      <c r="F237" s="3461"/>
      <c r="G237" s="2434">
        <v>50000000</v>
      </c>
      <c r="H237" s="2434" t="s">
        <v>2251</v>
      </c>
      <c r="I237" s="2470" t="s">
        <v>2057</v>
      </c>
      <c r="J237" s="3575"/>
      <c r="K237" s="3575"/>
      <c r="L237" s="3606"/>
    </row>
    <row r="238" spans="1:12" ht="30" customHeight="1" x14ac:dyDescent="0.2">
      <c r="A238" s="3456"/>
      <c r="B238" s="3643"/>
      <c r="C238" s="3576"/>
      <c r="D238" s="3461"/>
      <c r="E238" s="3474"/>
      <c r="F238" s="3461"/>
      <c r="G238" s="2434">
        <v>26930000</v>
      </c>
      <c r="H238" s="2434" t="s">
        <v>4755</v>
      </c>
      <c r="I238" s="2470" t="s">
        <v>2057</v>
      </c>
      <c r="J238" s="3575"/>
      <c r="K238" s="3575"/>
      <c r="L238" s="3606"/>
    </row>
    <row r="239" spans="1:12" ht="30" customHeight="1" x14ac:dyDescent="0.2">
      <c r="A239" s="3456"/>
      <c r="B239" s="3643"/>
      <c r="C239" s="3576"/>
      <c r="D239" s="3461"/>
      <c r="E239" s="3474"/>
      <c r="F239" s="3461"/>
      <c r="G239" s="2434">
        <v>50000000</v>
      </c>
      <c r="H239" s="2434" t="s">
        <v>4779</v>
      </c>
      <c r="I239" s="2422" t="s">
        <v>2057</v>
      </c>
      <c r="J239" s="3575"/>
      <c r="K239" s="3575"/>
      <c r="L239" s="3606"/>
    </row>
    <row r="240" spans="1:12" ht="30" customHeight="1" x14ac:dyDescent="0.2">
      <c r="A240" s="3456"/>
      <c r="B240" s="3643"/>
      <c r="C240" s="3576"/>
      <c r="D240" s="3461"/>
      <c r="E240" s="3474"/>
      <c r="F240" s="3461"/>
      <c r="G240" s="3812" t="s">
        <v>4882</v>
      </c>
      <c r="H240" s="3813"/>
      <c r="I240" s="3813"/>
      <c r="J240" s="3813"/>
      <c r="K240" s="3814"/>
      <c r="L240" s="3606"/>
    </row>
    <row r="241" spans="1:16" ht="30" customHeight="1" x14ac:dyDescent="0.2">
      <c r="A241" s="2465">
        <v>143</v>
      </c>
      <c r="B241" s="3214" t="s">
        <v>4288</v>
      </c>
      <c r="C241" s="3215"/>
      <c r="D241" s="3200">
        <v>50000000</v>
      </c>
      <c r="E241" s="3212">
        <v>0.04</v>
      </c>
      <c r="F241" s="3200">
        <f t="shared" si="26"/>
        <v>2000000</v>
      </c>
      <c r="G241" s="3200">
        <v>2000000</v>
      </c>
      <c r="H241" s="3200" t="s">
        <v>4604</v>
      </c>
      <c r="I241" s="30" t="s">
        <v>4401</v>
      </c>
      <c r="J241" s="3200">
        <f>G241</f>
        <v>2000000</v>
      </c>
      <c r="K241" s="3200">
        <f t="shared" ref="K241:K247" si="27">F241-J241</f>
        <v>0</v>
      </c>
      <c r="L241" s="2497" t="s">
        <v>4612</v>
      </c>
    </row>
    <row r="242" spans="1:16" ht="30" customHeight="1" x14ac:dyDescent="0.2">
      <c r="A242" s="2465">
        <v>144</v>
      </c>
      <c r="B242" s="2466" t="s">
        <v>527</v>
      </c>
      <c r="C242" s="2445"/>
      <c r="D242" s="2434">
        <v>5000000</v>
      </c>
      <c r="E242" s="2463">
        <v>0.05</v>
      </c>
      <c r="F242" s="2434">
        <f t="shared" si="26"/>
        <v>250000</v>
      </c>
      <c r="G242" s="2434">
        <v>250000</v>
      </c>
      <c r="H242" s="2434" t="s">
        <v>4617</v>
      </c>
      <c r="I242" s="24" t="s">
        <v>529</v>
      </c>
      <c r="J242" s="2434">
        <f>G242</f>
        <v>250000</v>
      </c>
      <c r="K242" s="2434">
        <f t="shared" si="27"/>
        <v>0</v>
      </c>
      <c r="L242" s="2466"/>
    </row>
    <row r="243" spans="1:16" ht="30" customHeight="1" x14ac:dyDescent="0.2">
      <c r="A243" s="2465">
        <v>145</v>
      </c>
      <c r="B243" s="2466" t="s">
        <v>11</v>
      </c>
      <c r="C243" s="2445" t="s">
        <v>1215</v>
      </c>
      <c r="D243" s="2434">
        <v>100000000</v>
      </c>
      <c r="E243" s="2463">
        <v>0.05</v>
      </c>
      <c r="F243" s="2434">
        <f t="shared" si="26"/>
        <v>5000000</v>
      </c>
      <c r="G243" s="2434">
        <v>5000000</v>
      </c>
      <c r="H243" s="2434" t="s">
        <v>4554</v>
      </c>
      <c r="I243" s="21" t="s">
        <v>3661</v>
      </c>
      <c r="J243" s="2434">
        <f>G243</f>
        <v>5000000</v>
      </c>
      <c r="K243" s="2434">
        <f t="shared" si="27"/>
        <v>0</v>
      </c>
      <c r="L243" s="2466"/>
    </row>
    <row r="244" spans="1:16" ht="30" customHeight="1" x14ac:dyDescent="0.2">
      <c r="A244" s="2465">
        <v>146</v>
      </c>
      <c r="B244" s="2466" t="s">
        <v>12</v>
      </c>
      <c r="C244" s="2445"/>
      <c r="D244" s="2434">
        <v>50000000</v>
      </c>
      <c r="E244" s="2463">
        <v>4.4999999999999998E-2</v>
      </c>
      <c r="F244" s="2434">
        <f t="shared" si="26"/>
        <v>2250000</v>
      </c>
      <c r="G244" s="2434"/>
      <c r="H244" s="2434"/>
      <c r="I244" s="24"/>
      <c r="J244" s="2434"/>
      <c r="K244" s="2434">
        <f t="shared" si="27"/>
        <v>2250000</v>
      </c>
      <c r="L244" s="2466"/>
    </row>
    <row r="245" spans="1:16" ht="30" customHeight="1" x14ac:dyDescent="0.2">
      <c r="A245" s="3450">
        <v>147</v>
      </c>
      <c r="B245" s="3457" t="s">
        <v>13</v>
      </c>
      <c r="C245" s="3570" t="s">
        <v>1350</v>
      </c>
      <c r="D245" s="2434">
        <v>60000000</v>
      </c>
      <c r="E245" s="2463">
        <v>0.05</v>
      </c>
      <c r="F245" s="2434">
        <f t="shared" si="26"/>
        <v>3000000</v>
      </c>
      <c r="G245" s="2422">
        <v>3000000</v>
      </c>
      <c r="H245" s="2422" t="s">
        <v>4480</v>
      </c>
      <c r="I245" s="30" t="s">
        <v>4504</v>
      </c>
      <c r="J245" s="2422">
        <f>G245</f>
        <v>3000000</v>
      </c>
      <c r="K245" s="2422">
        <f t="shared" si="27"/>
        <v>0</v>
      </c>
      <c r="L245" s="2496"/>
    </row>
    <row r="246" spans="1:16" ht="30" customHeight="1" x14ac:dyDescent="0.2">
      <c r="A246" s="3451"/>
      <c r="B246" s="3458"/>
      <c r="C246" s="3571"/>
      <c r="D246" s="2934">
        <v>70000000</v>
      </c>
      <c r="E246" s="2938">
        <v>0.05</v>
      </c>
      <c r="F246" s="2934">
        <f t="shared" si="26"/>
        <v>3500000</v>
      </c>
      <c r="G246" s="2933"/>
      <c r="H246" s="2933"/>
      <c r="I246" s="30"/>
      <c r="J246" s="2933"/>
      <c r="K246" s="2933"/>
      <c r="L246" s="2333" t="s">
        <v>4833</v>
      </c>
    </row>
    <row r="247" spans="1:16" ht="30" customHeight="1" x14ac:dyDescent="0.2">
      <c r="A247" s="2423">
        <v>148</v>
      </c>
      <c r="B247" s="2468" t="s">
        <v>14</v>
      </c>
      <c r="C247" s="2467" t="s">
        <v>379</v>
      </c>
      <c r="D247" s="2422">
        <v>50000000</v>
      </c>
      <c r="E247" s="2463">
        <v>0.05</v>
      </c>
      <c r="F247" s="2422">
        <f t="shared" si="26"/>
        <v>2500000</v>
      </c>
      <c r="G247" s="2422">
        <v>2500000</v>
      </c>
      <c r="H247" s="2422" t="s">
        <v>4604</v>
      </c>
      <c r="I247" s="2470" t="s">
        <v>1473</v>
      </c>
      <c r="J247" s="2422">
        <f t="shared" ref="J247:J252" si="28">G247</f>
        <v>2500000</v>
      </c>
      <c r="K247" s="2422">
        <f t="shared" si="27"/>
        <v>0</v>
      </c>
      <c r="L247" s="2333"/>
    </row>
    <row r="248" spans="1:16" ht="30" customHeight="1" x14ac:dyDescent="0.2">
      <c r="A248" s="2465">
        <v>149</v>
      </c>
      <c r="B248" s="2466" t="s">
        <v>15</v>
      </c>
      <c r="C248" s="2445" t="s">
        <v>1346</v>
      </c>
      <c r="D248" s="2434">
        <v>80000000</v>
      </c>
      <c r="E248" s="2437">
        <v>0.05</v>
      </c>
      <c r="F248" s="2434">
        <f t="shared" si="26"/>
        <v>4000000</v>
      </c>
      <c r="G248" s="2434">
        <v>4000000</v>
      </c>
      <c r="H248" s="2434" t="s">
        <v>4003</v>
      </c>
      <c r="I248" s="2504" t="s">
        <v>2714</v>
      </c>
      <c r="J248" s="2434">
        <f t="shared" si="28"/>
        <v>4000000</v>
      </c>
      <c r="K248" s="2434">
        <f t="shared" ref="K248:K253" si="29">F248-J248</f>
        <v>0</v>
      </c>
      <c r="L248" s="2333" t="s">
        <v>364</v>
      </c>
    </row>
    <row r="249" spans="1:16" ht="30" customHeight="1" x14ac:dyDescent="0.2">
      <c r="A249" s="2465">
        <v>150</v>
      </c>
      <c r="B249" s="2466" t="s">
        <v>16</v>
      </c>
      <c r="C249" s="2445" t="s">
        <v>1349</v>
      </c>
      <c r="D249" s="2434">
        <v>160000000</v>
      </c>
      <c r="E249" s="2463">
        <v>0.04</v>
      </c>
      <c r="F249" s="2434">
        <f t="shared" si="26"/>
        <v>6400000</v>
      </c>
      <c r="G249" s="2434">
        <v>6400000</v>
      </c>
      <c r="H249" s="2434" t="s">
        <v>4630</v>
      </c>
      <c r="I249" s="24" t="s">
        <v>3121</v>
      </c>
      <c r="J249" s="2434">
        <f t="shared" si="28"/>
        <v>6400000</v>
      </c>
      <c r="K249" s="2434">
        <f t="shared" si="29"/>
        <v>0</v>
      </c>
      <c r="L249" s="2431" t="s">
        <v>3122</v>
      </c>
    </row>
    <row r="250" spans="1:16" ht="30" customHeight="1" x14ac:dyDescent="0.2">
      <c r="A250" s="2465">
        <v>151</v>
      </c>
      <c r="B250" s="2466" t="s">
        <v>17</v>
      </c>
      <c r="C250" s="2445" t="s">
        <v>1138</v>
      </c>
      <c r="D250" s="2434">
        <v>180000000</v>
      </c>
      <c r="E250" s="2463">
        <v>0.05</v>
      </c>
      <c r="F250" s="2434">
        <f t="shared" si="26"/>
        <v>9000000</v>
      </c>
      <c r="G250" s="2434">
        <v>9000000</v>
      </c>
      <c r="H250" s="2434" t="s">
        <v>3138</v>
      </c>
      <c r="I250" s="24" t="s">
        <v>2275</v>
      </c>
      <c r="J250" s="2434">
        <f t="shared" si="28"/>
        <v>9000000</v>
      </c>
      <c r="K250" s="2434">
        <f t="shared" si="29"/>
        <v>0</v>
      </c>
      <c r="L250" s="2466"/>
    </row>
    <row r="251" spans="1:16" ht="30" customHeight="1" x14ac:dyDescent="0.2">
      <c r="A251" s="2465">
        <v>153</v>
      </c>
      <c r="B251" s="2466" t="s">
        <v>18</v>
      </c>
      <c r="C251" s="2445"/>
      <c r="D251" s="2434">
        <v>30000000</v>
      </c>
      <c r="E251" s="2463">
        <v>0.04</v>
      </c>
      <c r="F251" s="2434">
        <f t="shared" si="26"/>
        <v>1200000</v>
      </c>
      <c r="G251" s="2434">
        <v>1200000</v>
      </c>
      <c r="H251" s="2434" t="s">
        <v>4756</v>
      </c>
      <c r="I251" s="24" t="s">
        <v>1181</v>
      </c>
      <c r="J251" s="2434">
        <f t="shared" si="28"/>
        <v>1200000</v>
      </c>
      <c r="K251" s="2434">
        <f t="shared" si="29"/>
        <v>0</v>
      </c>
      <c r="L251" s="2466"/>
    </row>
    <row r="252" spans="1:16" ht="30" customHeight="1" x14ac:dyDescent="0.2">
      <c r="A252" s="2465">
        <v>154</v>
      </c>
      <c r="B252" s="2466" t="s">
        <v>19</v>
      </c>
      <c r="C252" s="2445" t="s">
        <v>1909</v>
      </c>
      <c r="D252" s="2434">
        <v>15000000</v>
      </c>
      <c r="E252" s="2463">
        <v>7.0000000000000007E-2</v>
      </c>
      <c r="F252" s="2434">
        <f t="shared" si="26"/>
        <v>1050000</v>
      </c>
      <c r="G252" s="2434">
        <v>1050000</v>
      </c>
      <c r="H252" s="2434" t="s">
        <v>4933</v>
      </c>
      <c r="I252" s="24" t="s">
        <v>1330</v>
      </c>
      <c r="J252" s="2434">
        <f t="shared" si="28"/>
        <v>1050000</v>
      </c>
      <c r="K252" s="2434">
        <f t="shared" si="29"/>
        <v>0</v>
      </c>
      <c r="L252" s="2466"/>
    </row>
    <row r="253" spans="1:16" ht="30" customHeight="1" x14ac:dyDescent="0.2">
      <c r="A253" s="2465">
        <v>155</v>
      </c>
      <c r="B253" s="2466" t="s">
        <v>20</v>
      </c>
      <c r="C253" s="2445"/>
      <c r="D253" s="2440"/>
      <c r="E253" s="44"/>
      <c r="F253" s="2440">
        <f t="shared" si="26"/>
        <v>0</v>
      </c>
      <c r="G253" s="2434"/>
      <c r="H253" s="2434"/>
      <c r="I253" s="24"/>
      <c r="J253" s="2434"/>
      <c r="K253" s="2440">
        <f t="shared" si="29"/>
        <v>0</v>
      </c>
      <c r="L253" s="2466"/>
    </row>
    <row r="254" spans="1:16" ht="30" customHeight="1" x14ac:dyDescent="0.2">
      <c r="A254" s="2423">
        <v>156</v>
      </c>
      <c r="B254" s="2468" t="s">
        <v>21</v>
      </c>
      <c r="C254" s="421"/>
      <c r="D254" s="2422">
        <v>50000000</v>
      </c>
      <c r="E254" s="2463">
        <v>0.04</v>
      </c>
      <c r="F254" s="2422">
        <f t="shared" si="26"/>
        <v>2000000</v>
      </c>
      <c r="G254" s="2434">
        <v>1500000</v>
      </c>
      <c r="H254" s="2434" t="s">
        <v>4630</v>
      </c>
      <c r="I254" s="21" t="s">
        <v>3802</v>
      </c>
      <c r="J254" s="2422">
        <f>G254</f>
        <v>1500000</v>
      </c>
      <c r="K254" s="2422">
        <f>F254-500000</f>
        <v>1500000</v>
      </c>
      <c r="L254" s="2431" t="s">
        <v>4659</v>
      </c>
      <c r="M254" s="406"/>
      <c r="N254" s="406"/>
      <c r="O254" s="406"/>
      <c r="P254" s="406"/>
    </row>
    <row r="255" spans="1:16" ht="30" customHeight="1" x14ac:dyDescent="0.2">
      <c r="A255" s="2465">
        <v>157</v>
      </c>
      <c r="B255" s="2466" t="s">
        <v>22</v>
      </c>
      <c r="C255" s="2445" t="s">
        <v>1349</v>
      </c>
      <c r="D255" s="2434">
        <v>20000000</v>
      </c>
      <c r="E255" s="2437">
        <v>0.05</v>
      </c>
      <c r="F255" s="2434">
        <f t="shared" si="26"/>
        <v>1000000</v>
      </c>
      <c r="G255" s="2434">
        <v>1000000</v>
      </c>
      <c r="H255" s="2434" t="s">
        <v>1047</v>
      </c>
      <c r="I255" s="24" t="s">
        <v>4679</v>
      </c>
      <c r="J255" s="2434">
        <f>G255</f>
        <v>1000000</v>
      </c>
      <c r="K255" s="2434">
        <f>F255-J255</f>
        <v>0</v>
      </c>
      <c r="L255" s="2466"/>
      <c r="M255" s="406"/>
      <c r="N255" s="406"/>
      <c r="O255" s="406"/>
      <c r="P255" s="406"/>
    </row>
    <row r="256" spans="1:16" ht="30" customHeight="1" x14ac:dyDescent="0.2">
      <c r="A256" s="3450"/>
      <c r="B256" s="3457" t="s">
        <v>848</v>
      </c>
      <c r="C256" s="3570" t="s">
        <v>1378</v>
      </c>
      <c r="D256" s="2434">
        <v>160000000</v>
      </c>
      <c r="E256" s="2463">
        <v>0.05</v>
      </c>
      <c r="F256" s="2434">
        <f>D256*E256</f>
        <v>8000000</v>
      </c>
      <c r="G256" s="3806" t="s">
        <v>4781</v>
      </c>
      <c r="H256" s="3807"/>
      <c r="I256" s="3807"/>
      <c r="J256" s="3808"/>
      <c r="K256" s="3442">
        <f>(F256+F257)-J256</f>
        <v>9200000</v>
      </c>
      <c r="L256" s="247"/>
      <c r="M256" s="247"/>
      <c r="N256" s="247"/>
      <c r="O256" s="247"/>
      <c r="P256" s="247"/>
    </row>
    <row r="257" spans="1:16" ht="30" customHeight="1" x14ac:dyDescent="0.2">
      <c r="A257" s="3456"/>
      <c r="B257" s="3459"/>
      <c r="C257" s="3571"/>
      <c r="D257" s="2434">
        <v>22000000</v>
      </c>
      <c r="E257" s="2463">
        <v>5.5E-2</v>
      </c>
      <c r="F257" s="2434">
        <v>1200000</v>
      </c>
      <c r="G257" s="3812"/>
      <c r="H257" s="3813"/>
      <c r="I257" s="3813"/>
      <c r="J257" s="3814"/>
      <c r="K257" s="3443"/>
      <c r="L257" s="2466"/>
      <c r="M257" s="406"/>
      <c r="N257" s="406"/>
      <c r="O257" s="406"/>
      <c r="P257" s="406"/>
    </row>
    <row r="258" spans="1:16" ht="30" customHeight="1" x14ac:dyDescent="0.2">
      <c r="A258" s="3456"/>
      <c r="B258" s="3459"/>
      <c r="C258" s="3570" t="s">
        <v>1378</v>
      </c>
      <c r="D258" s="3059">
        <v>160000000</v>
      </c>
      <c r="E258" s="949">
        <v>0.05</v>
      </c>
      <c r="F258" s="3059">
        <f>D258*E258</f>
        <v>8000000</v>
      </c>
      <c r="G258" s="3056"/>
      <c r="H258" s="3057"/>
      <c r="I258" s="3057"/>
      <c r="J258" s="3058"/>
      <c r="K258" s="3053"/>
      <c r="L258" s="3055"/>
      <c r="M258" s="406"/>
      <c r="N258" s="406"/>
      <c r="O258" s="406"/>
      <c r="P258" s="406"/>
    </row>
    <row r="259" spans="1:16" ht="30" customHeight="1" x14ac:dyDescent="0.2">
      <c r="A259" s="3451"/>
      <c r="B259" s="3458"/>
      <c r="C259" s="3571"/>
      <c r="D259" s="3059">
        <f>22000000+9200000+13800000</f>
        <v>45000000</v>
      </c>
      <c r="E259" s="949">
        <v>5.5E-2</v>
      </c>
      <c r="F259" s="3059">
        <f>D259*E259</f>
        <v>2475000</v>
      </c>
      <c r="G259" s="3053"/>
      <c r="H259" s="3053"/>
      <c r="I259" s="3054"/>
      <c r="J259" s="3053"/>
      <c r="K259" s="3053"/>
      <c r="L259" s="3055"/>
      <c r="M259" s="406"/>
      <c r="N259" s="406"/>
      <c r="O259" s="406"/>
      <c r="P259" s="406"/>
    </row>
    <row r="260" spans="1:16" ht="30" customHeight="1" x14ac:dyDescent="0.2">
      <c r="A260" s="2465">
        <v>159</v>
      </c>
      <c r="B260" s="2466" t="s">
        <v>23</v>
      </c>
      <c r="C260" s="2445" t="s">
        <v>1355</v>
      </c>
      <c r="D260" s="2434">
        <v>25000000</v>
      </c>
      <c r="E260" s="2463">
        <v>0.05</v>
      </c>
      <c r="F260" s="2434">
        <f t="shared" si="26"/>
        <v>1250000</v>
      </c>
      <c r="G260" s="2434">
        <v>1250000</v>
      </c>
      <c r="H260" s="2434" t="s">
        <v>4604</v>
      </c>
      <c r="I260" s="24" t="s">
        <v>2318</v>
      </c>
      <c r="J260" s="2434">
        <f t="shared" ref="J260:J265" si="30">G260</f>
        <v>1250000</v>
      </c>
      <c r="K260" s="2434">
        <f t="shared" ref="K260:K272" si="31">F260-J260</f>
        <v>0</v>
      </c>
      <c r="L260" s="2466"/>
      <c r="M260" s="406"/>
      <c r="N260" s="406"/>
      <c r="O260" s="406"/>
      <c r="P260" s="406"/>
    </row>
    <row r="261" spans="1:16" ht="30" customHeight="1" x14ac:dyDescent="0.2">
      <c r="A261" s="2465">
        <v>160</v>
      </c>
      <c r="B261" s="2466" t="s">
        <v>24</v>
      </c>
      <c r="C261" s="2445"/>
      <c r="D261" s="2434">
        <v>55000000</v>
      </c>
      <c r="E261" s="2463">
        <v>0.05</v>
      </c>
      <c r="F261" s="2434">
        <f t="shared" si="26"/>
        <v>2750000</v>
      </c>
      <c r="G261" s="2434"/>
      <c r="H261" s="2434"/>
      <c r="I261" s="24"/>
      <c r="J261" s="2434">
        <f t="shared" si="30"/>
        <v>0</v>
      </c>
      <c r="K261" s="2434">
        <f t="shared" si="31"/>
        <v>2750000</v>
      </c>
      <c r="L261" s="2466"/>
      <c r="M261" s="406"/>
      <c r="N261" s="406"/>
      <c r="O261" s="406"/>
      <c r="P261" s="406"/>
    </row>
    <row r="262" spans="1:16" ht="30" customHeight="1" x14ac:dyDescent="0.2">
      <c r="A262" s="2465">
        <v>161</v>
      </c>
      <c r="B262" s="2468" t="s">
        <v>25</v>
      </c>
      <c r="C262" s="2467" t="s">
        <v>1378</v>
      </c>
      <c r="D262" s="2434">
        <v>20000000</v>
      </c>
      <c r="E262" s="2463">
        <v>4.4999999999999998E-2</v>
      </c>
      <c r="F262" s="2434">
        <f t="shared" si="26"/>
        <v>900000</v>
      </c>
      <c r="G262" s="2434">
        <v>900000</v>
      </c>
      <c r="H262" s="2434" t="s">
        <v>4756</v>
      </c>
      <c r="I262" s="24" t="s">
        <v>4761</v>
      </c>
      <c r="J262" s="2434">
        <f t="shared" si="30"/>
        <v>900000</v>
      </c>
      <c r="K262" s="2434">
        <f t="shared" si="31"/>
        <v>0</v>
      </c>
      <c r="L262" s="2466"/>
      <c r="M262" s="406"/>
      <c r="N262" s="406"/>
      <c r="O262" s="406"/>
      <c r="P262" s="406"/>
    </row>
    <row r="263" spans="1:16" ht="30" customHeight="1" x14ac:dyDescent="0.2">
      <c r="A263" s="2465">
        <v>162</v>
      </c>
      <c r="B263" s="2466" t="s">
        <v>26</v>
      </c>
      <c r="C263" s="2445" t="s">
        <v>1378</v>
      </c>
      <c r="D263" s="2434">
        <v>180000000</v>
      </c>
      <c r="E263" s="2463">
        <v>0.05</v>
      </c>
      <c r="F263" s="2434">
        <f t="shared" si="26"/>
        <v>9000000</v>
      </c>
      <c r="G263" s="2434">
        <v>9000000</v>
      </c>
      <c r="H263" s="2434" t="s">
        <v>4697</v>
      </c>
      <c r="I263" s="24" t="s">
        <v>4734</v>
      </c>
      <c r="J263" s="2434">
        <f t="shared" si="30"/>
        <v>9000000</v>
      </c>
      <c r="K263" s="2434">
        <f t="shared" si="31"/>
        <v>0</v>
      </c>
      <c r="L263" s="2466"/>
      <c r="M263" s="406"/>
      <c r="N263" s="406"/>
      <c r="O263" s="406"/>
      <c r="P263" s="406"/>
    </row>
    <row r="264" spans="1:16" ht="30" customHeight="1" x14ac:dyDescent="0.2">
      <c r="A264" s="3450">
        <v>163</v>
      </c>
      <c r="B264" s="3457" t="s">
        <v>854</v>
      </c>
      <c r="C264" s="3570" t="s">
        <v>1378</v>
      </c>
      <c r="D264" s="2434">
        <v>200000000</v>
      </c>
      <c r="E264" s="2463">
        <v>0.06</v>
      </c>
      <c r="F264" s="2434">
        <f t="shared" si="26"/>
        <v>12000000</v>
      </c>
      <c r="G264" s="2434">
        <v>10000000</v>
      </c>
      <c r="H264" s="2434" t="s">
        <v>2251</v>
      </c>
      <c r="I264" s="24" t="s">
        <v>3870</v>
      </c>
      <c r="J264" s="2434">
        <f t="shared" si="30"/>
        <v>10000000</v>
      </c>
      <c r="K264" s="2434">
        <f t="shared" si="31"/>
        <v>2000000</v>
      </c>
      <c r="L264" s="431" t="s">
        <v>4784</v>
      </c>
      <c r="M264" s="406"/>
      <c r="N264" s="406"/>
      <c r="O264" s="406"/>
      <c r="P264" s="406"/>
    </row>
    <row r="265" spans="1:16" ht="30" customHeight="1" x14ac:dyDescent="0.2">
      <c r="A265" s="3456"/>
      <c r="B265" s="3459"/>
      <c r="C265" s="3571"/>
      <c r="D265" s="3040">
        <v>50000000</v>
      </c>
      <c r="E265" s="3041">
        <v>7.0000000000000007E-2</v>
      </c>
      <c r="F265" s="3040">
        <f t="shared" si="26"/>
        <v>3500000.0000000005</v>
      </c>
      <c r="G265" s="3040">
        <v>7000000</v>
      </c>
      <c r="H265" s="3040" t="s">
        <v>4779</v>
      </c>
      <c r="I265" s="24" t="s">
        <v>3870</v>
      </c>
      <c r="J265" s="3040">
        <f t="shared" si="30"/>
        <v>7000000</v>
      </c>
      <c r="K265" s="3040">
        <f t="shared" si="31"/>
        <v>-3499999.9999999995</v>
      </c>
      <c r="L265" s="431" t="s">
        <v>4785</v>
      </c>
      <c r="M265" s="406"/>
      <c r="N265" s="406"/>
      <c r="O265" s="406"/>
      <c r="P265" s="406"/>
    </row>
    <row r="266" spans="1:16" ht="30" customHeight="1" x14ac:dyDescent="0.2">
      <c r="A266" s="3451"/>
      <c r="B266" s="3458"/>
      <c r="C266" s="3067"/>
      <c r="D266" s="3064">
        <v>100000000</v>
      </c>
      <c r="E266" s="3069">
        <v>7.0000000000000007E-2</v>
      </c>
      <c r="F266" s="3064">
        <f t="shared" si="26"/>
        <v>7000000.0000000009</v>
      </c>
      <c r="G266" s="3064"/>
      <c r="H266" s="3064"/>
      <c r="I266" s="24"/>
      <c r="J266" s="3064"/>
      <c r="K266" s="3064"/>
      <c r="L266" s="431" t="s">
        <v>4788</v>
      </c>
      <c r="M266" s="406"/>
      <c r="N266" s="406"/>
      <c r="O266" s="406"/>
      <c r="P266" s="406"/>
    </row>
    <row r="267" spans="1:16" ht="30" customHeight="1" x14ac:dyDescent="0.2">
      <c r="A267" s="2465">
        <v>164</v>
      </c>
      <c r="B267" s="2466" t="s">
        <v>27</v>
      </c>
      <c r="C267" s="2445"/>
      <c r="D267" s="2434">
        <v>50000000</v>
      </c>
      <c r="E267" s="2463">
        <v>0.05</v>
      </c>
      <c r="F267" s="2434">
        <f t="shared" si="26"/>
        <v>2500000</v>
      </c>
      <c r="G267" s="2434">
        <v>2500000</v>
      </c>
      <c r="H267" s="2434" t="s">
        <v>4697</v>
      </c>
      <c r="I267" s="24" t="s">
        <v>762</v>
      </c>
      <c r="J267" s="2434">
        <f t="shared" ref="J267:J275" si="32">G267</f>
        <v>2500000</v>
      </c>
      <c r="K267" s="2434">
        <f t="shared" si="31"/>
        <v>0</v>
      </c>
      <c r="L267" s="2466"/>
      <c r="M267" s="406"/>
      <c r="N267" s="406"/>
      <c r="O267" s="406"/>
      <c r="P267" s="406"/>
    </row>
    <row r="268" spans="1:16" ht="30" customHeight="1" x14ac:dyDescent="0.2">
      <c r="A268" s="2465">
        <v>165</v>
      </c>
      <c r="B268" s="2466" t="s">
        <v>28</v>
      </c>
      <c r="C268" s="2445" t="s">
        <v>700</v>
      </c>
      <c r="D268" s="2434">
        <v>20000000</v>
      </c>
      <c r="E268" s="2463">
        <v>0.04</v>
      </c>
      <c r="F268" s="2434">
        <f t="shared" si="26"/>
        <v>800000</v>
      </c>
      <c r="G268" s="2434">
        <v>800000</v>
      </c>
      <c r="H268" s="2434" t="s">
        <v>4756</v>
      </c>
      <c r="I268" s="24" t="s">
        <v>3878</v>
      </c>
      <c r="J268" s="2434">
        <f t="shared" si="32"/>
        <v>800000</v>
      </c>
      <c r="K268" s="2434">
        <f t="shared" si="31"/>
        <v>0</v>
      </c>
      <c r="L268" s="2466"/>
      <c r="M268" s="406"/>
      <c r="N268" s="406"/>
      <c r="O268" s="406"/>
      <c r="P268" s="406"/>
    </row>
    <row r="269" spans="1:16" ht="30" customHeight="1" x14ac:dyDescent="0.2">
      <c r="A269" s="2465">
        <v>166</v>
      </c>
      <c r="B269" s="2466" t="s">
        <v>29</v>
      </c>
      <c r="C269" s="2445" t="s">
        <v>564</v>
      </c>
      <c r="D269" s="2434">
        <v>100000000</v>
      </c>
      <c r="E269" s="2463">
        <v>0.05</v>
      </c>
      <c r="F269" s="2434">
        <f t="shared" si="26"/>
        <v>5000000</v>
      </c>
      <c r="G269" s="2434">
        <v>5000000</v>
      </c>
      <c r="H269" s="2434" t="s">
        <v>1047</v>
      </c>
      <c r="I269" s="30" t="s">
        <v>4265</v>
      </c>
      <c r="J269" s="2434">
        <f t="shared" si="32"/>
        <v>5000000</v>
      </c>
      <c r="K269" s="2434">
        <f t="shared" si="31"/>
        <v>0</v>
      </c>
      <c r="L269" s="2466"/>
      <c r="M269" s="406"/>
      <c r="N269" s="406"/>
      <c r="O269" s="406"/>
      <c r="P269" s="406"/>
    </row>
    <row r="270" spans="1:16" ht="30" customHeight="1" x14ac:dyDescent="0.2">
      <c r="A270" s="2465">
        <v>167</v>
      </c>
      <c r="B270" s="2466" t="s">
        <v>758</v>
      </c>
      <c r="C270" s="2445" t="s">
        <v>1378</v>
      </c>
      <c r="D270" s="2434">
        <v>50000000</v>
      </c>
      <c r="E270" s="2463">
        <v>0.05</v>
      </c>
      <c r="F270" s="2434">
        <f t="shared" si="26"/>
        <v>2500000</v>
      </c>
      <c r="G270" s="2434">
        <v>2500000</v>
      </c>
      <c r="H270" s="2434" t="s">
        <v>1047</v>
      </c>
      <c r="I270" s="24" t="s">
        <v>760</v>
      </c>
      <c r="J270" s="2434">
        <f t="shared" si="32"/>
        <v>2500000</v>
      </c>
      <c r="K270" s="2434">
        <f t="shared" si="31"/>
        <v>0</v>
      </c>
      <c r="L270" s="2466"/>
      <c r="M270" s="406"/>
      <c r="N270" s="406"/>
      <c r="O270" s="406"/>
      <c r="P270" s="406"/>
    </row>
    <row r="271" spans="1:16" ht="30" customHeight="1" x14ac:dyDescent="0.2">
      <c r="A271" s="2465">
        <v>168</v>
      </c>
      <c r="B271" s="2466" t="s">
        <v>844</v>
      </c>
      <c r="C271" s="2445" t="s">
        <v>1378</v>
      </c>
      <c r="D271" s="2434">
        <v>50000000</v>
      </c>
      <c r="E271" s="2463">
        <v>7.0000000000000007E-2</v>
      </c>
      <c r="F271" s="2434">
        <f t="shared" si="26"/>
        <v>3500000.0000000005</v>
      </c>
      <c r="G271" s="2434">
        <v>3500000</v>
      </c>
      <c r="H271" s="2434" t="s">
        <v>2251</v>
      </c>
      <c r="I271" s="24" t="s">
        <v>3220</v>
      </c>
      <c r="J271" s="2434">
        <f t="shared" si="32"/>
        <v>3500000</v>
      </c>
      <c r="K271" s="2434">
        <f t="shared" si="31"/>
        <v>0</v>
      </c>
      <c r="L271" s="2466"/>
      <c r="M271" s="406"/>
      <c r="N271" s="406"/>
      <c r="O271" s="406"/>
      <c r="P271" s="406"/>
    </row>
    <row r="272" spans="1:16" ht="30" customHeight="1" x14ac:dyDescent="0.2">
      <c r="A272" s="2503"/>
      <c r="B272" s="2468" t="s">
        <v>30</v>
      </c>
      <c r="C272" s="756"/>
      <c r="D272" s="2434">
        <v>20000000</v>
      </c>
      <c r="E272" s="2463">
        <v>0.05</v>
      </c>
      <c r="F272" s="2434">
        <f>D272*E272</f>
        <v>1000000</v>
      </c>
      <c r="G272" s="2434">
        <v>1000000</v>
      </c>
      <c r="H272" s="2434" t="s">
        <v>4756</v>
      </c>
      <c r="I272" s="2434" t="s">
        <v>875</v>
      </c>
      <c r="J272" s="2434">
        <f t="shared" si="32"/>
        <v>1000000</v>
      </c>
      <c r="K272" s="2434">
        <f t="shared" si="31"/>
        <v>0</v>
      </c>
      <c r="L272" s="3478"/>
      <c r="M272" s="3479"/>
      <c r="N272" s="3479"/>
      <c r="O272" s="3479"/>
      <c r="P272" s="3480"/>
    </row>
    <row r="273" spans="1:16" ht="30" customHeight="1" x14ac:dyDescent="0.2">
      <c r="A273" s="2465">
        <v>170</v>
      </c>
      <c r="B273" s="2466" t="s">
        <v>31</v>
      </c>
      <c r="C273" s="2445" t="s">
        <v>1138</v>
      </c>
      <c r="D273" s="2434">
        <v>70000000</v>
      </c>
      <c r="E273" s="2463">
        <v>0.05</v>
      </c>
      <c r="F273" s="2434">
        <f t="shared" si="26"/>
        <v>3500000</v>
      </c>
      <c r="G273" s="2434">
        <v>3500000</v>
      </c>
      <c r="H273" s="2434" t="s">
        <v>4756</v>
      </c>
      <c r="I273" s="24" t="s">
        <v>4280</v>
      </c>
      <c r="J273" s="2434">
        <f t="shared" si="32"/>
        <v>3500000</v>
      </c>
      <c r="K273" s="2434">
        <f>F273-J273</f>
        <v>0</v>
      </c>
      <c r="L273" s="2466"/>
      <c r="M273" s="406"/>
      <c r="N273" s="406"/>
      <c r="O273" s="406"/>
      <c r="P273" s="406"/>
    </row>
    <row r="274" spans="1:16" ht="30" customHeight="1" x14ac:dyDescent="0.2">
      <c r="A274" s="2465">
        <v>171</v>
      </c>
      <c r="B274" s="2466" t="s">
        <v>32</v>
      </c>
      <c r="C274" s="2445" t="s">
        <v>1348</v>
      </c>
      <c r="D274" s="2434">
        <v>10000000</v>
      </c>
      <c r="E274" s="2463">
        <v>0.04</v>
      </c>
      <c r="F274" s="2434">
        <f>D274*E274</f>
        <v>400000</v>
      </c>
      <c r="G274" s="2434">
        <v>400000</v>
      </c>
      <c r="H274" s="2434" t="s">
        <v>4512</v>
      </c>
      <c r="I274" s="24" t="s">
        <v>686</v>
      </c>
      <c r="J274" s="2434">
        <f t="shared" si="32"/>
        <v>400000</v>
      </c>
      <c r="K274" s="2434">
        <f>F274-J274</f>
        <v>0</v>
      </c>
      <c r="L274" s="2497"/>
    </row>
    <row r="275" spans="1:16" ht="30" customHeight="1" x14ac:dyDescent="0.2">
      <c r="A275" s="2423">
        <v>172</v>
      </c>
      <c r="B275" s="2468" t="s">
        <v>33</v>
      </c>
      <c r="C275" s="3138" t="s">
        <v>1018</v>
      </c>
      <c r="D275" s="2434">
        <v>5000000</v>
      </c>
      <c r="E275" s="2463">
        <v>0.06</v>
      </c>
      <c r="F275" s="2434">
        <f t="shared" si="26"/>
        <v>300000</v>
      </c>
      <c r="G275" s="2434">
        <v>300000</v>
      </c>
      <c r="H275" s="2434" t="s">
        <v>4950</v>
      </c>
      <c r="I275" s="24" t="s">
        <v>648</v>
      </c>
      <c r="J275" s="2434">
        <f t="shared" si="32"/>
        <v>300000</v>
      </c>
      <c r="K275" s="2434">
        <f>F275-J275</f>
        <v>0</v>
      </c>
      <c r="L275" s="431" t="s">
        <v>3393</v>
      </c>
    </row>
    <row r="276" spans="1:16" ht="30" customHeight="1" x14ac:dyDescent="0.2">
      <c r="A276" s="2465">
        <v>173</v>
      </c>
      <c r="B276" s="2466" t="s">
        <v>34</v>
      </c>
      <c r="C276" s="2445"/>
      <c r="D276" s="2434">
        <v>40000000</v>
      </c>
      <c r="E276" s="2463">
        <v>0.05</v>
      </c>
      <c r="F276" s="2434">
        <f t="shared" si="26"/>
        <v>2000000</v>
      </c>
      <c r="G276" s="2434">
        <v>2000000</v>
      </c>
      <c r="H276" s="2434" t="s">
        <v>4756</v>
      </c>
      <c r="I276" s="24" t="s">
        <v>864</v>
      </c>
      <c r="J276" s="2434">
        <f>G276</f>
        <v>2000000</v>
      </c>
      <c r="K276" s="2434">
        <f>F276-J276</f>
        <v>0</v>
      </c>
      <c r="L276" s="2466"/>
    </row>
    <row r="277" spans="1:16" ht="30" customHeight="1" x14ac:dyDescent="0.2">
      <c r="A277" s="3693"/>
      <c r="B277" s="3687" t="s">
        <v>4411</v>
      </c>
      <c r="C277" s="3686" t="s">
        <v>1342</v>
      </c>
      <c r="D277" s="3575">
        <v>5730000000</v>
      </c>
      <c r="E277" s="3683">
        <v>0.08</v>
      </c>
      <c r="F277" s="3575">
        <f>D277*E277</f>
        <v>458400000</v>
      </c>
      <c r="G277" s="2434"/>
      <c r="H277" s="2434"/>
      <c r="I277" s="24"/>
      <c r="J277" s="3442"/>
      <c r="K277" s="3442"/>
      <c r="L277" s="1715" t="s">
        <v>2454</v>
      </c>
    </row>
    <row r="278" spans="1:16" ht="30" customHeight="1" x14ac:dyDescent="0.2">
      <c r="A278" s="3693"/>
      <c r="B278" s="3687"/>
      <c r="C278" s="3686"/>
      <c r="D278" s="3575"/>
      <c r="E278" s="3683"/>
      <c r="F278" s="3575"/>
      <c r="G278" s="247"/>
      <c r="H278" s="247"/>
      <c r="I278" s="247"/>
      <c r="J278" s="3461"/>
      <c r="K278" s="3461"/>
      <c r="L278" s="1715" t="s">
        <v>4891</v>
      </c>
    </row>
    <row r="279" spans="1:16" ht="30" customHeight="1" x14ac:dyDescent="0.2">
      <c r="A279" s="3693"/>
      <c r="B279" s="3687"/>
      <c r="C279" s="3686"/>
      <c r="D279" s="3575"/>
      <c r="E279" s="3683"/>
      <c r="F279" s="3575"/>
      <c r="G279" s="247"/>
      <c r="H279" s="247"/>
      <c r="I279" s="247"/>
      <c r="J279" s="3461"/>
      <c r="K279" s="3461"/>
      <c r="L279" s="431" t="s">
        <v>4892</v>
      </c>
    </row>
    <row r="280" spans="1:16" ht="30" customHeight="1" x14ac:dyDescent="0.2">
      <c r="A280" s="3693"/>
      <c r="B280" s="3687"/>
      <c r="C280" s="3686"/>
      <c r="D280" s="3575"/>
      <c r="E280" s="3683"/>
      <c r="F280" s="3575"/>
      <c r="G280" s="247"/>
      <c r="H280" s="247"/>
      <c r="I280" s="247"/>
      <c r="J280" s="3461"/>
      <c r="K280" s="3461"/>
      <c r="L280" s="431" t="s">
        <v>4893</v>
      </c>
    </row>
    <row r="281" spans="1:16" ht="30" customHeight="1" x14ac:dyDescent="0.2">
      <c r="A281" s="3693"/>
      <c r="B281" s="3687"/>
      <c r="C281" s="3686"/>
      <c r="D281" s="3575"/>
      <c r="E281" s="3683"/>
      <c r="F281" s="3575"/>
      <c r="G281" s="247"/>
      <c r="H281" s="247"/>
      <c r="I281" s="247"/>
      <c r="J281" s="3443"/>
      <c r="K281" s="3443"/>
      <c r="L281" s="3224"/>
    </row>
    <row r="282" spans="1:16" ht="30" customHeight="1" x14ac:dyDescent="0.2">
      <c r="A282" s="2465">
        <v>175</v>
      </c>
      <c r="B282" s="2466" t="s">
        <v>37</v>
      </c>
      <c r="C282" s="2445" t="s">
        <v>1378</v>
      </c>
      <c r="D282" s="2434">
        <v>200000000</v>
      </c>
      <c r="E282" s="2437">
        <v>0.05</v>
      </c>
      <c r="F282" s="2434">
        <f t="shared" si="26"/>
        <v>10000000</v>
      </c>
      <c r="G282" s="3769" t="s">
        <v>4837</v>
      </c>
      <c r="H282" s="3770"/>
      <c r="I282" s="3770"/>
      <c r="J282" s="3771"/>
      <c r="K282" s="2434">
        <f t="shared" ref="K282:K287" si="33">F282-J282</f>
        <v>10000000</v>
      </c>
      <c r="L282" s="2466"/>
    </row>
    <row r="283" spans="1:16" ht="30" customHeight="1" x14ac:dyDescent="0.2">
      <c r="A283" s="2465">
        <v>176</v>
      </c>
      <c r="B283" s="2466" t="s">
        <v>38</v>
      </c>
      <c r="C283" s="2445" t="s">
        <v>1138</v>
      </c>
      <c r="D283" s="2434">
        <v>150000000</v>
      </c>
      <c r="E283" s="2463">
        <v>7.0000000000000007E-2</v>
      </c>
      <c r="F283" s="2434">
        <f t="shared" si="26"/>
        <v>10500000.000000002</v>
      </c>
      <c r="G283" s="2434">
        <v>10500000</v>
      </c>
      <c r="H283" s="2434" t="s">
        <v>4756</v>
      </c>
      <c r="I283" s="24" t="s">
        <v>3358</v>
      </c>
      <c r="J283" s="2434">
        <f t="shared" ref="J283:J289" si="34">G283</f>
        <v>10500000</v>
      </c>
      <c r="K283" s="2434">
        <f t="shared" si="33"/>
        <v>0</v>
      </c>
      <c r="L283" s="2466"/>
    </row>
    <row r="284" spans="1:16" ht="30" customHeight="1" x14ac:dyDescent="0.2">
      <c r="A284" s="2465">
        <v>177</v>
      </c>
      <c r="B284" s="2466" t="s">
        <v>39</v>
      </c>
      <c r="C284" s="2445" t="s">
        <v>1354</v>
      </c>
      <c r="D284" s="2434">
        <v>25000000</v>
      </c>
      <c r="E284" s="2463">
        <v>0.04</v>
      </c>
      <c r="F284" s="2434">
        <f t="shared" si="26"/>
        <v>1000000</v>
      </c>
      <c r="G284" s="2434">
        <v>1000000</v>
      </c>
      <c r="H284" s="2434" t="s">
        <v>1047</v>
      </c>
      <c r="I284" s="21" t="s">
        <v>767</v>
      </c>
      <c r="J284" s="2434">
        <f t="shared" si="34"/>
        <v>1000000</v>
      </c>
      <c r="K284" s="2434">
        <f t="shared" si="33"/>
        <v>0</v>
      </c>
      <c r="L284" s="2466"/>
    </row>
    <row r="285" spans="1:16" ht="30" customHeight="1" x14ac:dyDescent="0.2">
      <c r="A285" s="2465">
        <v>178</v>
      </c>
      <c r="B285" s="2466" t="s">
        <v>40</v>
      </c>
      <c r="C285" s="2445" t="s">
        <v>1354</v>
      </c>
      <c r="D285" s="2434">
        <v>90000000</v>
      </c>
      <c r="E285" s="2463">
        <v>4.4999999999999998E-2</v>
      </c>
      <c r="F285" s="2434">
        <v>4000000</v>
      </c>
      <c r="G285" s="2434">
        <v>4000000</v>
      </c>
      <c r="H285" s="2434" t="s">
        <v>3138</v>
      </c>
      <c r="I285" s="24" t="s">
        <v>2290</v>
      </c>
      <c r="J285" s="2434">
        <f t="shared" si="34"/>
        <v>4000000</v>
      </c>
      <c r="K285" s="2434">
        <f t="shared" si="33"/>
        <v>0</v>
      </c>
      <c r="L285" s="2466"/>
    </row>
    <row r="286" spans="1:16" ht="30" customHeight="1" x14ac:dyDescent="0.2">
      <c r="A286" s="2502">
        <v>179</v>
      </c>
      <c r="B286" s="2468" t="s">
        <v>41</v>
      </c>
      <c r="C286" s="2444"/>
      <c r="D286" s="2433">
        <v>320000000</v>
      </c>
      <c r="E286" s="2435">
        <v>0.05</v>
      </c>
      <c r="F286" s="2433">
        <f t="shared" si="26"/>
        <v>16000000</v>
      </c>
      <c r="G286" s="2434">
        <v>16000000</v>
      </c>
      <c r="H286" s="2434" t="s">
        <v>3138</v>
      </c>
      <c r="I286" s="24" t="s">
        <v>1121</v>
      </c>
      <c r="J286" s="2433">
        <f t="shared" si="34"/>
        <v>16000000</v>
      </c>
      <c r="K286" s="2433">
        <f t="shared" si="33"/>
        <v>0</v>
      </c>
      <c r="L286" s="2447"/>
    </row>
    <row r="287" spans="1:16" ht="30" customHeight="1" x14ac:dyDescent="0.2">
      <c r="A287" s="2423">
        <v>180</v>
      </c>
      <c r="B287" s="22" t="s">
        <v>42</v>
      </c>
      <c r="C287" s="53" t="s">
        <v>2533</v>
      </c>
      <c r="D287" s="2422">
        <v>300000000</v>
      </c>
      <c r="E287" s="2463">
        <v>5.7000000000000002E-2</v>
      </c>
      <c r="F287" s="2422">
        <v>17000000</v>
      </c>
      <c r="G287" s="2422">
        <v>17000000</v>
      </c>
      <c r="H287" s="2422" t="s">
        <v>2251</v>
      </c>
      <c r="I287" s="2470" t="s">
        <v>2390</v>
      </c>
      <c r="J287" s="2422">
        <f t="shared" si="34"/>
        <v>17000000</v>
      </c>
      <c r="K287" s="2422">
        <f t="shared" si="33"/>
        <v>0</v>
      </c>
      <c r="L287" s="2484"/>
    </row>
    <row r="288" spans="1:16" ht="30" customHeight="1" x14ac:dyDescent="0.2">
      <c r="A288" s="2465">
        <v>181</v>
      </c>
      <c r="B288" s="2428" t="s">
        <v>43</v>
      </c>
      <c r="C288" s="2445" t="s">
        <v>1018</v>
      </c>
      <c r="D288" s="2434">
        <v>50000000</v>
      </c>
      <c r="E288" s="2437">
        <v>0.05</v>
      </c>
      <c r="F288" s="2434">
        <f t="shared" si="26"/>
        <v>2500000</v>
      </c>
      <c r="G288" s="2434">
        <v>2500000</v>
      </c>
      <c r="H288" s="2434" t="s">
        <v>4779</v>
      </c>
      <c r="I288" s="24" t="s">
        <v>1106</v>
      </c>
      <c r="J288" s="2434">
        <f t="shared" si="34"/>
        <v>2500000</v>
      </c>
      <c r="K288" s="2434">
        <f>F288-J288</f>
        <v>0</v>
      </c>
      <c r="L288" s="2428"/>
    </row>
    <row r="289" spans="1:12" ht="30" customHeight="1" x14ac:dyDescent="0.2">
      <c r="A289" s="3456"/>
      <c r="B289" s="3457" t="s">
        <v>44</v>
      </c>
      <c r="C289" s="3570" t="s">
        <v>1018</v>
      </c>
      <c r="D289" s="3442">
        <v>125000000</v>
      </c>
      <c r="E289" s="3444">
        <v>0.05</v>
      </c>
      <c r="F289" s="3442">
        <f>D289*E289</f>
        <v>6250000</v>
      </c>
      <c r="G289" s="3442">
        <v>6250000</v>
      </c>
      <c r="H289" s="3442" t="s">
        <v>4003</v>
      </c>
      <c r="I289" s="3442" t="s">
        <v>3854</v>
      </c>
      <c r="J289" s="3442">
        <f t="shared" si="34"/>
        <v>6250000</v>
      </c>
      <c r="K289" s="3442">
        <f>F289-J289</f>
        <v>0</v>
      </c>
      <c r="L289" s="431" t="s">
        <v>2899</v>
      </c>
    </row>
    <row r="290" spans="1:12" ht="30" customHeight="1" x14ac:dyDescent="0.2">
      <c r="A290" s="3451"/>
      <c r="B290" s="3458"/>
      <c r="C290" s="3571"/>
      <c r="D290" s="3443"/>
      <c r="E290" s="3445"/>
      <c r="F290" s="3443"/>
      <c r="G290" s="3443"/>
      <c r="H290" s="3443"/>
      <c r="I290" s="3443"/>
      <c r="J290" s="3443"/>
      <c r="K290" s="3443"/>
      <c r="L290" s="431" t="s">
        <v>3302</v>
      </c>
    </row>
    <row r="291" spans="1:12" ht="30" customHeight="1" x14ac:dyDescent="0.2">
      <c r="A291" s="3450">
        <v>183</v>
      </c>
      <c r="B291" s="3457" t="s">
        <v>4290</v>
      </c>
      <c r="C291" s="3570" t="s">
        <v>1131</v>
      </c>
      <c r="D291" s="3442">
        <v>100000000</v>
      </c>
      <c r="E291" s="3444">
        <v>0.05</v>
      </c>
      <c r="F291" s="3442">
        <f t="shared" si="26"/>
        <v>5000000</v>
      </c>
      <c r="G291" s="2434">
        <v>2000000</v>
      </c>
      <c r="H291" s="2434" t="s">
        <v>4617</v>
      </c>
      <c r="I291" s="24" t="s">
        <v>4622</v>
      </c>
      <c r="J291" s="2434">
        <f t="shared" ref="J291:J298" si="35">G291</f>
        <v>2000000</v>
      </c>
      <c r="K291" s="2434">
        <f t="shared" ref="K291:K296" si="36">F291-J291</f>
        <v>3000000</v>
      </c>
      <c r="L291" s="2333"/>
    </row>
    <row r="292" spans="1:12" ht="30" customHeight="1" x14ac:dyDescent="0.2">
      <c r="A292" s="3451"/>
      <c r="B292" s="3458"/>
      <c r="C292" s="3571"/>
      <c r="D292" s="3443"/>
      <c r="E292" s="3445"/>
      <c r="F292" s="3443"/>
      <c r="G292" s="3261">
        <v>3000000</v>
      </c>
      <c r="H292" s="3261" t="s">
        <v>4933</v>
      </c>
      <c r="I292" s="24" t="s">
        <v>4938</v>
      </c>
      <c r="J292" s="3261">
        <f t="shared" si="35"/>
        <v>3000000</v>
      </c>
      <c r="K292" s="3261"/>
      <c r="L292" s="2333"/>
    </row>
    <row r="293" spans="1:12" ht="30" customHeight="1" x14ac:dyDescent="0.2">
      <c r="A293" s="2465">
        <v>184</v>
      </c>
      <c r="B293" s="2466" t="s">
        <v>46</v>
      </c>
      <c r="C293" s="2445" t="s">
        <v>1018</v>
      </c>
      <c r="D293" s="2434">
        <v>20000000</v>
      </c>
      <c r="E293" s="2463">
        <v>0.05</v>
      </c>
      <c r="F293" s="2434">
        <f t="shared" si="26"/>
        <v>1000000</v>
      </c>
      <c r="G293" s="2434">
        <v>1000000</v>
      </c>
      <c r="H293" s="2434" t="s">
        <v>4779</v>
      </c>
      <c r="I293" s="24" t="s">
        <v>1125</v>
      </c>
      <c r="J293" s="2434">
        <f t="shared" si="35"/>
        <v>1000000</v>
      </c>
      <c r="K293" s="2434">
        <f t="shared" si="36"/>
        <v>0</v>
      </c>
      <c r="L293" s="2466"/>
    </row>
    <row r="294" spans="1:12" ht="30" customHeight="1" x14ac:dyDescent="0.2">
      <c r="A294" s="2465">
        <v>186</v>
      </c>
      <c r="B294" s="2466" t="s">
        <v>48</v>
      </c>
      <c r="C294" s="2445"/>
      <c r="D294" s="2434">
        <v>8000000</v>
      </c>
      <c r="E294" s="2463">
        <v>0.04</v>
      </c>
      <c r="F294" s="2434">
        <f t="shared" si="26"/>
        <v>320000</v>
      </c>
      <c r="G294" s="2434">
        <v>320000</v>
      </c>
      <c r="H294" s="2434" t="s">
        <v>4756</v>
      </c>
      <c r="I294" s="24" t="s">
        <v>4759</v>
      </c>
      <c r="J294" s="2434">
        <f t="shared" si="35"/>
        <v>320000</v>
      </c>
      <c r="K294" s="2434">
        <f t="shared" si="36"/>
        <v>0</v>
      </c>
      <c r="L294" s="2466"/>
    </row>
    <row r="295" spans="1:12" ht="30" customHeight="1" x14ac:dyDescent="0.2">
      <c r="A295" s="2423">
        <v>187</v>
      </c>
      <c r="B295" s="2466" t="s">
        <v>2601</v>
      </c>
      <c r="C295" s="2467" t="s">
        <v>1175</v>
      </c>
      <c r="D295" s="2422">
        <v>200000000</v>
      </c>
      <c r="E295" s="2463">
        <v>0.05</v>
      </c>
      <c r="F295" s="2422">
        <f t="shared" si="26"/>
        <v>10000000</v>
      </c>
      <c r="G295" s="2434">
        <v>10000000</v>
      </c>
      <c r="H295" s="2434" t="s">
        <v>4554</v>
      </c>
      <c r="I295" s="24" t="s">
        <v>3466</v>
      </c>
      <c r="J295" s="2434">
        <f t="shared" si="35"/>
        <v>10000000</v>
      </c>
      <c r="K295" s="2434">
        <f t="shared" si="36"/>
        <v>0</v>
      </c>
      <c r="L295" s="2497" t="s">
        <v>4556</v>
      </c>
    </row>
    <row r="296" spans="1:12" ht="30" customHeight="1" x14ac:dyDescent="0.2">
      <c r="A296" s="2465">
        <v>188</v>
      </c>
      <c r="B296" s="2428" t="s">
        <v>50</v>
      </c>
      <c r="C296" s="2445"/>
      <c r="D296" s="2434">
        <v>200000000</v>
      </c>
      <c r="E296" s="2437">
        <v>0.05</v>
      </c>
      <c r="F296" s="2434">
        <f t="shared" si="26"/>
        <v>10000000</v>
      </c>
      <c r="G296" s="2434"/>
      <c r="H296" s="2434"/>
      <c r="I296" s="24" t="s">
        <v>1923</v>
      </c>
      <c r="J296" s="2434">
        <f t="shared" si="35"/>
        <v>0</v>
      </c>
      <c r="K296" s="2434">
        <f t="shared" si="36"/>
        <v>10000000</v>
      </c>
      <c r="L296" s="2466"/>
    </row>
    <row r="297" spans="1:12" ht="30" customHeight="1" x14ac:dyDescent="0.2">
      <c r="A297" s="2465">
        <v>189</v>
      </c>
      <c r="B297" s="2466" t="s">
        <v>51</v>
      </c>
      <c r="C297" s="2445" t="s">
        <v>700</v>
      </c>
      <c r="D297" s="2434">
        <v>15000000</v>
      </c>
      <c r="E297" s="2463">
        <v>0.05</v>
      </c>
      <c r="F297" s="2434">
        <f t="shared" si="26"/>
        <v>750000</v>
      </c>
      <c r="G297" s="2434">
        <v>15000000</v>
      </c>
      <c r="H297" s="2434" t="s">
        <v>4480</v>
      </c>
      <c r="I297" s="24" t="s">
        <v>860</v>
      </c>
      <c r="J297" s="2434">
        <f t="shared" si="35"/>
        <v>15000000</v>
      </c>
      <c r="K297" s="2434"/>
      <c r="L297" s="431" t="s">
        <v>4508</v>
      </c>
    </row>
    <row r="298" spans="1:12" ht="30" customHeight="1" x14ac:dyDescent="0.2">
      <c r="A298" s="3450">
        <v>190</v>
      </c>
      <c r="B298" s="3457" t="s">
        <v>52</v>
      </c>
      <c r="C298" s="2445" t="s">
        <v>1131</v>
      </c>
      <c r="D298" s="2434">
        <v>80000000</v>
      </c>
      <c r="E298" s="2463">
        <v>0.05</v>
      </c>
      <c r="F298" s="2434">
        <f t="shared" si="26"/>
        <v>4000000</v>
      </c>
      <c r="G298" s="3442">
        <v>14000000</v>
      </c>
      <c r="H298" s="3442" t="s">
        <v>4933</v>
      </c>
      <c r="I298" s="3452" t="s">
        <v>3102</v>
      </c>
      <c r="J298" s="3442">
        <f t="shared" si="35"/>
        <v>14000000</v>
      </c>
      <c r="K298" s="3442">
        <f>(F298+F299)-J298</f>
        <v>0</v>
      </c>
      <c r="L298" s="3525"/>
    </row>
    <row r="299" spans="1:12" ht="30" customHeight="1" x14ac:dyDescent="0.2">
      <c r="A299" s="3456"/>
      <c r="B299" s="3459"/>
      <c r="C299" s="2445" t="s">
        <v>1131</v>
      </c>
      <c r="D299" s="2434">
        <v>200000000</v>
      </c>
      <c r="E299" s="2463">
        <v>0.05</v>
      </c>
      <c r="F299" s="2434">
        <f t="shared" si="26"/>
        <v>10000000</v>
      </c>
      <c r="G299" s="3443"/>
      <c r="H299" s="3443"/>
      <c r="I299" s="3453"/>
      <c r="J299" s="3443"/>
      <c r="K299" s="3443"/>
      <c r="L299" s="3526"/>
    </row>
    <row r="300" spans="1:12" ht="30" customHeight="1" x14ac:dyDescent="0.2">
      <c r="A300" s="3451"/>
      <c r="B300" s="3458"/>
      <c r="C300" s="2454" t="s">
        <v>265</v>
      </c>
      <c r="D300" s="2438">
        <v>220000000</v>
      </c>
      <c r="E300" s="2435">
        <v>0.05</v>
      </c>
      <c r="F300" s="2438">
        <f t="shared" si="26"/>
        <v>11000000</v>
      </c>
      <c r="G300" s="2434">
        <v>11000000</v>
      </c>
      <c r="H300" s="2434" t="s">
        <v>4604</v>
      </c>
      <c r="I300" s="24" t="s">
        <v>3102</v>
      </c>
      <c r="J300" s="2438">
        <f>G300</f>
        <v>11000000</v>
      </c>
      <c r="K300" s="2438">
        <f>F300-J300</f>
        <v>0</v>
      </c>
      <c r="L300" s="2459"/>
    </row>
    <row r="301" spans="1:12" ht="30" customHeight="1" x14ac:dyDescent="0.2">
      <c r="A301" s="3450">
        <v>191</v>
      </c>
      <c r="B301" s="3457" t="s">
        <v>53</v>
      </c>
      <c r="C301" s="3570" t="s">
        <v>265</v>
      </c>
      <c r="D301" s="3442">
        <v>700000000</v>
      </c>
      <c r="E301" s="3444">
        <v>7.6999999999999999E-2</v>
      </c>
      <c r="F301" s="3442">
        <v>54000000</v>
      </c>
      <c r="G301" s="2434"/>
      <c r="H301" s="2434"/>
      <c r="I301" s="24" t="s">
        <v>696</v>
      </c>
      <c r="J301" s="3442">
        <f>G301+G302</f>
        <v>0</v>
      </c>
      <c r="K301" s="3442">
        <f>F301-J301</f>
        <v>54000000</v>
      </c>
      <c r="L301" s="2471"/>
    </row>
    <row r="302" spans="1:12" ht="30" customHeight="1" x14ac:dyDescent="0.2">
      <c r="A302" s="3451"/>
      <c r="B302" s="3458"/>
      <c r="C302" s="3571"/>
      <c r="D302" s="3443"/>
      <c r="E302" s="3445"/>
      <c r="F302" s="3443"/>
      <c r="G302" s="2434"/>
      <c r="H302" s="2434"/>
      <c r="I302" s="24" t="s">
        <v>696</v>
      </c>
      <c r="J302" s="3443"/>
      <c r="K302" s="3443"/>
      <c r="L302" s="2473"/>
    </row>
    <row r="303" spans="1:12" ht="30" customHeight="1" x14ac:dyDescent="0.2">
      <c r="A303" s="3450">
        <v>192</v>
      </c>
      <c r="B303" s="3687" t="s">
        <v>54</v>
      </c>
      <c r="C303" s="3686" t="s">
        <v>1342</v>
      </c>
      <c r="D303" s="3575">
        <v>1400000000</v>
      </c>
      <c r="E303" s="3683">
        <v>7.0000000000000007E-2</v>
      </c>
      <c r="F303" s="3575">
        <f>D303*E303</f>
        <v>98000000.000000015</v>
      </c>
      <c r="G303" s="2422">
        <v>100000000</v>
      </c>
      <c r="H303" s="2422" t="s">
        <v>4003</v>
      </c>
      <c r="I303" s="2422" t="s">
        <v>888</v>
      </c>
      <c r="J303" s="3575">
        <f>G304+G303</f>
        <v>171000000</v>
      </c>
      <c r="K303" s="3442"/>
      <c r="L303" s="192"/>
    </row>
    <row r="304" spans="1:12" ht="30" customHeight="1" x14ac:dyDescent="0.2">
      <c r="A304" s="3456"/>
      <c r="B304" s="3687"/>
      <c r="C304" s="3686"/>
      <c r="D304" s="3575"/>
      <c r="E304" s="3683"/>
      <c r="F304" s="3575"/>
      <c r="G304" s="2422">
        <v>71000000</v>
      </c>
      <c r="H304" s="3442" t="s">
        <v>4630</v>
      </c>
      <c r="I304" s="3442" t="s">
        <v>888</v>
      </c>
      <c r="J304" s="3575"/>
      <c r="K304" s="3443"/>
      <c r="L304" s="192"/>
    </row>
    <row r="305" spans="1:16" ht="30" customHeight="1" x14ac:dyDescent="0.2">
      <c r="A305" s="3456"/>
      <c r="B305" s="3687"/>
      <c r="C305" s="3686"/>
      <c r="D305" s="3575"/>
      <c r="E305" s="3683"/>
      <c r="F305" s="3575"/>
      <c r="G305" s="2966">
        <v>29000000</v>
      </c>
      <c r="H305" s="3443"/>
      <c r="I305" s="3443"/>
      <c r="J305" s="3442">
        <f>G305+G306</f>
        <v>38000000</v>
      </c>
      <c r="K305" s="3442">
        <v>0</v>
      </c>
      <c r="L305" s="192" t="s">
        <v>2118</v>
      </c>
    </row>
    <row r="306" spans="1:16" ht="30" customHeight="1" x14ac:dyDescent="0.2">
      <c r="A306" s="3456"/>
      <c r="B306" s="3687"/>
      <c r="C306" s="3686"/>
      <c r="D306" s="3575"/>
      <c r="E306" s="3683"/>
      <c r="F306" s="3575"/>
      <c r="G306" s="2966">
        <v>9000000</v>
      </c>
      <c r="H306" s="2966" t="s">
        <v>3138</v>
      </c>
      <c r="I306" s="2966" t="s">
        <v>4711</v>
      </c>
      <c r="J306" s="3443"/>
      <c r="K306" s="3443"/>
      <c r="L306" s="192" t="s">
        <v>2417</v>
      </c>
    </row>
    <row r="307" spans="1:16" ht="30" customHeight="1" x14ac:dyDescent="0.2">
      <c r="A307" s="2465">
        <v>193</v>
      </c>
      <c r="B307" s="2968" t="s">
        <v>55</v>
      </c>
      <c r="C307" s="2445" t="s">
        <v>1378</v>
      </c>
      <c r="D307" s="2434">
        <v>45000000</v>
      </c>
      <c r="E307" s="2969">
        <v>0.04</v>
      </c>
      <c r="F307" s="2434">
        <f t="shared" ref="F307:F399" si="37">D307*E307</f>
        <v>1800000</v>
      </c>
      <c r="G307" s="2434">
        <v>1800000</v>
      </c>
      <c r="H307" s="2434" t="s">
        <v>4779</v>
      </c>
      <c r="I307" s="2422" t="s">
        <v>4278</v>
      </c>
      <c r="J307" s="2434">
        <f t="shared" ref="J307:J321" si="38">G307</f>
        <v>1800000</v>
      </c>
      <c r="K307" s="2434">
        <f t="shared" ref="K307:K320" si="39">F307-J307</f>
        <v>0</v>
      </c>
      <c r="L307" s="2466"/>
    </row>
    <row r="308" spans="1:16" ht="30" customHeight="1" x14ac:dyDescent="0.2">
      <c r="A308" s="2423">
        <v>194</v>
      </c>
      <c r="B308" s="22" t="s">
        <v>56</v>
      </c>
      <c r="C308" s="421"/>
      <c r="D308" s="2450"/>
      <c r="E308" s="1078"/>
      <c r="F308" s="2450">
        <f t="shared" si="37"/>
        <v>0</v>
      </c>
      <c r="G308" s="2422">
        <v>6500000</v>
      </c>
      <c r="H308" s="2422" t="s">
        <v>4779</v>
      </c>
      <c r="I308" s="2470" t="s">
        <v>4779</v>
      </c>
      <c r="J308" s="2422">
        <f t="shared" si="38"/>
        <v>6500000</v>
      </c>
      <c r="K308" s="2450">
        <f t="shared" si="39"/>
        <v>-6500000</v>
      </c>
      <c r="L308" s="2447"/>
    </row>
    <row r="309" spans="1:16" ht="30" customHeight="1" x14ac:dyDescent="0.2">
      <c r="A309" s="2465">
        <v>195</v>
      </c>
      <c r="B309" s="2428" t="s">
        <v>57</v>
      </c>
      <c r="C309" s="2445" t="s">
        <v>1019</v>
      </c>
      <c r="D309" s="2434">
        <v>10000000</v>
      </c>
      <c r="E309" s="2437">
        <v>0.05</v>
      </c>
      <c r="F309" s="2434">
        <f t="shared" si="37"/>
        <v>500000</v>
      </c>
      <c r="G309" s="2434">
        <v>500000</v>
      </c>
      <c r="H309" s="2434" t="s">
        <v>4924</v>
      </c>
      <c r="I309" s="24" t="s">
        <v>1152</v>
      </c>
      <c r="J309" s="2434">
        <f t="shared" si="38"/>
        <v>500000</v>
      </c>
      <c r="K309" s="2434">
        <f t="shared" si="39"/>
        <v>0</v>
      </c>
      <c r="L309" s="2466"/>
    </row>
    <row r="310" spans="1:16" ht="30" customHeight="1" x14ac:dyDescent="0.2">
      <c r="A310" s="3450">
        <v>196</v>
      </c>
      <c r="B310" s="3457" t="s">
        <v>58</v>
      </c>
      <c r="C310" s="3570" t="s">
        <v>1138</v>
      </c>
      <c r="D310" s="2434">
        <v>20000000</v>
      </c>
      <c r="E310" s="2463">
        <v>0.04</v>
      </c>
      <c r="F310" s="2434">
        <f t="shared" si="37"/>
        <v>800000</v>
      </c>
      <c r="G310" s="3442">
        <v>2300000</v>
      </c>
      <c r="H310" s="3442" t="s">
        <v>4779</v>
      </c>
      <c r="I310" s="3452" t="s">
        <v>3899</v>
      </c>
      <c r="J310" s="3442">
        <f t="shared" si="38"/>
        <v>2300000</v>
      </c>
      <c r="K310" s="3442">
        <f>(F310+F311)-J310</f>
        <v>0</v>
      </c>
      <c r="L310" s="3890" t="s">
        <v>3901</v>
      </c>
    </row>
    <row r="311" spans="1:16" ht="30" customHeight="1" x14ac:dyDescent="0.2">
      <c r="A311" s="3456"/>
      <c r="B311" s="3459"/>
      <c r="C311" s="3571"/>
      <c r="D311" s="2434">
        <v>30000000</v>
      </c>
      <c r="E311" s="2463">
        <v>0.05</v>
      </c>
      <c r="F311" s="2434">
        <f t="shared" si="37"/>
        <v>1500000</v>
      </c>
      <c r="G311" s="3443"/>
      <c r="H311" s="3443"/>
      <c r="I311" s="3453"/>
      <c r="J311" s="3443"/>
      <c r="K311" s="3443"/>
      <c r="L311" s="3890"/>
    </row>
    <row r="312" spans="1:16" ht="30" customHeight="1" x14ac:dyDescent="0.2">
      <c r="A312" s="2959">
        <v>197</v>
      </c>
      <c r="B312" s="22" t="s">
        <v>4293</v>
      </c>
      <c r="C312" s="2963" t="s">
        <v>1165</v>
      </c>
      <c r="D312" s="2956">
        <v>100000000</v>
      </c>
      <c r="E312" s="2962">
        <v>0.05</v>
      </c>
      <c r="F312" s="2956">
        <f t="shared" ref="F312" si="40">D312*E312</f>
        <v>5000000</v>
      </c>
      <c r="G312" s="2956">
        <v>5000000</v>
      </c>
      <c r="H312" s="2956" t="s">
        <v>4756</v>
      </c>
      <c r="I312" s="2956" t="s">
        <v>4294</v>
      </c>
      <c r="J312" s="2956">
        <f t="shared" si="38"/>
        <v>5000000</v>
      </c>
      <c r="K312" s="2956">
        <f t="shared" si="39"/>
        <v>0</v>
      </c>
      <c r="L312" s="786" t="s">
        <v>4152</v>
      </c>
      <c r="M312" s="406"/>
      <c r="N312" s="406"/>
      <c r="O312" s="406"/>
      <c r="P312" s="406"/>
    </row>
    <row r="313" spans="1:16" ht="30" customHeight="1" x14ac:dyDescent="0.2">
      <c r="A313" s="3450">
        <v>198</v>
      </c>
      <c r="B313" s="3459" t="s">
        <v>60</v>
      </c>
      <c r="C313" s="3570" t="s">
        <v>1165</v>
      </c>
      <c r="D313" s="2434">
        <v>30000000</v>
      </c>
      <c r="E313" s="2957">
        <v>8.5000000000000006E-2</v>
      </c>
      <c r="F313" s="2434">
        <v>2500000</v>
      </c>
      <c r="G313" s="2434">
        <v>2500000</v>
      </c>
      <c r="H313" s="2434" t="s">
        <v>4933</v>
      </c>
      <c r="I313" s="2958" t="s">
        <v>1205</v>
      </c>
      <c r="J313" s="2434">
        <f t="shared" si="38"/>
        <v>2500000</v>
      </c>
      <c r="K313" s="2434">
        <f t="shared" si="39"/>
        <v>0</v>
      </c>
      <c r="L313" s="3468" t="s">
        <v>4767</v>
      </c>
      <c r="M313" s="406"/>
      <c r="N313" s="406"/>
      <c r="O313" s="406"/>
      <c r="P313" s="406"/>
    </row>
    <row r="314" spans="1:16" ht="30" customHeight="1" x14ac:dyDescent="0.2">
      <c r="A314" s="3451"/>
      <c r="B314" s="3458"/>
      <c r="C314" s="3571"/>
      <c r="D314" s="2792">
        <v>100000000</v>
      </c>
      <c r="E314" s="2808">
        <v>7.0000000000000007E-2</v>
      </c>
      <c r="F314" s="2792">
        <f>D314*E314</f>
        <v>7000000.0000000009</v>
      </c>
      <c r="G314" s="2792"/>
      <c r="H314" s="2792"/>
      <c r="I314" s="2786"/>
      <c r="J314" s="2792"/>
      <c r="K314" s="2792"/>
      <c r="L314" s="3469"/>
      <c r="M314" s="406"/>
      <c r="N314" s="406"/>
      <c r="O314" s="406"/>
      <c r="P314" s="406"/>
    </row>
    <row r="315" spans="1:16" ht="30" customHeight="1" x14ac:dyDescent="0.2">
      <c r="A315" s="2465">
        <v>199</v>
      </c>
      <c r="B315" s="2466" t="s">
        <v>61</v>
      </c>
      <c r="C315" s="2445" t="s">
        <v>1131</v>
      </c>
      <c r="D315" s="2434">
        <v>50000000</v>
      </c>
      <c r="E315" s="2463">
        <v>0.05</v>
      </c>
      <c r="F315" s="2434">
        <f t="shared" si="37"/>
        <v>2500000</v>
      </c>
      <c r="G315" s="2434">
        <v>2500000</v>
      </c>
      <c r="H315" s="2434" t="s">
        <v>4939</v>
      </c>
      <c r="I315" s="2422" t="s">
        <v>4940</v>
      </c>
      <c r="J315" s="2434">
        <f t="shared" si="38"/>
        <v>2500000</v>
      </c>
      <c r="K315" s="2434">
        <f t="shared" si="39"/>
        <v>0</v>
      </c>
      <c r="L315" s="2466"/>
      <c r="M315" s="406"/>
      <c r="N315" s="406"/>
      <c r="O315" s="406"/>
      <c r="P315" s="406"/>
    </row>
    <row r="316" spans="1:16" ht="30" customHeight="1" x14ac:dyDescent="0.2">
      <c r="A316" s="2465">
        <v>200</v>
      </c>
      <c r="B316" s="2466" t="s">
        <v>62</v>
      </c>
      <c r="C316" s="2445" t="s">
        <v>1112</v>
      </c>
      <c r="D316" s="2434">
        <v>350000000</v>
      </c>
      <c r="E316" s="2463">
        <v>7.0000000000000007E-2</v>
      </c>
      <c r="F316" s="2434">
        <f t="shared" si="37"/>
        <v>24500000.000000004</v>
      </c>
      <c r="G316" s="2434">
        <v>1900000</v>
      </c>
      <c r="H316" s="2434" t="s">
        <v>4942</v>
      </c>
      <c r="I316" s="24" t="s">
        <v>4948</v>
      </c>
      <c r="J316" s="2434">
        <f>G316</f>
        <v>1900000</v>
      </c>
      <c r="K316" s="2434">
        <f t="shared" si="39"/>
        <v>22600000.000000004</v>
      </c>
      <c r="L316" s="2333" t="s">
        <v>4949</v>
      </c>
      <c r="M316" s="406"/>
      <c r="N316" s="406"/>
      <c r="O316" s="406"/>
      <c r="P316" s="406"/>
    </row>
    <row r="317" spans="1:16" ht="30" customHeight="1" x14ac:dyDescent="0.2">
      <c r="A317" s="2465">
        <v>201</v>
      </c>
      <c r="B317" s="2466" t="s">
        <v>63</v>
      </c>
      <c r="C317" s="2445"/>
      <c r="D317" s="2434">
        <v>60000000</v>
      </c>
      <c r="E317" s="2463">
        <v>7.0000000000000007E-2</v>
      </c>
      <c r="F317" s="2434">
        <v>4500000</v>
      </c>
      <c r="G317" s="2434">
        <v>4500000</v>
      </c>
      <c r="H317" s="2434" t="s">
        <v>4942</v>
      </c>
      <c r="I317" s="2488" t="s">
        <v>4039</v>
      </c>
      <c r="J317" s="2434">
        <f t="shared" si="38"/>
        <v>4500000</v>
      </c>
      <c r="K317" s="2434">
        <f t="shared" si="39"/>
        <v>0</v>
      </c>
      <c r="L317" s="2466"/>
      <c r="M317" s="406"/>
      <c r="N317" s="406"/>
      <c r="O317" s="406"/>
      <c r="P317" s="406"/>
    </row>
    <row r="318" spans="1:16" ht="30" customHeight="1" x14ac:dyDescent="0.2">
      <c r="A318" s="2491">
        <v>202</v>
      </c>
      <c r="B318" s="2466" t="s">
        <v>64</v>
      </c>
      <c r="C318" s="2467" t="s">
        <v>1112</v>
      </c>
      <c r="D318" s="2422">
        <v>100000000</v>
      </c>
      <c r="E318" s="2463">
        <v>4.4999999999999998E-2</v>
      </c>
      <c r="F318" s="2422">
        <f t="shared" si="37"/>
        <v>4500000</v>
      </c>
      <c r="G318" s="2422">
        <v>4500000</v>
      </c>
      <c r="H318" s="2434" t="s">
        <v>4939</v>
      </c>
      <c r="I318" s="24" t="s">
        <v>4027</v>
      </c>
      <c r="J318" s="2434">
        <f t="shared" si="38"/>
        <v>4500000</v>
      </c>
      <c r="K318" s="2434">
        <f t="shared" si="39"/>
        <v>0</v>
      </c>
      <c r="L318" s="2497"/>
      <c r="M318" s="406"/>
      <c r="N318" s="406"/>
      <c r="O318" s="406"/>
      <c r="P318" s="406"/>
    </row>
    <row r="319" spans="1:16" ht="30" customHeight="1" x14ac:dyDescent="0.2">
      <c r="A319" s="2465">
        <v>203</v>
      </c>
      <c r="B319" s="2428" t="s">
        <v>1292</v>
      </c>
      <c r="C319" s="2445" t="s">
        <v>1112</v>
      </c>
      <c r="D319" s="2434">
        <v>60000000</v>
      </c>
      <c r="E319" s="2437">
        <v>0.05</v>
      </c>
      <c r="F319" s="2434">
        <f t="shared" si="37"/>
        <v>3000000</v>
      </c>
      <c r="G319" s="2434">
        <v>3000000</v>
      </c>
      <c r="H319" s="2434" t="s">
        <v>4942</v>
      </c>
      <c r="I319" s="24" t="s">
        <v>1792</v>
      </c>
      <c r="J319" s="2434">
        <f t="shared" si="38"/>
        <v>3000000</v>
      </c>
      <c r="K319" s="2434">
        <f t="shared" si="39"/>
        <v>0</v>
      </c>
      <c r="L319" s="2466"/>
    </row>
    <row r="320" spans="1:16" ht="30" customHeight="1" x14ac:dyDescent="0.2">
      <c r="A320" s="2465">
        <v>205</v>
      </c>
      <c r="B320" s="2466" t="s">
        <v>66</v>
      </c>
      <c r="C320" s="2445" t="s">
        <v>3380</v>
      </c>
      <c r="D320" s="2434">
        <v>15000000</v>
      </c>
      <c r="E320" s="2463">
        <v>0.04</v>
      </c>
      <c r="F320" s="2434">
        <f t="shared" si="37"/>
        <v>600000</v>
      </c>
      <c r="G320" s="2434">
        <v>600000</v>
      </c>
      <c r="H320" s="2434" t="s">
        <v>4779</v>
      </c>
      <c r="I320" s="24" t="s">
        <v>3379</v>
      </c>
      <c r="J320" s="2434">
        <f t="shared" si="38"/>
        <v>600000</v>
      </c>
      <c r="K320" s="2434">
        <f t="shared" si="39"/>
        <v>0</v>
      </c>
      <c r="L320" s="2466"/>
    </row>
    <row r="321" spans="1:12" ht="30" customHeight="1" x14ac:dyDescent="0.2">
      <c r="A321" s="3450">
        <v>207</v>
      </c>
      <c r="B321" s="3687" t="s">
        <v>2810</v>
      </c>
      <c r="C321" s="3686" t="s">
        <v>700</v>
      </c>
      <c r="D321" s="2434">
        <v>45000000</v>
      </c>
      <c r="E321" s="2463">
        <v>0.04</v>
      </c>
      <c r="F321" s="2434">
        <f t="shared" si="37"/>
        <v>1800000</v>
      </c>
      <c r="G321" s="3442">
        <v>3800000</v>
      </c>
      <c r="H321" s="3442" t="s">
        <v>4756</v>
      </c>
      <c r="I321" s="3452" t="s">
        <v>3877</v>
      </c>
      <c r="J321" s="3442">
        <f t="shared" si="38"/>
        <v>3800000</v>
      </c>
      <c r="K321" s="3442">
        <f>(F321+F322)-J321</f>
        <v>0</v>
      </c>
      <c r="L321" s="3468"/>
    </row>
    <row r="322" spans="1:12" ht="30" customHeight="1" x14ac:dyDescent="0.2">
      <c r="A322" s="3456"/>
      <c r="B322" s="3687"/>
      <c r="C322" s="3686"/>
      <c r="D322" s="2434">
        <v>50000000</v>
      </c>
      <c r="E322" s="2463">
        <v>0.04</v>
      </c>
      <c r="F322" s="2434">
        <f t="shared" si="37"/>
        <v>2000000</v>
      </c>
      <c r="G322" s="3443"/>
      <c r="H322" s="3443"/>
      <c r="I322" s="3453"/>
      <c r="J322" s="3443"/>
      <c r="K322" s="3443"/>
      <c r="L322" s="3469"/>
    </row>
    <row r="323" spans="1:12" ht="30" customHeight="1" x14ac:dyDescent="0.2">
      <c r="A323" s="2423">
        <v>208</v>
      </c>
      <c r="B323" s="22" t="s">
        <v>70</v>
      </c>
      <c r="C323" s="421" t="s">
        <v>1131</v>
      </c>
      <c r="D323" s="2422">
        <v>15000000</v>
      </c>
      <c r="E323" s="2463">
        <v>0.04</v>
      </c>
      <c r="F323" s="2422">
        <f t="shared" si="37"/>
        <v>600000</v>
      </c>
      <c r="G323" s="2422">
        <v>600000</v>
      </c>
      <c r="H323" s="2422" t="s">
        <v>4942</v>
      </c>
      <c r="I323" s="2470" t="s">
        <v>1130</v>
      </c>
      <c r="J323" s="2422">
        <f t="shared" ref="J323:J336" si="41">G323</f>
        <v>600000</v>
      </c>
      <c r="K323" s="2422">
        <f t="shared" ref="K323:K339" si="42">F323-J323</f>
        <v>0</v>
      </c>
      <c r="L323" s="2333"/>
    </row>
    <row r="324" spans="1:12" ht="30" customHeight="1" x14ac:dyDescent="0.2">
      <c r="A324" s="3450">
        <v>209</v>
      </c>
      <c r="B324" s="3457" t="s">
        <v>71</v>
      </c>
      <c r="C324" s="3570" t="s">
        <v>3458</v>
      </c>
      <c r="D324" s="2434">
        <v>10000000</v>
      </c>
      <c r="E324" s="2437">
        <v>0.05</v>
      </c>
      <c r="F324" s="2434">
        <f t="shared" si="37"/>
        <v>500000</v>
      </c>
      <c r="G324" s="2434">
        <v>500000</v>
      </c>
      <c r="H324" s="2434" t="s">
        <v>4458</v>
      </c>
      <c r="I324" s="2457" t="s">
        <v>4471</v>
      </c>
      <c r="J324" s="2434">
        <f t="shared" si="41"/>
        <v>500000</v>
      </c>
      <c r="K324" s="2434">
        <f t="shared" si="42"/>
        <v>0</v>
      </c>
      <c r="L324" s="2333" t="s">
        <v>4472</v>
      </c>
    </row>
    <row r="325" spans="1:12" ht="30" customHeight="1" x14ac:dyDescent="0.2">
      <c r="A325" s="3451"/>
      <c r="B325" s="3458"/>
      <c r="C325" s="3571"/>
      <c r="D325" s="3325" t="s">
        <v>4215</v>
      </c>
      <c r="E325" s="3340"/>
      <c r="F325" s="3341"/>
      <c r="G325" s="2558">
        <v>10000000</v>
      </c>
      <c r="H325" s="2558" t="s">
        <v>4536</v>
      </c>
      <c r="I325" s="122" t="s">
        <v>1277</v>
      </c>
      <c r="J325" s="2558">
        <f>G325</f>
        <v>10000000</v>
      </c>
      <c r="K325" s="2558"/>
      <c r="L325" s="2333" t="s">
        <v>2171</v>
      </c>
    </row>
    <row r="326" spans="1:12" ht="30" customHeight="1" x14ac:dyDescent="0.2">
      <c r="A326" s="2465">
        <v>210</v>
      </c>
      <c r="B326" s="2466" t="s">
        <v>73</v>
      </c>
      <c r="C326" s="2445"/>
      <c r="D326" s="2434">
        <v>50000000</v>
      </c>
      <c r="E326" s="2463">
        <v>7.0000000000000007E-2</v>
      </c>
      <c r="F326" s="2434">
        <f t="shared" si="37"/>
        <v>3500000.0000000005</v>
      </c>
      <c r="G326" s="2434">
        <v>3500000</v>
      </c>
      <c r="H326" s="2434" t="s">
        <v>1236</v>
      </c>
      <c r="I326" s="24" t="s">
        <v>3630</v>
      </c>
      <c r="J326" s="2434">
        <f t="shared" si="41"/>
        <v>3500000</v>
      </c>
      <c r="K326" s="2434">
        <f t="shared" si="42"/>
        <v>0</v>
      </c>
      <c r="L326" s="2466"/>
    </row>
    <row r="327" spans="1:12" ht="30" customHeight="1" x14ac:dyDescent="0.2">
      <c r="A327" s="2856"/>
      <c r="B327" s="2864" t="s">
        <v>4594</v>
      </c>
      <c r="C327" s="2862"/>
      <c r="D327" s="2850"/>
      <c r="E327" s="2865"/>
      <c r="F327" s="2850"/>
      <c r="G327" s="2850">
        <v>50000000</v>
      </c>
      <c r="H327" s="2850" t="s">
        <v>4546</v>
      </c>
      <c r="I327" s="61" t="s">
        <v>2910</v>
      </c>
      <c r="J327" s="2850">
        <f t="shared" si="41"/>
        <v>50000000</v>
      </c>
      <c r="K327" s="2850"/>
      <c r="L327" s="2857"/>
    </row>
    <row r="328" spans="1:12" ht="30" customHeight="1" x14ac:dyDescent="0.2">
      <c r="A328" s="2465">
        <v>211</v>
      </c>
      <c r="B328" s="2466" t="s">
        <v>74</v>
      </c>
      <c r="C328" s="2445" t="s">
        <v>1350</v>
      </c>
      <c r="D328" s="2434">
        <v>100000000</v>
      </c>
      <c r="E328" s="2463">
        <v>0.05</v>
      </c>
      <c r="F328" s="2434">
        <f t="shared" si="37"/>
        <v>5000000</v>
      </c>
      <c r="G328" s="2434">
        <v>5000000</v>
      </c>
      <c r="H328" s="2434" t="s">
        <v>4512</v>
      </c>
      <c r="I328" s="24" t="s">
        <v>4141</v>
      </c>
      <c r="J328" s="2434">
        <f t="shared" si="41"/>
        <v>5000000</v>
      </c>
      <c r="K328" s="2434">
        <f t="shared" si="42"/>
        <v>0</v>
      </c>
      <c r="L328" s="2466"/>
    </row>
    <row r="329" spans="1:12" ht="30" customHeight="1" x14ac:dyDescent="0.2">
      <c r="A329" s="3450">
        <v>212</v>
      </c>
      <c r="B329" s="3457" t="s">
        <v>75</v>
      </c>
      <c r="C329" s="3570" t="s">
        <v>916</v>
      </c>
      <c r="D329" s="2434">
        <v>30000000</v>
      </c>
      <c r="E329" s="2463">
        <v>0.05</v>
      </c>
      <c r="F329" s="2434">
        <f t="shared" si="37"/>
        <v>1500000</v>
      </c>
      <c r="G329" s="3442">
        <v>2000000</v>
      </c>
      <c r="H329" s="3442" t="s">
        <v>4458</v>
      </c>
      <c r="I329" s="3452" t="s">
        <v>1327</v>
      </c>
      <c r="J329" s="3442">
        <f t="shared" si="41"/>
        <v>2000000</v>
      </c>
      <c r="K329" s="3442">
        <f>(F329+F330)-J329</f>
        <v>0</v>
      </c>
      <c r="L329" s="2466"/>
    </row>
    <row r="330" spans="1:12" ht="30" customHeight="1" x14ac:dyDescent="0.2">
      <c r="A330" s="3451"/>
      <c r="B330" s="3458"/>
      <c r="C330" s="3571"/>
      <c r="D330" s="2558">
        <v>10000000</v>
      </c>
      <c r="E330" s="2587">
        <v>0.05</v>
      </c>
      <c r="F330" s="2558">
        <f t="shared" si="37"/>
        <v>500000</v>
      </c>
      <c r="G330" s="3443"/>
      <c r="H330" s="3443"/>
      <c r="I330" s="3453"/>
      <c r="J330" s="3443"/>
      <c r="K330" s="3443"/>
      <c r="L330" s="2590"/>
    </row>
    <row r="331" spans="1:12" ht="30" customHeight="1" x14ac:dyDescent="0.2">
      <c r="A331" s="2465">
        <v>213</v>
      </c>
      <c r="B331" s="2466" t="s">
        <v>76</v>
      </c>
      <c r="C331" s="2445" t="s">
        <v>916</v>
      </c>
      <c r="D331" s="2434">
        <v>15000000</v>
      </c>
      <c r="E331" s="2463">
        <v>4.7E-2</v>
      </c>
      <c r="F331" s="2434">
        <v>700000</v>
      </c>
      <c r="G331" s="2434">
        <v>700000</v>
      </c>
      <c r="H331" s="2434" t="s">
        <v>4458</v>
      </c>
      <c r="I331" s="24" t="s">
        <v>3542</v>
      </c>
      <c r="J331" s="2434">
        <f t="shared" si="41"/>
        <v>700000</v>
      </c>
      <c r="K331" s="2434">
        <f t="shared" si="42"/>
        <v>0</v>
      </c>
      <c r="L331" s="2466"/>
    </row>
    <row r="332" spans="1:12" ht="30" customHeight="1" x14ac:dyDescent="0.2">
      <c r="A332" s="2465">
        <v>214</v>
      </c>
      <c r="B332" s="2466" t="s">
        <v>966</v>
      </c>
      <c r="C332" s="2445"/>
      <c r="D332" s="2434">
        <v>200000000</v>
      </c>
      <c r="E332" s="2463">
        <v>5.5E-2</v>
      </c>
      <c r="F332" s="2434">
        <f t="shared" si="37"/>
        <v>11000000</v>
      </c>
      <c r="G332" s="2434">
        <v>11000000</v>
      </c>
      <c r="H332" s="2434">
        <v>1.7425373134328359</v>
      </c>
      <c r="I332" s="24" t="s">
        <v>4114</v>
      </c>
      <c r="J332" s="2434">
        <f t="shared" si="41"/>
        <v>11000000</v>
      </c>
      <c r="K332" s="2434">
        <f t="shared" si="42"/>
        <v>0</v>
      </c>
      <c r="L332" s="2466"/>
    </row>
    <row r="333" spans="1:12" ht="30" customHeight="1" x14ac:dyDescent="0.2">
      <c r="A333" s="2465">
        <v>216</v>
      </c>
      <c r="B333" s="2864" t="s">
        <v>78</v>
      </c>
      <c r="C333" s="2445" t="s">
        <v>916</v>
      </c>
      <c r="D333" s="2434">
        <v>250000000</v>
      </c>
      <c r="E333" s="2463">
        <v>0.05</v>
      </c>
      <c r="F333" s="2434">
        <f t="shared" si="37"/>
        <v>12500000</v>
      </c>
      <c r="G333" s="2434">
        <v>12500000</v>
      </c>
      <c r="H333" s="2434" t="s">
        <v>4458</v>
      </c>
      <c r="I333" s="21" t="s">
        <v>4482</v>
      </c>
      <c r="J333" s="2434">
        <f t="shared" si="41"/>
        <v>12500000</v>
      </c>
      <c r="K333" s="2434">
        <f t="shared" si="42"/>
        <v>0</v>
      </c>
      <c r="L333" s="2466"/>
    </row>
    <row r="334" spans="1:12" ht="30" customHeight="1" x14ac:dyDescent="0.2">
      <c r="A334" s="2423">
        <v>217</v>
      </c>
      <c r="B334" s="2466" t="s">
        <v>80</v>
      </c>
      <c r="C334" s="2467"/>
      <c r="D334" s="2422">
        <v>160000000</v>
      </c>
      <c r="E334" s="2463">
        <v>0.05</v>
      </c>
      <c r="F334" s="2422">
        <f t="shared" si="37"/>
        <v>8000000</v>
      </c>
      <c r="G334" s="2422"/>
      <c r="H334" s="2422"/>
      <c r="I334" s="2488"/>
      <c r="J334" s="2422">
        <f t="shared" si="41"/>
        <v>0</v>
      </c>
      <c r="K334" s="2422">
        <f t="shared" si="42"/>
        <v>8000000</v>
      </c>
      <c r="L334" s="2431"/>
    </row>
    <row r="335" spans="1:12" ht="30" customHeight="1" x14ac:dyDescent="0.2">
      <c r="A335" s="3450">
        <v>218</v>
      </c>
      <c r="B335" s="3457" t="s">
        <v>81</v>
      </c>
      <c r="C335" s="3570"/>
      <c r="D335" s="3442">
        <v>45000000</v>
      </c>
      <c r="E335" s="3444">
        <v>0.04</v>
      </c>
      <c r="F335" s="3442">
        <f t="shared" si="37"/>
        <v>1800000</v>
      </c>
      <c r="G335" s="2434"/>
      <c r="H335" s="2434"/>
      <c r="I335" s="70" t="s">
        <v>1794</v>
      </c>
      <c r="J335" s="2434">
        <f t="shared" si="41"/>
        <v>0</v>
      </c>
      <c r="K335" s="2434">
        <f t="shared" si="42"/>
        <v>1800000</v>
      </c>
      <c r="L335" s="2466"/>
    </row>
    <row r="336" spans="1:12" ht="30" customHeight="1" x14ac:dyDescent="0.2">
      <c r="A336" s="3451"/>
      <c r="B336" s="3458"/>
      <c r="C336" s="3571"/>
      <c r="D336" s="3443"/>
      <c r="E336" s="3445"/>
      <c r="F336" s="3443"/>
      <c r="G336" s="2434"/>
      <c r="H336" s="2434"/>
      <c r="I336" s="70" t="s">
        <v>3699</v>
      </c>
      <c r="J336" s="2434">
        <f t="shared" si="41"/>
        <v>0</v>
      </c>
      <c r="K336" s="2434"/>
      <c r="L336" s="2333" t="s">
        <v>3700</v>
      </c>
    </row>
    <row r="337" spans="1:12" ht="30" customHeight="1" x14ac:dyDescent="0.2">
      <c r="A337" s="2465">
        <v>219</v>
      </c>
      <c r="B337" s="2466" t="s">
        <v>1903</v>
      </c>
      <c r="C337" s="2445"/>
      <c r="D337" s="2440"/>
      <c r="E337" s="44"/>
      <c r="F337" s="2440">
        <f t="shared" si="37"/>
        <v>0</v>
      </c>
      <c r="G337" s="2434"/>
      <c r="H337" s="2434"/>
      <c r="I337" s="24"/>
      <c r="J337" s="2434"/>
      <c r="K337" s="2440">
        <f t="shared" si="42"/>
        <v>0</v>
      </c>
      <c r="L337" s="2466"/>
    </row>
    <row r="338" spans="1:12" ht="30" customHeight="1" x14ac:dyDescent="0.2">
      <c r="A338" s="2465">
        <v>220</v>
      </c>
      <c r="B338" s="2468" t="s">
        <v>83</v>
      </c>
      <c r="C338" s="3236" t="s">
        <v>916</v>
      </c>
      <c r="D338" s="2433">
        <v>203000000</v>
      </c>
      <c r="E338" s="2435">
        <v>0.05</v>
      </c>
      <c r="F338" s="2433">
        <f t="shared" si="37"/>
        <v>10150000</v>
      </c>
      <c r="G338" s="2434">
        <v>10150000</v>
      </c>
      <c r="H338" s="2434" t="s">
        <v>4512</v>
      </c>
      <c r="I338" s="24" t="s">
        <v>3545</v>
      </c>
      <c r="J338" s="2433">
        <f>G338</f>
        <v>10150000</v>
      </c>
      <c r="K338" s="2433">
        <f t="shared" si="42"/>
        <v>0</v>
      </c>
      <c r="L338" s="2466"/>
    </row>
    <row r="339" spans="1:12" ht="30" customHeight="1" x14ac:dyDescent="0.2">
      <c r="A339" s="2465">
        <v>221</v>
      </c>
      <c r="B339" s="2468" t="s">
        <v>332</v>
      </c>
      <c r="C339" s="2444" t="s">
        <v>1746</v>
      </c>
      <c r="D339" s="2433">
        <v>275000000</v>
      </c>
      <c r="E339" s="2435">
        <v>4.2000000000000003E-2</v>
      </c>
      <c r="F339" s="2433">
        <f>D339*E339</f>
        <v>11550000</v>
      </c>
      <c r="G339" s="2438">
        <v>11550000</v>
      </c>
      <c r="H339" s="2438" t="s">
        <v>4554</v>
      </c>
      <c r="I339" s="427" t="s">
        <v>1748</v>
      </c>
      <c r="J339" s="2433">
        <f>G339</f>
        <v>11550000</v>
      </c>
      <c r="K339" s="2433">
        <f t="shared" si="42"/>
        <v>0</v>
      </c>
      <c r="L339" s="2447"/>
    </row>
    <row r="340" spans="1:12" ht="30" customHeight="1" x14ac:dyDescent="0.2">
      <c r="A340" s="3693">
        <v>222</v>
      </c>
      <c r="B340" s="3457" t="s">
        <v>1931</v>
      </c>
      <c r="C340" s="3570" t="s">
        <v>1342</v>
      </c>
      <c r="D340" s="3442">
        <v>700000000</v>
      </c>
      <c r="E340" s="3444">
        <v>0.06</v>
      </c>
      <c r="F340" s="3442">
        <f>D340*E340</f>
        <v>42000000</v>
      </c>
      <c r="G340" s="3442">
        <v>42000000</v>
      </c>
      <c r="H340" s="3442" t="s">
        <v>2604</v>
      </c>
      <c r="I340" s="3452" t="s">
        <v>3862</v>
      </c>
      <c r="J340" s="3442">
        <f>G340</f>
        <v>42000000</v>
      </c>
      <c r="K340" s="3442">
        <f>F340-J340</f>
        <v>0</v>
      </c>
      <c r="L340" s="2471"/>
    </row>
    <row r="341" spans="1:12" ht="30" customHeight="1" x14ac:dyDescent="0.2">
      <c r="A341" s="3693"/>
      <c r="B341" s="3459"/>
      <c r="C341" s="3576"/>
      <c r="D341" s="3461"/>
      <c r="E341" s="3474"/>
      <c r="F341" s="3461"/>
      <c r="G341" s="3461"/>
      <c r="H341" s="3461"/>
      <c r="I341" s="3653"/>
      <c r="J341" s="3461"/>
      <c r="K341" s="3461"/>
      <c r="L341" s="2473"/>
    </row>
    <row r="342" spans="1:12" ht="30" customHeight="1" x14ac:dyDescent="0.2">
      <c r="A342" s="3693"/>
      <c r="B342" s="3458"/>
      <c r="C342" s="3571"/>
      <c r="D342" s="3443"/>
      <c r="E342" s="3445"/>
      <c r="F342" s="3443"/>
      <c r="G342" s="3443"/>
      <c r="H342" s="3443"/>
      <c r="I342" s="3453"/>
      <c r="J342" s="3443"/>
      <c r="K342" s="3443"/>
      <c r="L342" s="2472"/>
    </row>
    <row r="343" spans="1:12" ht="30" customHeight="1" x14ac:dyDescent="0.2">
      <c r="A343" s="2936">
        <v>223</v>
      </c>
      <c r="B343" s="2935" t="s">
        <v>85</v>
      </c>
      <c r="C343" s="2937" t="s">
        <v>1746</v>
      </c>
      <c r="D343" s="2434">
        <v>100000000</v>
      </c>
      <c r="E343" s="2437">
        <v>0.05</v>
      </c>
      <c r="F343" s="2434">
        <f t="shared" si="37"/>
        <v>5000000</v>
      </c>
      <c r="G343" s="2434">
        <v>5000000</v>
      </c>
      <c r="H343" s="2434" t="s">
        <v>4554</v>
      </c>
      <c r="I343" s="24" t="s">
        <v>3627</v>
      </c>
      <c r="J343" s="2434">
        <f t="shared" ref="J343:J350" si="43">G343</f>
        <v>5000000</v>
      </c>
      <c r="K343" s="2434">
        <f t="shared" ref="K343:K350" si="44">F343-J343</f>
        <v>0</v>
      </c>
      <c r="L343" s="2466"/>
    </row>
    <row r="344" spans="1:12" ht="30" customHeight="1" x14ac:dyDescent="0.2">
      <c r="A344" s="3450">
        <v>224</v>
      </c>
      <c r="B344" s="3457" t="s">
        <v>2757</v>
      </c>
      <c r="C344" s="3570"/>
      <c r="D344" s="3442">
        <v>10000000</v>
      </c>
      <c r="E344" s="3444">
        <v>0.05</v>
      </c>
      <c r="F344" s="3442">
        <f t="shared" si="37"/>
        <v>500000</v>
      </c>
      <c r="G344" s="2434"/>
      <c r="H344" s="2434"/>
      <c r="I344" s="24" t="s">
        <v>4073</v>
      </c>
      <c r="J344" s="2434">
        <f t="shared" si="43"/>
        <v>0</v>
      </c>
      <c r="K344" s="2434">
        <f t="shared" si="44"/>
        <v>500000</v>
      </c>
      <c r="L344" s="2466"/>
    </row>
    <row r="345" spans="1:12" ht="30" customHeight="1" x14ac:dyDescent="0.2">
      <c r="A345" s="3451"/>
      <c r="B345" s="3458"/>
      <c r="C345" s="3571"/>
      <c r="D345" s="3443"/>
      <c r="E345" s="3445"/>
      <c r="F345" s="3443"/>
      <c r="G345" s="2440"/>
      <c r="H345" s="2440"/>
      <c r="I345" s="61" t="s">
        <v>4073</v>
      </c>
      <c r="J345" s="2440">
        <f t="shared" si="43"/>
        <v>0</v>
      </c>
      <c r="K345" s="2440"/>
      <c r="L345" s="2428"/>
    </row>
    <row r="346" spans="1:12" ht="30" customHeight="1" x14ac:dyDescent="0.2">
      <c r="A346" s="2425">
        <v>226</v>
      </c>
      <c r="B346" s="2469" t="s">
        <v>88</v>
      </c>
      <c r="C346" s="2445" t="s">
        <v>916</v>
      </c>
      <c r="D346" s="2422">
        <v>410000000</v>
      </c>
      <c r="E346" s="2463">
        <v>0.06</v>
      </c>
      <c r="F346" s="2422">
        <f>D346*E346</f>
        <v>24600000</v>
      </c>
      <c r="G346" s="2422">
        <v>24600000</v>
      </c>
      <c r="H346" s="2422" t="s">
        <v>4480</v>
      </c>
      <c r="I346" s="2422" t="s">
        <v>2521</v>
      </c>
      <c r="J346" s="2422">
        <f t="shared" si="43"/>
        <v>24600000</v>
      </c>
      <c r="K346" s="2434">
        <f t="shared" si="44"/>
        <v>0</v>
      </c>
      <c r="L346" s="2432"/>
    </row>
    <row r="347" spans="1:12" ht="30" customHeight="1" x14ac:dyDescent="0.2">
      <c r="A347" s="3450">
        <v>227</v>
      </c>
      <c r="B347" s="3457" t="s">
        <v>89</v>
      </c>
      <c r="C347" s="3570" t="s">
        <v>916</v>
      </c>
      <c r="D347" s="3442">
        <v>20000000</v>
      </c>
      <c r="E347" s="3444">
        <v>0.05</v>
      </c>
      <c r="F347" s="3442">
        <f>D347*E347</f>
        <v>1000000</v>
      </c>
      <c r="G347" s="2434">
        <v>1000000</v>
      </c>
      <c r="H347" s="2434" t="s">
        <v>1236</v>
      </c>
      <c r="I347" s="21" t="s">
        <v>369</v>
      </c>
      <c r="J347" s="2434">
        <f t="shared" si="43"/>
        <v>1000000</v>
      </c>
      <c r="K347" s="2434">
        <f t="shared" si="44"/>
        <v>0</v>
      </c>
      <c r="L347" s="2333" t="s">
        <v>4550</v>
      </c>
    </row>
    <row r="348" spans="1:12" ht="30" customHeight="1" x14ac:dyDescent="0.2">
      <c r="A348" s="3451"/>
      <c r="B348" s="3458"/>
      <c r="C348" s="3571"/>
      <c r="D348" s="3443"/>
      <c r="E348" s="3445"/>
      <c r="F348" s="3443"/>
      <c r="G348" s="3151">
        <v>1000000</v>
      </c>
      <c r="H348" s="3151" t="s">
        <v>4536</v>
      </c>
      <c r="I348" s="21" t="s">
        <v>369</v>
      </c>
      <c r="J348" s="3151">
        <v>1000000</v>
      </c>
      <c r="K348" s="3151">
        <f>F347-J348</f>
        <v>0</v>
      </c>
      <c r="L348" s="2333" t="s">
        <v>4551</v>
      </c>
    </row>
    <row r="349" spans="1:12" ht="30" customHeight="1" x14ac:dyDescent="0.2">
      <c r="A349" s="2465">
        <v>228</v>
      </c>
      <c r="B349" s="2466" t="s">
        <v>90</v>
      </c>
      <c r="C349" s="2445" t="s">
        <v>1219</v>
      </c>
      <c r="D349" s="2434">
        <v>10000000</v>
      </c>
      <c r="E349" s="2463">
        <v>0.04</v>
      </c>
      <c r="F349" s="2434">
        <f t="shared" si="37"/>
        <v>400000</v>
      </c>
      <c r="G349" s="2434">
        <v>400000</v>
      </c>
      <c r="H349" s="2434" t="s">
        <v>4604</v>
      </c>
      <c r="I349" s="30" t="s">
        <v>426</v>
      </c>
      <c r="J349" s="2434">
        <f t="shared" si="43"/>
        <v>400000</v>
      </c>
      <c r="K349" s="2434">
        <f t="shared" si="44"/>
        <v>0</v>
      </c>
      <c r="L349" s="2466"/>
    </row>
    <row r="350" spans="1:12" ht="30" customHeight="1" x14ac:dyDescent="0.2">
      <c r="A350" s="2423">
        <v>229</v>
      </c>
      <c r="B350" s="2426" t="s">
        <v>91</v>
      </c>
      <c r="C350" s="2445" t="s">
        <v>916</v>
      </c>
      <c r="D350" s="2434">
        <v>52000000</v>
      </c>
      <c r="E350" s="2463">
        <v>0.05</v>
      </c>
      <c r="F350" s="2434">
        <f t="shared" si="37"/>
        <v>2600000</v>
      </c>
      <c r="G350" s="2434"/>
      <c r="H350" s="2434"/>
      <c r="I350" s="24" t="s">
        <v>4109</v>
      </c>
      <c r="J350" s="2434">
        <f t="shared" si="43"/>
        <v>0</v>
      </c>
      <c r="K350" s="2434">
        <f t="shared" si="44"/>
        <v>2600000</v>
      </c>
      <c r="L350" s="2466"/>
    </row>
    <row r="351" spans="1:12" ht="30" customHeight="1" x14ac:dyDescent="0.2">
      <c r="A351" s="3450"/>
      <c r="B351" s="3457" t="s">
        <v>92</v>
      </c>
      <c r="C351" s="3570" t="s">
        <v>1817</v>
      </c>
      <c r="D351" s="2422">
        <v>20000000</v>
      </c>
      <c r="E351" s="2463">
        <v>0.05</v>
      </c>
      <c r="F351" s="2422">
        <f t="shared" si="37"/>
        <v>1000000</v>
      </c>
      <c r="G351" s="2422"/>
      <c r="H351" s="2422"/>
      <c r="I351" s="2422" t="s">
        <v>459</v>
      </c>
      <c r="J351" s="2422">
        <f>G351</f>
        <v>0</v>
      </c>
      <c r="K351" s="2819">
        <v>0</v>
      </c>
      <c r="L351" s="1715"/>
    </row>
    <row r="352" spans="1:12" ht="30" customHeight="1" x14ac:dyDescent="0.2">
      <c r="A352" s="3456"/>
      <c r="B352" s="3459"/>
      <c r="C352" s="3576"/>
      <c r="D352" s="2422">
        <v>5000000</v>
      </c>
      <c r="E352" s="2463">
        <v>0.05</v>
      </c>
      <c r="F352" s="2422">
        <f t="shared" si="37"/>
        <v>250000</v>
      </c>
      <c r="G352" s="3442">
        <v>1750000</v>
      </c>
      <c r="H352" s="3442" t="s">
        <v>4554</v>
      </c>
      <c r="I352" s="3442" t="s">
        <v>4560</v>
      </c>
      <c r="J352" s="3442">
        <f>G352</f>
        <v>1750000</v>
      </c>
      <c r="K352" s="3442">
        <f>G352-J352</f>
        <v>0</v>
      </c>
      <c r="L352" s="1389"/>
    </row>
    <row r="353" spans="1:12" ht="30" customHeight="1" x14ac:dyDescent="0.2">
      <c r="A353" s="3456"/>
      <c r="B353" s="3459"/>
      <c r="C353" s="3576"/>
      <c r="D353" s="2434">
        <v>5000000</v>
      </c>
      <c r="E353" s="2463">
        <v>0.05</v>
      </c>
      <c r="F353" s="2422">
        <f t="shared" si="37"/>
        <v>250000</v>
      </c>
      <c r="G353" s="3461"/>
      <c r="H353" s="3461"/>
      <c r="I353" s="3461"/>
      <c r="J353" s="3461"/>
      <c r="K353" s="3461"/>
      <c r="L353" s="1389" t="s">
        <v>4561</v>
      </c>
    </row>
    <row r="354" spans="1:12" ht="30" customHeight="1" x14ac:dyDescent="0.2">
      <c r="A354" s="3451"/>
      <c r="B354" s="3458"/>
      <c r="C354" s="3571"/>
      <c r="D354" s="2434">
        <v>5000000</v>
      </c>
      <c r="E354" s="2463">
        <v>0.05</v>
      </c>
      <c r="F354" s="2422">
        <f t="shared" si="37"/>
        <v>250000</v>
      </c>
      <c r="G354" s="3443"/>
      <c r="H354" s="3443"/>
      <c r="I354" s="3443"/>
      <c r="J354" s="3443"/>
      <c r="K354" s="3443"/>
      <c r="L354" s="1389"/>
    </row>
    <row r="355" spans="1:12" ht="30" customHeight="1" x14ac:dyDescent="0.2">
      <c r="A355" s="2511">
        <v>231</v>
      </c>
      <c r="B355" s="2468" t="s">
        <v>93</v>
      </c>
      <c r="C355" s="2530" t="s">
        <v>1110</v>
      </c>
      <c r="D355" s="948">
        <v>20000000</v>
      </c>
      <c r="E355" s="2516">
        <v>4.4999999999999998E-2</v>
      </c>
      <c r="F355" s="2514">
        <f t="shared" ref="F355" si="45">D355*E355</f>
        <v>900000</v>
      </c>
      <c r="G355" s="2434">
        <v>1000000</v>
      </c>
      <c r="H355" s="2434" t="s">
        <v>4554</v>
      </c>
      <c r="I355" s="2504" t="s">
        <v>1846</v>
      </c>
      <c r="J355" s="2434">
        <f>G355</f>
        <v>1000000</v>
      </c>
      <c r="K355" s="2434">
        <f>F355-G355</f>
        <v>-100000</v>
      </c>
      <c r="L355" s="2333" t="s">
        <v>4567</v>
      </c>
    </row>
    <row r="356" spans="1:12" ht="30" customHeight="1" x14ac:dyDescent="0.2">
      <c r="A356" s="2465">
        <v>232</v>
      </c>
      <c r="B356" s="2466" t="s">
        <v>1695</v>
      </c>
      <c r="C356" s="2445" t="s">
        <v>1215</v>
      </c>
      <c r="D356" s="2434">
        <v>55000000</v>
      </c>
      <c r="E356" s="2463">
        <v>0.04</v>
      </c>
      <c r="F356" s="2434">
        <f t="shared" si="37"/>
        <v>2200000</v>
      </c>
      <c r="G356" s="2434">
        <v>2200000</v>
      </c>
      <c r="H356" s="2434" t="s">
        <v>4512</v>
      </c>
      <c r="I356" s="24" t="s">
        <v>4513</v>
      </c>
      <c r="J356" s="2434">
        <f t="shared" ref="J356:J368" si="46">G356</f>
        <v>2200000</v>
      </c>
      <c r="K356" s="2434">
        <f t="shared" ref="K356:K367" si="47">F356-J356</f>
        <v>0</v>
      </c>
      <c r="L356" s="2466"/>
    </row>
    <row r="357" spans="1:12" ht="30" customHeight="1" x14ac:dyDescent="0.2">
      <c r="A357" s="2465">
        <v>233</v>
      </c>
      <c r="B357" s="2466" t="s">
        <v>280</v>
      </c>
      <c r="C357" s="2445" t="s">
        <v>380</v>
      </c>
      <c r="D357" s="2434">
        <v>50000000</v>
      </c>
      <c r="E357" s="2463">
        <v>0.05</v>
      </c>
      <c r="F357" s="2434">
        <f t="shared" si="37"/>
        <v>2500000</v>
      </c>
      <c r="G357" s="2434"/>
      <c r="H357" s="2434"/>
      <c r="I357" s="24" t="s">
        <v>278</v>
      </c>
      <c r="J357" s="2434">
        <f t="shared" si="46"/>
        <v>0</v>
      </c>
      <c r="K357" s="2434">
        <f t="shared" si="47"/>
        <v>2500000</v>
      </c>
      <c r="L357" s="2333" t="s">
        <v>279</v>
      </c>
    </row>
    <row r="358" spans="1:12" ht="30" customHeight="1" x14ac:dyDescent="0.2">
      <c r="A358" s="2465">
        <v>234</v>
      </c>
      <c r="B358" s="2468" t="s">
        <v>95</v>
      </c>
      <c r="C358" s="2467" t="s">
        <v>1348</v>
      </c>
      <c r="D358" s="2422">
        <v>400000000</v>
      </c>
      <c r="E358" s="2463">
        <f>F358/D358</f>
        <v>5.2499999999999998E-2</v>
      </c>
      <c r="F358" s="2422">
        <v>21000000</v>
      </c>
      <c r="G358" s="2422">
        <v>21000000</v>
      </c>
      <c r="H358" s="2422" t="s">
        <v>4536</v>
      </c>
      <c r="I358" s="2470" t="s">
        <v>518</v>
      </c>
      <c r="J358" s="2422">
        <f t="shared" si="46"/>
        <v>21000000</v>
      </c>
      <c r="K358" s="2434">
        <f t="shared" si="47"/>
        <v>0</v>
      </c>
      <c r="L358" s="2471"/>
    </row>
    <row r="359" spans="1:12" ht="30" customHeight="1" x14ac:dyDescent="0.2">
      <c r="A359" s="3450">
        <v>235</v>
      </c>
      <c r="B359" s="3457" t="s">
        <v>96</v>
      </c>
      <c r="C359" s="3686" t="s">
        <v>1215</v>
      </c>
      <c r="D359" s="3442">
        <v>60000000</v>
      </c>
      <c r="E359" s="3444">
        <v>0.05</v>
      </c>
      <c r="F359" s="3442">
        <f t="shared" si="37"/>
        <v>3000000</v>
      </c>
      <c r="G359" s="3575">
        <v>3000000</v>
      </c>
      <c r="H359" s="3575" t="s">
        <v>1236</v>
      </c>
      <c r="I359" s="3546" t="s">
        <v>4535</v>
      </c>
      <c r="J359" s="3442">
        <f t="shared" si="46"/>
        <v>3000000</v>
      </c>
      <c r="K359" s="3442">
        <f t="shared" si="47"/>
        <v>0</v>
      </c>
      <c r="L359" s="683" t="s">
        <v>3710</v>
      </c>
    </row>
    <row r="360" spans="1:12" ht="30" customHeight="1" x14ac:dyDescent="0.2">
      <c r="A360" s="3456"/>
      <c r="B360" s="3458"/>
      <c r="C360" s="3686"/>
      <c r="D360" s="3443"/>
      <c r="E360" s="3445"/>
      <c r="F360" s="3443"/>
      <c r="G360" s="3575"/>
      <c r="H360" s="3575"/>
      <c r="I360" s="3548"/>
      <c r="J360" s="3443"/>
      <c r="K360" s="3443"/>
      <c r="L360" s="2472" t="s">
        <v>3519</v>
      </c>
    </row>
    <row r="361" spans="1:12" ht="30" customHeight="1" x14ac:dyDescent="0.2">
      <c r="A361" s="2465">
        <v>236</v>
      </c>
      <c r="B361" s="2466" t="s">
        <v>97</v>
      </c>
      <c r="C361" s="2445"/>
      <c r="D361" s="2434">
        <v>20000000</v>
      </c>
      <c r="E361" s="2463">
        <v>0.05</v>
      </c>
      <c r="F361" s="2434">
        <f>D361*E361</f>
        <v>1000000</v>
      </c>
      <c r="G361" s="2434">
        <v>1000000</v>
      </c>
      <c r="H361" s="2434" t="s">
        <v>4604</v>
      </c>
      <c r="I361" s="2455" t="s">
        <v>340</v>
      </c>
      <c r="J361" s="2434">
        <f t="shared" si="46"/>
        <v>1000000</v>
      </c>
      <c r="K361" s="2434">
        <f t="shared" si="47"/>
        <v>0</v>
      </c>
      <c r="L361" s="2333" t="s">
        <v>2819</v>
      </c>
    </row>
    <row r="362" spans="1:12" ht="30" customHeight="1" x14ac:dyDescent="0.2">
      <c r="A362" s="3450"/>
      <c r="B362" s="2428" t="s">
        <v>98</v>
      </c>
      <c r="C362" s="3570" t="s">
        <v>1817</v>
      </c>
      <c r="D362" s="2518">
        <v>55000000</v>
      </c>
      <c r="E362" s="2463">
        <v>0.05</v>
      </c>
      <c r="F362" s="2434">
        <f>D362*E362</f>
        <v>2750000</v>
      </c>
      <c r="G362" s="3442">
        <v>5250000</v>
      </c>
      <c r="H362" s="3442" t="s">
        <v>4554</v>
      </c>
      <c r="I362" s="3442" t="s">
        <v>4568</v>
      </c>
      <c r="J362" s="3442">
        <f>G362</f>
        <v>5250000</v>
      </c>
      <c r="K362" s="3442">
        <f>(F362+F363)-J362</f>
        <v>0</v>
      </c>
      <c r="L362" s="2432" t="s">
        <v>4020</v>
      </c>
    </row>
    <row r="363" spans="1:12" ht="30" customHeight="1" x14ac:dyDescent="0.2">
      <c r="A363" s="3451"/>
      <c r="B363" s="2428" t="s">
        <v>2137</v>
      </c>
      <c r="C363" s="3571"/>
      <c r="D363" s="2518">
        <v>50000000</v>
      </c>
      <c r="E363" s="2463">
        <v>0.05</v>
      </c>
      <c r="F363" s="2434">
        <f>D363*E363</f>
        <v>2500000</v>
      </c>
      <c r="G363" s="3443"/>
      <c r="H363" s="3443"/>
      <c r="I363" s="3443"/>
      <c r="J363" s="3443"/>
      <c r="K363" s="3443"/>
      <c r="L363" s="2432" t="s">
        <v>4020</v>
      </c>
    </row>
    <row r="364" spans="1:12" ht="30" customHeight="1" x14ac:dyDescent="0.2">
      <c r="A364" s="2425"/>
      <c r="B364" s="2428" t="s">
        <v>4148</v>
      </c>
      <c r="C364" s="2445" t="s">
        <v>265</v>
      </c>
      <c r="D364" s="2518">
        <v>10000000</v>
      </c>
      <c r="E364" s="2463">
        <v>0.05</v>
      </c>
      <c r="F364" s="2434">
        <f>D364*E364</f>
        <v>500000</v>
      </c>
      <c r="G364" s="2537"/>
      <c r="H364" s="2537"/>
      <c r="I364" s="2537"/>
      <c r="J364" s="2537"/>
      <c r="K364" s="2434"/>
      <c r="L364" s="2432" t="s">
        <v>4425</v>
      </c>
    </row>
    <row r="365" spans="1:12" ht="30" customHeight="1" x14ac:dyDescent="0.2">
      <c r="A365" s="2465">
        <v>238</v>
      </c>
      <c r="B365" s="2466" t="s">
        <v>99</v>
      </c>
      <c r="C365" s="2445" t="s">
        <v>1219</v>
      </c>
      <c r="D365" s="2434">
        <v>100000000</v>
      </c>
      <c r="E365" s="2463">
        <v>0.05</v>
      </c>
      <c r="F365" s="2434">
        <f t="shared" si="37"/>
        <v>5000000</v>
      </c>
      <c r="G365" s="2434">
        <v>5000000</v>
      </c>
      <c r="H365" s="2434" t="s">
        <v>4554</v>
      </c>
      <c r="I365" s="21" t="s">
        <v>3628</v>
      </c>
      <c r="J365" s="2434">
        <f t="shared" si="46"/>
        <v>5000000</v>
      </c>
      <c r="K365" s="2434">
        <f t="shared" si="47"/>
        <v>0</v>
      </c>
      <c r="L365" s="2466"/>
    </row>
    <row r="366" spans="1:12" ht="30" customHeight="1" x14ac:dyDescent="0.2">
      <c r="A366" s="2465">
        <v>239</v>
      </c>
      <c r="B366" s="2466" t="s">
        <v>100</v>
      </c>
      <c r="C366" s="2445" t="s">
        <v>380</v>
      </c>
      <c r="D366" s="2434">
        <v>50000000</v>
      </c>
      <c r="E366" s="2463">
        <v>0.05</v>
      </c>
      <c r="F366" s="2434">
        <f t="shared" si="37"/>
        <v>2500000</v>
      </c>
      <c r="G366" s="2434">
        <v>2500000</v>
      </c>
      <c r="H366" s="2434" t="s">
        <v>4630</v>
      </c>
      <c r="I366" s="24" t="s">
        <v>3121</v>
      </c>
      <c r="J366" s="2434">
        <f t="shared" si="46"/>
        <v>2500000</v>
      </c>
      <c r="K366" s="2434">
        <f t="shared" si="47"/>
        <v>0</v>
      </c>
      <c r="L366" s="2901" t="s">
        <v>4658</v>
      </c>
    </row>
    <row r="367" spans="1:12" ht="30" customHeight="1" x14ac:dyDescent="0.2">
      <c r="A367" s="2423">
        <v>240</v>
      </c>
      <c r="B367" s="2468" t="s">
        <v>2404</v>
      </c>
      <c r="C367" s="385" t="s">
        <v>1019</v>
      </c>
      <c r="D367" s="2433">
        <v>100000000</v>
      </c>
      <c r="E367" s="2435">
        <v>0.04</v>
      </c>
      <c r="F367" s="2433">
        <f t="shared" si="37"/>
        <v>4000000</v>
      </c>
      <c r="G367" s="2434"/>
      <c r="H367" s="2434"/>
      <c r="I367" s="24" t="s">
        <v>3914</v>
      </c>
      <c r="J367" s="2434">
        <f t="shared" si="46"/>
        <v>0</v>
      </c>
      <c r="K367" s="2434">
        <f t="shared" si="47"/>
        <v>4000000</v>
      </c>
      <c r="L367" s="2497"/>
    </row>
    <row r="368" spans="1:12" ht="30" customHeight="1" x14ac:dyDescent="0.2">
      <c r="A368" s="3450">
        <v>241</v>
      </c>
      <c r="B368" s="3457" t="s">
        <v>573</v>
      </c>
      <c r="C368" s="3570" t="s">
        <v>1909</v>
      </c>
      <c r="D368" s="2422">
        <v>20000000</v>
      </c>
      <c r="E368" s="2463">
        <v>7.0000000000000007E-2</v>
      </c>
      <c r="F368" s="2422">
        <f>D368*E368</f>
        <v>1400000.0000000002</v>
      </c>
      <c r="G368" s="3442">
        <v>2300000</v>
      </c>
      <c r="H368" s="3442" t="s">
        <v>4458</v>
      </c>
      <c r="I368" s="3586" t="s">
        <v>571</v>
      </c>
      <c r="J368" s="3442">
        <f t="shared" si="46"/>
        <v>2300000</v>
      </c>
      <c r="K368" s="3442">
        <f>(F368+F369)-J368</f>
        <v>0</v>
      </c>
      <c r="L368" s="3855" t="s">
        <v>4092</v>
      </c>
    </row>
    <row r="369" spans="1:14" ht="30" customHeight="1" x14ac:dyDescent="0.2">
      <c r="A369" s="3456"/>
      <c r="B369" s="3459"/>
      <c r="C369" s="3576"/>
      <c r="D369" s="2422">
        <v>10000000</v>
      </c>
      <c r="E369" s="2463">
        <v>0.09</v>
      </c>
      <c r="F369" s="2422">
        <f>D369*E369</f>
        <v>900000</v>
      </c>
      <c r="G369" s="3443"/>
      <c r="H369" s="3443"/>
      <c r="I369" s="3587"/>
      <c r="J369" s="3443"/>
      <c r="K369" s="3443"/>
      <c r="L369" s="3496"/>
    </row>
    <row r="370" spans="1:14" ht="30" customHeight="1" x14ac:dyDescent="0.2">
      <c r="A370" s="3456"/>
      <c r="B370" s="3459"/>
      <c r="C370" s="3576"/>
      <c r="D370" s="3273">
        <v>20000000</v>
      </c>
      <c r="E370" s="3279">
        <v>7.0000000000000007E-2</v>
      </c>
      <c r="F370" s="3273">
        <f>D370*E370</f>
        <v>1400000.0000000002</v>
      </c>
      <c r="G370" s="3442">
        <v>2300000</v>
      </c>
      <c r="H370" s="3442" t="s">
        <v>4942</v>
      </c>
      <c r="I370" s="3586" t="s">
        <v>571</v>
      </c>
      <c r="J370" s="3442">
        <f>G370</f>
        <v>2300000</v>
      </c>
      <c r="K370" s="3442">
        <f>(F370+F371)-J370</f>
        <v>0</v>
      </c>
      <c r="L370" s="3495" t="s">
        <v>4592</v>
      </c>
    </row>
    <row r="371" spans="1:14" ht="30" customHeight="1" x14ac:dyDescent="0.2">
      <c r="A371" s="3451"/>
      <c r="B371" s="3458"/>
      <c r="C371" s="3571"/>
      <c r="D371" s="3273">
        <v>10000000</v>
      </c>
      <c r="E371" s="3279">
        <v>0.09</v>
      </c>
      <c r="F371" s="3273">
        <f>D371*E371</f>
        <v>900000</v>
      </c>
      <c r="G371" s="3443"/>
      <c r="H371" s="3443"/>
      <c r="I371" s="3587"/>
      <c r="J371" s="3443"/>
      <c r="K371" s="3443"/>
      <c r="L371" s="3496"/>
    </row>
    <row r="372" spans="1:14" ht="30" customHeight="1" x14ac:dyDescent="0.2">
      <c r="A372" s="2465">
        <v>242</v>
      </c>
      <c r="B372" s="2466" t="s">
        <v>102</v>
      </c>
      <c r="C372" s="2445" t="s">
        <v>1746</v>
      </c>
      <c r="D372" s="2434">
        <v>140000000</v>
      </c>
      <c r="E372" s="2437">
        <v>4.4999999999999998E-2</v>
      </c>
      <c r="F372" s="2434">
        <f t="shared" si="37"/>
        <v>6300000</v>
      </c>
      <c r="G372" s="2434">
        <v>6300000</v>
      </c>
      <c r="H372" s="2434" t="s">
        <v>1236</v>
      </c>
      <c r="I372" s="24" t="s">
        <v>3629</v>
      </c>
      <c r="J372" s="2434">
        <f>G372</f>
        <v>6300000</v>
      </c>
      <c r="K372" s="2434">
        <f t="shared" ref="K372:K385" si="48">F372-J372</f>
        <v>0</v>
      </c>
      <c r="L372" s="2497"/>
    </row>
    <row r="373" spans="1:14" ht="30" customHeight="1" x14ac:dyDescent="0.2">
      <c r="A373" s="2465">
        <v>243</v>
      </c>
      <c r="B373" s="22" t="s">
        <v>519</v>
      </c>
      <c r="C373" s="2467" t="s">
        <v>265</v>
      </c>
      <c r="D373" s="2422">
        <v>20000000</v>
      </c>
      <c r="E373" s="2463">
        <v>0.04</v>
      </c>
      <c r="F373" s="2422">
        <f>D373*E373</f>
        <v>800000</v>
      </c>
      <c r="G373" s="2422">
        <v>800000</v>
      </c>
      <c r="H373" s="2422" t="s">
        <v>4604</v>
      </c>
      <c r="I373" s="2422" t="s">
        <v>3702</v>
      </c>
      <c r="J373" s="2422">
        <f>G373</f>
        <v>800000</v>
      </c>
      <c r="K373" s="2422">
        <f t="shared" si="48"/>
        <v>0</v>
      </c>
      <c r="L373" s="2497"/>
      <c r="M373" s="264"/>
      <c r="N373" s="264"/>
    </row>
    <row r="374" spans="1:14" ht="30" customHeight="1" x14ac:dyDescent="0.2">
      <c r="A374" s="2465">
        <v>244</v>
      </c>
      <c r="B374" s="2428" t="s">
        <v>103</v>
      </c>
      <c r="C374" s="2445" t="s">
        <v>380</v>
      </c>
      <c r="D374" s="2434">
        <v>50000000</v>
      </c>
      <c r="E374" s="2463">
        <v>0.05</v>
      </c>
      <c r="F374" s="2434">
        <f t="shared" si="37"/>
        <v>2500000</v>
      </c>
      <c r="G374" s="2434">
        <v>2500000</v>
      </c>
      <c r="H374" s="2434" t="s">
        <v>4554</v>
      </c>
      <c r="I374" s="24" t="s">
        <v>3666</v>
      </c>
      <c r="J374" s="2434">
        <f>G374</f>
        <v>2500000</v>
      </c>
      <c r="K374" s="2434">
        <f t="shared" si="48"/>
        <v>0</v>
      </c>
      <c r="L374" s="2466"/>
    </row>
    <row r="375" spans="1:14" ht="30" customHeight="1" x14ac:dyDescent="0.2">
      <c r="A375" s="2465">
        <v>245</v>
      </c>
      <c r="B375" s="2466" t="s">
        <v>4199</v>
      </c>
      <c r="C375" s="2445" t="s">
        <v>265</v>
      </c>
      <c r="D375" s="2434">
        <v>70000000</v>
      </c>
      <c r="E375" s="2463">
        <v>0.05</v>
      </c>
      <c r="F375" s="2434">
        <f t="shared" si="37"/>
        <v>3500000</v>
      </c>
      <c r="G375" s="2434">
        <v>5000000</v>
      </c>
      <c r="H375" s="2434" t="s">
        <v>4604</v>
      </c>
      <c r="I375" s="2458" t="s">
        <v>4205</v>
      </c>
      <c r="J375" s="2434">
        <f>G375</f>
        <v>5000000</v>
      </c>
      <c r="K375" s="2434">
        <f t="shared" si="48"/>
        <v>-1500000</v>
      </c>
      <c r="L375" s="2490" t="s">
        <v>4605</v>
      </c>
    </row>
    <row r="376" spans="1:14" ht="30" customHeight="1" x14ac:dyDescent="0.2">
      <c r="A376" s="2465">
        <v>246</v>
      </c>
      <c r="B376" s="2466" t="s">
        <v>105</v>
      </c>
      <c r="C376" s="2445" t="s">
        <v>265</v>
      </c>
      <c r="D376" s="2434">
        <v>85000000</v>
      </c>
      <c r="E376" s="2463">
        <v>5.0999999999999997E-2</v>
      </c>
      <c r="F376" s="2434">
        <v>4300000</v>
      </c>
      <c r="G376" s="2434">
        <v>4300000</v>
      </c>
      <c r="H376" s="2434" t="s">
        <v>4604</v>
      </c>
      <c r="I376" s="31" t="s">
        <v>2998</v>
      </c>
      <c r="J376" s="2434">
        <f t="shared" ref="J376:J387" si="49">G376</f>
        <v>4300000</v>
      </c>
      <c r="K376" s="2434">
        <f t="shared" si="48"/>
        <v>0</v>
      </c>
      <c r="L376" s="2466"/>
    </row>
    <row r="377" spans="1:14" ht="30" customHeight="1" x14ac:dyDescent="0.2">
      <c r="A377" s="2465">
        <v>247</v>
      </c>
      <c r="B377" s="2466" t="s">
        <v>106</v>
      </c>
      <c r="C377" s="2445" t="s">
        <v>265</v>
      </c>
      <c r="D377" s="2434">
        <v>220000000</v>
      </c>
      <c r="E377" s="2463">
        <v>7.0000000000000007E-2</v>
      </c>
      <c r="F377" s="2434">
        <f t="shared" si="37"/>
        <v>15400000.000000002</v>
      </c>
      <c r="G377" s="2434">
        <v>15400000</v>
      </c>
      <c r="H377" s="2434" t="s">
        <v>4604</v>
      </c>
      <c r="I377" s="24" t="s">
        <v>4232</v>
      </c>
      <c r="J377" s="2434">
        <f t="shared" si="49"/>
        <v>15400000</v>
      </c>
      <c r="K377" s="2434">
        <f t="shared" si="48"/>
        <v>0</v>
      </c>
      <c r="L377" s="2497" t="s">
        <v>347</v>
      </c>
      <c r="M377" s="911"/>
      <c r="N377" s="912"/>
    </row>
    <row r="378" spans="1:14" ht="30" customHeight="1" x14ac:dyDescent="0.2">
      <c r="A378" s="3450">
        <v>250</v>
      </c>
      <c r="B378" s="3457" t="s">
        <v>109</v>
      </c>
      <c r="C378" s="3570"/>
      <c r="D378" s="2434">
        <v>200000000</v>
      </c>
      <c r="E378" s="2463">
        <v>0.04</v>
      </c>
      <c r="F378" s="2434">
        <f t="shared" si="37"/>
        <v>8000000</v>
      </c>
      <c r="G378" s="3442">
        <v>20500000</v>
      </c>
      <c r="H378" s="3442" t="s">
        <v>4579</v>
      </c>
      <c r="I378" s="3684" t="s">
        <v>1268</v>
      </c>
      <c r="J378" s="3442">
        <f t="shared" si="49"/>
        <v>20500000</v>
      </c>
      <c r="K378" s="3442">
        <f>(F378+F379)-J378</f>
        <v>0</v>
      </c>
      <c r="L378" s="2466"/>
    </row>
    <row r="379" spans="1:14" ht="30" customHeight="1" x14ac:dyDescent="0.2">
      <c r="A379" s="3451"/>
      <c r="B379" s="3458"/>
      <c r="C379" s="3571"/>
      <c r="D379" s="2434">
        <v>250000000</v>
      </c>
      <c r="E379" s="2463">
        <v>0.05</v>
      </c>
      <c r="F379" s="2434">
        <f t="shared" si="37"/>
        <v>12500000</v>
      </c>
      <c r="G379" s="3443"/>
      <c r="H379" s="3443"/>
      <c r="I379" s="3685"/>
      <c r="J379" s="3443"/>
      <c r="K379" s="3443"/>
      <c r="L379" s="2537"/>
    </row>
    <row r="380" spans="1:14" ht="30" customHeight="1" x14ac:dyDescent="0.2">
      <c r="A380" s="3450">
        <v>251</v>
      </c>
      <c r="B380" s="3457" t="s">
        <v>1944</v>
      </c>
      <c r="C380" s="3570" t="s">
        <v>379</v>
      </c>
      <c r="D380" s="3090">
        <v>90000000</v>
      </c>
      <c r="E380" s="3101">
        <v>0.06</v>
      </c>
      <c r="F380" s="3090">
        <f t="shared" si="37"/>
        <v>5400000</v>
      </c>
      <c r="G380" s="3090">
        <v>5400000</v>
      </c>
      <c r="H380" s="3575" t="s">
        <v>4617</v>
      </c>
      <c r="I380" s="3670" t="s">
        <v>4618</v>
      </c>
      <c r="J380" s="3090">
        <f t="shared" si="49"/>
        <v>5400000</v>
      </c>
      <c r="K380" s="3090">
        <f t="shared" si="48"/>
        <v>0</v>
      </c>
      <c r="L380" s="3105"/>
    </row>
    <row r="381" spans="1:14" ht="30" customHeight="1" x14ac:dyDescent="0.2">
      <c r="A381" s="3456"/>
      <c r="B381" s="3459"/>
      <c r="C381" s="3576"/>
      <c r="D381" s="3090">
        <v>100000000</v>
      </c>
      <c r="E381" s="3101">
        <v>7.0000000000000007E-2</v>
      </c>
      <c r="F381" s="3090">
        <f t="shared" si="37"/>
        <v>7000000.0000000009</v>
      </c>
      <c r="G381" s="3090">
        <v>7000000</v>
      </c>
      <c r="H381" s="3575"/>
      <c r="I381" s="3670"/>
      <c r="J381" s="3090">
        <f t="shared" si="49"/>
        <v>7000000</v>
      </c>
      <c r="K381" s="3090">
        <f t="shared" si="48"/>
        <v>0</v>
      </c>
      <c r="L381" s="3097"/>
    </row>
    <row r="382" spans="1:14" ht="30" customHeight="1" x14ac:dyDescent="0.2">
      <c r="A382" s="3451"/>
      <c r="B382" s="3458"/>
      <c r="C382" s="3571"/>
      <c r="D382" s="3092">
        <v>40000000</v>
      </c>
      <c r="E382" s="3093">
        <v>7.0000000000000007E-2</v>
      </c>
      <c r="F382" s="3092">
        <f t="shared" si="37"/>
        <v>2800000.0000000005</v>
      </c>
      <c r="G382" s="3478" t="s">
        <v>4807</v>
      </c>
      <c r="H382" s="3479"/>
      <c r="I382" s="3479"/>
      <c r="J382" s="3480"/>
      <c r="K382" s="3092"/>
      <c r="L382" s="3097"/>
    </row>
    <row r="383" spans="1:14" ht="30" customHeight="1" x14ac:dyDescent="0.2">
      <c r="A383" s="3035"/>
      <c r="B383" s="3032" t="s">
        <v>4765</v>
      </c>
      <c r="C383" s="385"/>
      <c r="D383" s="3020">
        <v>150000000</v>
      </c>
      <c r="E383" s="3026"/>
      <c r="F383" s="3025"/>
      <c r="G383" s="3013"/>
      <c r="H383" s="3015"/>
      <c r="I383" s="588"/>
      <c r="J383" s="3027"/>
      <c r="K383" s="3025"/>
      <c r="L383" s="3030" t="s">
        <v>4766</v>
      </c>
    </row>
    <row r="384" spans="1:14" ht="30" customHeight="1" x14ac:dyDescent="0.2">
      <c r="A384" s="3035"/>
      <c r="B384" s="3032" t="s">
        <v>4769</v>
      </c>
      <c r="C384" s="385"/>
      <c r="D384" s="3020"/>
      <c r="E384" s="3026"/>
      <c r="F384" s="3025"/>
      <c r="G384" s="3013"/>
      <c r="H384" s="3015"/>
      <c r="I384" s="588"/>
      <c r="J384" s="3027"/>
      <c r="K384" s="3025"/>
      <c r="L384" s="3030"/>
    </row>
    <row r="385" spans="1:15" ht="30" customHeight="1" x14ac:dyDescent="0.2">
      <c r="A385" s="3450">
        <v>252</v>
      </c>
      <c r="B385" s="3457" t="s">
        <v>111</v>
      </c>
      <c r="C385" s="3570" t="s">
        <v>265</v>
      </c>
      <c r="D385" s="2434">
        <v>270000000</v>
      </c>
      <c r="E385" s="2437">
        <v>0.05</v>
      </c>
      <c r="F385" s="2434">
        <f>D385*E385</f>
        <v>13500000</v>
      </c>
      <c r="G385" s="3769" t="s">
        <v>4432</v>
      </c>
      <c r="H385" s="3770"/>
      <c r="I385" s="3770"/>
      <c r="J385" s="3771"/>
      <c r="K385" s="2434">
        <f t="shared" si="48"/>
        <v>13500000</v>
      </c>
      <c r="L385" s="2426"/>
    </row>
    <row r="386" spans="1:15" ht="30" customHeight="1" x14ac:dyDescent="0.2">
      <c r="A386" s="3451"/>
      <c r="B386" s="3458"/>
      <c r="C386" s="3571"/>
      <c r="D386" s="2824">
        <v>70000000</v>
      </c>
      <c r="E386" s="2821">
        <v>0.05</v>
      </c>
      <c r="F386" s="2824">
        <f>D386*E386</f>
        <v>3500000</v>
      </c>
      <c r="G386" s="3478" t="s">
        <v>4578</v>
      </c>
      <c r="H386" s="3479"/>
      <c r="I386" s="3479"/>
      <c r="J386" s="3480"/>
      <c r="K386" s="2823"/>
      <c r="L386" s="2834" t="s">
        <v>4577</v>
      </c>
    </row>
    <row r="387" spans="1:15" ht="30" customHeight="1" x14ac:dyDescent="0.2">
      <c r="A387" s="3450">
        <v>253</v>
      </c>
      <c r="B387" s="3457" t="s">
        <v>112</v>
      </c>
      <c r="C387" s="3570" t="s">
        <v>265</v>
      </c>
      <c r="D387" s="2434">
        <v>20000000</v>
      </c>
      <c r="E387" s="2463">
        <v>0.05</v>
      </c>
      <c r="F387" s="2434">
        <f t="shared" si="37"/>
        <v>1000000</v>
      </c>
      <c r="G387" s="3442">
        <v>2000000</v>
      </c>
      <c r="H387" s="3442" t="s">
        <v>4604</v>
      </c>
      <c r="I387" s="3589" t="s">
        <v>3675</v>
      </c>
      <c r="J387" s="3442">
        <f t="shared" si="49"/>
        <v>2000000</v>
      </c>
      <c r="K387" s="3442">
        <f>(F387+F388)-J387</f>
        <v>0</v>
      </c>
      <c r="L387" s="2498" t="s">
        <v>1975</v>
      </c>
      <c r="M387" s="1228"/>
      <c r="N387" s="1228"/>
      <c r="O387" s="1228"/>
    </row>
    <row r="388" spans="1:15" ht="30" customHeight="1" x14ac:dyDescent="0.2">
      <c r="A388" s="3451"/>
      <c r="B388" s="3458"/>
      <c r="C388" s="3571"/>
      <c r="D388" s="2434">
        <v>20000000</v>
      </c>
      <c r="E388" s="2463">
        <v>0.05</v>
      </c>
      <c r="F388" s="2434">
        <f t="shared" si="37"/>
        <v>1000000</v>
      </c>
      <c r="G388" s="3443"/>
      <c r="H388" s="3443"/>
      <c r="I388" s="3591"/>
      <c r="J388" s="3443"/>
      <c r="K388" s="3443"/>
      <c r="L388" s="2498" t="s">
        <v>1989</v>
      </c>
      <c r="M388" s="264"/>
      <c r="N388" s="264"/>
      <c r="O388" s="264"/>
    </row>
    <row r="389" spans="1:15" ht="30" customHeight="1" x14ac:dyDescent="0.2">
      <c r="A389" s="3450">
        <v>254</v>
      </c>
      <c r="B389" s="3525" t="s">
        <v>2013</v>
      </c>
      <c r="C389" s="3570" t="s">
        <v>379</v>
      </c>
      <c r="D389" s="2434">
        <v>175000000</v>
      </c>
      <c r="E389" s="2463">
        <v>0.05</v>
      </c>
      <c r="F389" s="2434">
        <f t="shared" si="37"/>
        <v>8750000</v>
      </c>
      <c r="G389" s="2422">
        <v>8750000</v>
      </c>
      <c r="H389" s="2422" t="s">
        <v>4604</v>
      </c>
      <c r="I389" s="2422" t="s">
        <v>3081</v>
      </c>
      <c r="J389" s="2434">
        <f>G389</f>
        <v>8750000</v>
      </c>
      <c r="K389" s="2434">
        <f>F389-J389</f>
        <v>0</v>
      </c>
      <c r="L389" s="2498" t="s">
        <v>4092</v>
      </c>
      <c r="M389" s="1716"/>
      <c r="N389" s="1716"/>
      <c r="O389" s="1716"/>
    </row>
    <row r="390" spans="1:15" ht="30" customHeight="1" x14ac:dyDescent="0.2">
      <c r="A390" s="3456"/>
      <c r="B390" s="3643"/>
      <c r="C390" s="3576"/>
      <c r="D390" s="2838">
        <v>155000000</v>
      </c>
      <c r="E390" s="2840">
        <v>0.05</v>
      </c>
      <c r="F390" s="2838">
        <f t="shared" si="37"/>
        <v>7750000</v>
      </c>
      <c r="G390" s="3478" t="s">
        <v>4583</v>
      </c>
      <c r="H390" s="3479"/>
      <c r="I390" s="3479"/>
      <c r="J390" s="3480"/>
      <c r="K390" s="2838"/>
      <c r="L390" s="2842"/>
      <c r="M390" s="264"/>
      <c r="N390" s="264"/>
      <c r="O390" s="264"/>
    </row>
    <row r="391" spans="1:15" ht="30" customHeight="1" x14ac:dyDescent="0.2">
      <c r="A391" s="3456"/>
      <c r="B391" s="3643"/>
      <c r="C391" s="3576"/>
      <c r="D391" s="3297">
        <v>90000000</v>
      </c>
      <c r="E391" s="3306">
        <v>0.05</v>
      </c>
      <c r="F391" s="3297">
        <f t="shared" si="37"/>
        <v>4500000</v>
      </c>
      <c r="G391" s="3386" t="s">
        <v>4961</v>
      </c>
      <c r="H391" s="3656"/>
      <c r="I391" s="3656"/>
      <c r="J391" s="3657"/>
      <c r="K391" s="3297"/>
      <c r="L391" s="3311"/>
      <c r="M391" s="264"/>
      <c r="N391" s="264"/>
      <c r="O391" s="264"/>
    </row>
    <row r="392" spans="1:15" ht="30" customHeight="1" x14ac:dyDescent="0.2">
      <c r="A392" s="3451"/>
      <c r="B392" s="3526"/>
      <c r="C392" s="3571"/>
      <c r="D392" s="3312">
        <f>D391+D390</f>
        <v>245000000</v>
      </c>
      <c r="E392" s="949">
        <v>0.05</v>
      </c>
      <c r="F392" s="3312"/>
      <c r="G392" s="3299"/>
      <c r="H392" s="3301"/>
      <c r="I392" s="3294"/>
      <c r="J392" s="3300"/>
      <c r="K392" s="3297"/>
      <c r="L392" s="3311"/>
      <c r="M392" s="264"/>
      <c r="N392" s="264"/>
      <c r="O392" s="264"/>
    </row>
    <row r="393" spans="1:15" ht="30" customHeight="1" x14ac:dyDescent="0.2">
      <c r="A393" s="3450">
        <v>255</v>
      </c>
      <c r="B393" s="3457" t="s">
        <v>115</v>
      </c>
      <c r="C393" s="3570" t="s">
        <v>265</v>
      </c>
      <c r="D393" s="2434">
        <v>40000000</v>
      </c>
      <c r="E393" s="2463">
        <v>0.05</v>
      </c>
      <c r="F393" s="2434">
        <f t="shared" si="37"/>
        <v>2000000</v>
      </c>
      <c r="G393" s="2434">
        <v>2000000</v>
      </c>
      <c r="H393" s="2434" t="s">
        <v>4604</v>
      </c>
      <c r="I393" s="21" t="s">
        <v>3676</v>
      </c>
      <c r="J393" s="2434">
        <f>G393</f>
        <v>2000000</v>
      </c>
      <c r="K393" s="2434">
        <f>F393-J393</f>
        <v>0</v>
      </c>
      <c r="L393" s="2466"/>
    </row>
    <row r="394" spans="1:15" ht="30" customHeight="1" x14ac:dyDescent="0.2">
      <c r="A394" s="3451"/>
      <c r="B394" s="3458"/>
      <c r="C394" s="3571"/>
      <c r="D394" s="2838">
        <v>20000000</v>
      </c>
      <c r="E394" s="2840">
        <v>0.05</v>
      </c>
      <c r="F394" s="2838">
        <f t="shared" si="37"/>
        <v>1000000</v>
      </c>
      <c r="G394" s="3478" t="s">
        <v>4584</v>
      </c>
      <c r="H394" s="3479"/>
      <c r="I394" s="3479"/>
      <c r="J394" s="3480"/>
      <c r="K394" s="2838"/>
      <c r="L394" s="2841"/>
    </row>
    <row r="395" spans="1:15" ht="30" customHeight="1" x14ac:dyDescent="0.2">
      <c r="A395" s="2465">
        <v>256</v>
      </c>
      <c r="B395" s="2466" t="s">
        <v>116</v>
      </c>
      <c r="C395" s="2445" t="s">
        <v>379</v>
      </c>
      <c r="D395" s="2434">
        <v>100000000</v>
      </c>
      <c r="E395" s="2463">
        <v>0.05</v>
      </c>
      <c r="F395" s="2434">
        <f t="shared" si="37"/>
        <v>5000000</v>
      </c>
      <c r="G395" s="2434">
        <v>5000000</v>
      </c>
      <c r="H395" s="2434" t="s">
        <v>4604</v>
      </c>
      <c r="I395" s="21" t="s">
        <v>4608</v>
      </c>
      <c r="J395" s="2434">
        <f>G395</f>
        <v>5000000</v>
      </c>
      <c r="K395" s="2434">
        <f>F395-J395</f>
        <v>0</v>
      </c>
      <c r="L395" s="2466"/>
    </row>
    <row r="396" spans="1:15" ht="30" customHeight="1" x14ac:dyDescent="0.2">
      <c r="A396" s="2465">
        <v>257</v>
      </c>
      <c r="B396" s="2466" t="s">
        <v>117</v>
      </c>
      <c r="C396" s="2445" t="s">
        <v>1347</v>
      </c>
      <c r="D396" s="2434">
        <v>30000000</v>
      </c>
      <c r="E396" s="2463">
        <v>0.05</v>
      </c>
      <c r="F396" s="2434">
        <f t="shared" si="37"/>
        <v>1500000</v>
      </c>
      <c r="G396" s="2434">
        <v>1500000</v>
      </c>
      <c r="H396" s="2434" t="s">
        <v>4617</v>
      </c>
      <c r="I396" s="24" t="s">
        <v>492</v>
      </c>
      <c r="J396" s="2434">
        <f>G396</f>
        <v>1500000</v>
      </c>
      <c r="K396" s="2434">
        <f>F396-J396</f>
        <v>0</v>
      </c>
      <c r="L396" s="2466"/>
    </row>
    <row r="397" spans="1:15" ht="30" customHeight="1" x14ac:dyDescent="0.2">
      <c r="A397" s="2465">
        <v>258</v>
      </c>
      <c r="B397" s="2466" t="s">
        <v>876</v>
      </c>
      <c r="C397" s="2445" t="s">
        <v>265</v>
      </c>
      <c r="D397" s="2434">
        <v>12000000</v>
      </c>
      <c r="E397" s="2463">
        <v>0.05</v>
      </c>
      <c r="F397" s="2434">
        <f t="shared" si="37"/>
        <v>600000</v>
      </c>
      <c r="G397" s="3442">
        <v>1600000</v>
      </c>
      <c r="H397" s="3442" t="s">
        <v>2604</v>
      </c>
      <c r="I397" s="3586" t="s">
        <v>485</v>
      </c>
      <c r="J397" s="3442">
        <f>G397</f>
        <v>1600000</v>
      </c>
      <c r="K397" s="3442">
        <f>(F397+F398)-J397</f>
        <v>0</v>
      </c>
      <c r="L397" s="3525"/>
    </row>
    <row r="398" spans="1:15" ht="30" customHeight="1" x14ac:dyDescent="0.2">
      <c r="A398" s="2465">
        <v>259</v>
      </c>
      <c r="B398" s="2466" t="s">
        <v>159</v>
      </c>
      <c r="C398" s="2445" t="s">
        <v>265</v>
      </c>
      <c r="D398" s="2434">
        <v>20000000</v>
      </c>
      <c r="E398" s="2463">
        <v>0.05</v>
      </c>
      <c r="F398" s="2434">
        <f>D398*E398</f>
        <v>1000000</v>
      </c>
      <c r="G398" s="3443"/>
      <c r="H398" s="3443"/>
      <c r="I398" s="3587"/>
      <c r="J398" s="3443"/>
      <c r="K398" s="3443"/>
      <c r="L398" s="3526"/>
    </row>
    <row r="399" spans="1:15" ht="30" customHeight="1" x14ac:dyDescent="0.2">
      <c r="A399" s="3450">
        <v>261</v>
      </c>
      <c r="B399" s="3457" t="s">
        <v>120</v>
      </c>
      <c r="C399" s="2445" t="s">
        <v>1355</v>
      </c>
      <c r="D399" s="2434">
        <v>10500000</v>
      </c>
      <c r="E399" s="2463">
        <v>0.05</v>
      </c>
      <c r="F399" s="2434">
        <f t="shared" si="37"/>
        <v>525000</v>
      </c>
      <c r="G399" s="3575">
        <v>1872500</v>
      </c>
      <c r="H399" s="3442" t="s">
        <v>4458</v>
      </c>
      <c r="I399" s="3586" t="s">
        <v>3809</v>
      </c>
      <c r="J399" s="3442">
        <f t="shared" ref="J399:J404" si="50">G399</f>
        <v>1872500</v>
      </c>
      <c r="K399" s="3442">
        <v>0</v>
      </c>
      <c r="L399" s="3629" t="s">
        <v>4467</v>
      </c>
    </row>
    <row r="400" spans="1:15" ht="30" customHeight="1" x14ac:dyDescent="0.2">
      <c r="A400" s="3456"/>
      <c r="B400" s="3459"/>
      <c r="C400" s="3570" t="s">
        <v>3458</v>
      </c>
      <c r="D400" s="2434">
        <v>10000000</v>
      </c>
      <c r="E400" s="2463">
        <v>7.0000000000000007E-2</v>
      </c>
      <c r="F400" s="2434">
        <f>D400*E400</f>
        <v>700000.00000000012</v>
      </c>
      <c r="G400" s="3575"/>
      <c r="H400" s="3461"/>
      <c r="I400" s="3979"/>
      <c r="J400" s="3461"/>
      <c r="K400" s="3461"/>
      <c r="L400" s="3980"/>
    </row>
    <row r="401" spans="1:12" ht="30" customHeight="1" x14ac:dyDescent="0.2">
      <c r="A401" s="3456"/>
      <c r="B401" s="3459"/>
      <c r="C401" s="3576"/>
      <c r="D401" s="2434">
        <v>5000000</v>
      </c>
      <c r="E401" s="2463">
        <v>7.0000000000000007E-2</v>
      </c>
      <c r="F401" s="2434">
        <f>D401*E401</f>
        <v>350000.00000000006</v>
      </c>
      <c r="G401" s="3575"/>
      <c r="H401" s="3443"/>
      <c r="I401" s="3587"/>
      <c r="J401" s="3443"/>
      <c r="K401" s="3443"/>
      <c r="L401" s="3630"/>
    </row>
    <row r="402" spans="1:12" ht="30" customHeight="1" x14ac:dyDescent="0.2">
      <c r="A402" s="3125"/>
      <c r="B402" s="3126"/>
      <c r="C402" s="3571"/>
      <c r="D402" s="3144">
        <v>25500000</v>
      </c>
      <c r="E402" s="949"/>
      <c r="F402" s="3144">
        <f>SUM(F399:F401)</f>
        <v>1575000</v>
      </c>
      <c r="G402" s="3127"/>
      <c r="H402" s="3120"/>
      <c r="I402" s="3131"/>
      <c r="J402" s="3120"/>
      <c r="K402" s="3120"/>
      <c r="L402" s="3133"/>
    </row>
    <row r="403" spans="1:12" ht="30" customHeight="1" x14ac:dyDescent="0.2">
      <c r="A403" s="2465">
        <v>263</v>
      </c>
      <c r="B403" s="22" t="s">
        <v>586</v>
      </c>
      <c r="C403" s="2467"/>
      <c r="D403" s="2422">
        <v>105000000</v>
      </c>
      <c r="E403" s="2463">
        <v>5.8000000000000003E-2</v>
      </c>
      <c r="F403" s="2422">
        <v>6000000</v>
      </c>
      <c r="G403" s="2422">
        <v>6000000</v>
      </c>
      <c r="H403" s="2422" t="s">
        <v>4003</v>
      </c>
      <c r="I403" s="2422" t="s">
        <v>461</v>
      </c>
      <c r="J403" s="2422">
        <f t="shared" si="50"/>
        <v>6000000</v>
      </c>
      <c r="K403" s="2422">
        <f>F403-J403</f>
        <v>0</v>
      </c>
      <c r="L403" s="2475" t="s">
        <v>3614</v>
      </c>
    </row>
    <row r="404" spans="1:12" ht="30" customHeight="1" x14ac:dyDescent="0.2">
      <c r="A404" s="2425">
        <v>264</v>
      </c>
      <c r="B404" s="2428" t="s">
        <v>122</v>
      </c>
      <c r="C404" s="2445" t="s">
        <v>265</v>
      </c>
      <c r="D404" s="2434">
        <v>50000000</v>
      </c>
      <c r="E404" s="2437">
        <f>F404/D404</f>
        <v>0.06</v>
      </c>
      <c r="F404" s="2434">
        <v>3000000</v>
      </c>
      <c r="G404" s="2434">
        <v>3000000</v>
      </c>
      <c r="H404" s="2870" t="s">
        <v>4604</v>
      </c>
      <c r="I404" s="28" t="s">
        <v>3701</v>
      </c>
      <c r="J404" s="2434">
        <f t="shared" si="50"/>
        <v>3000000</v>
      </c>
      <c r="K404" s="2434">
        <f>F404-J404</f>
        <v>0</v>
      </c>
      <c r="L404" s="2498" t="s">
        <v>3998</v>
      </c>
    </row>
    <row r="405" spans="1:12" ht="30" customHeight="1" x14ac:dyDescent="0.2">
      <c r="A405" s="3450">
        <v>265</v>
      </c>
      <c r="B405" s="3687" t="s">
        <v>124</v>
      </c>
      <c r="C405" s="3686" t="s">
        <v>265</v>
      </c>
      <c r="D405" s="3442">
        <v>1000000000</v>
      </c>
      <c r="E405" s="3444">
        <v>7.0000000000000007E-2</v>
      </c>
      <c r="F405" s="3442">
        <f>D405*E405</f>
        <v>70000000</v>
      </c>
      <c r="G405" s="3325" t="s">
        <v>4573</v>
      </c>
      <c r="H405" s="3340"/>
      <c r="I405" s="3341"/>
      <c r="J405" s="3575">
        <f>42000000+G406</f>
        <v>42000000</v>
      </c>
      <c r="K405" s="3442">
        <f>F405-J405</f>
        <v>28000000</v>
      </c>
      <c r="L405" s="2475" t="s">
        <v>3418</v>
      </c>
    </row>
    <row r="406" spans="1:12" ht="30" customHeight="1" x14ac:dyDescent="0.2">
      <c r="A406" s="3456"/>
      <c r="B406" s="3687"/>
      <c r="C406" s="3686"/>
      <c r="D406" s="3443"/>
      <c r="E406" s="3445"/>
      <c r="F406" s="3443"/>
      <c r="G406" s="2824"/>
      <c r="H406" s="2824"/>
      <c r="I406" s="2824" t="s">
        <v>3425</v>
      </c>
      <c r="J406" s="3575"/>
      <c r="K406" s="3443"/>
      <c r="L406" s="1594"/>
    </row>
    <row r="407" spans="1:12" ht="30" customHeight="1" x14ac:dyDescent="0.2">
      <c r="A407" s="2465">
        <v>266</v>
      </c>
      <c r="B407" s="2428" t="s">
        <v>2038</v>
      </c>
      <c r="C407" s="2445"/>
      <c r="D407" s="2434">
        <v>80000000</v>
      </c>
      <c r="E407" s="2437">
        <v>4.4999999999999998E-2</v>
      </c>
      <c r="F407" s="2434">
        <f t="shared" ref="F407:F484" si="51">D407*E407</f>
        <v>3600000</v>
      </c>
      <c r="G407" s="2434">
        <v>3600000</v>
      </c>
      <c r="H407" s="2434" t="s">
        <v>4604</v>
      </c>
      <c r="I407" s="21" t="s">
        <v>4206</v>
      </c>
      <c r="J407" s="2434">
        <f>G407</f>
        <v>3600000</v>
      </c>
      <c r="K407" s="2434">
        <f>F407-J407</f>
        <v>0</v>
      </c>
      <c r="L407" s="2466"/>
    </row>
    <row r="408" spans="1:12" ht="30" customHeight="1" x14ac:dyDescent="0.2">
      <c r="A408" s="3450">
        <v>267</v>
      </c>
      <c r="B408" s="3457" t="s">
        <v>508</v>
      </c>
      <c r="C408" s="3570" t="s">
        <v>379</v>
      </c>
      <c r="D408" s="3442">
        <v>300000000</v>
      </c>
      <c r="E408" s="3444">
        <v>0.04</v>
      </c>
      <c r="F408" s="3442">
        <f>D408*E408</f>
        <v>12000000</v>
      </c>
      <c r="G408" s="3442">
        <v>12000000</v>
      </c>
      <c r="H408" s="3442" t="s">
        <v>4604</v>
      </c>
      <c r="I408" s="3442" t="s">
        <v>3717</v>
      </c>
      <c r="J408" s="3442">
        <f>G408</f>
        <v>12000000</v>
      </c>
      <c r="K408" s="3442">
        <f>F408-J408</f>
        <v>0</v>
      </c>
      <c r="L408" s="2475" t="s">
        <v>3026</v>
      </c>
    </row>
    <row r="409" spans="1:12" ht="30" customHeight="1" x14ac:dyDescent="0.2">
      <c r="A409" s="3451"/>
      <c r="B409" s="3458"/>
      <c r="C409" s="3571"/>
      <c r="D409" s="3443"/>
      <c r="E409" s="3445"/>
      <c r="F409" s="3443"/>
      <c r="G409" s="3443"/>
      <c r="H409" s="3443"/>
      <c r="I409" s="3443"/>
      <c r="J409" s="3443"/>
      <c r="K409" s="3443"/>
      <c r="L409" s="2475" t="s">
        <v>3516</v>
      </c>
    </row>
    <row r="410" spans="1:12" ht="30" customHeight="1" x14ac:dyDescent="0.2">
      <c r="A410" s="2465">
        <v>268</v>
      </c>
      <c r="B410" s="2466" t="s">
        <v>400</v>
      </c>
      <c r="C410" s="2445" t="s">
        <v>401</v>
      </c>
      <c r="D410" s="2434">
        <v>130000000</v>
      </c>
      <c r="E410" s="2463">
        <v>4.4999999999999998E-2</v>
      </c>
      <c r="F410" s="2434">
        <f t="shared" si="51"/>
        <v>5850000</v>
      </c>
      <c r="G410" s="2434">
        <v>5850000</v>
      </c>
      <c r="H410" s="2434" t="s">
        <v>1236</v>
      </c>
      <c r="I410" s="21" t="s">
        <v>3654</v>
      </c>
      <c r="J410" s="2434">
        <f>G410</f>
        <v>5850000</v>
      </c>
      <c r="K410" s="2434">
        <f>F410-J410</f>
        <v>0</v>
      </c>
      <c r="L410" s="2466"/>
    </row>
    <row r="411" spans="1:12" ht="30" customHeight="1" x14ac:dyDescent="0.2">
      <c r="A411" s="3450">
        <v>269</v>
      </c>
      <c r="B411" s="3457" t="s">
        <v>126</v>
      </c>
      <c r="C411" s="3570" t="s">
        <v>265</v>
      </c>
      <c r="D411" s="2434">
        <v>300000000</v>
      </c>
      <c r="E411" s="2463">
        <v>0.05</v>
      </c>
      <c r="F411" s="2434">
        <f t="shared" si="51"/>
        <v>15000000</v>
      </c>
      <c r="G411" s="3769" t="s">
        <v>4432</v>
      </c>
      <c r="H411" s="3770"/>
      <c r="I411" s="3770"/>
      <c r="J411" s="3771"/>
      <c r="K411" s="2434">
        <f>F411-J411</f>
        <v>15000000</v>
      </c>
      <c r="L411" s="2466"/>
    </row>
    <row r="412" spans="1:12" ht="30" customHeight="1" x14ac:dyDescent="0.2">
      <c r="A412" s="3456"/>
      <c r="B412" s="3459"/>
      <c r="C412" s="3576"/>
      <c r="D412" s="2540">
        <v>5000000</v>
      </c>
      <c r="E412" s="2543"/>
      <c r="F412" s="2540"/>
      <c r="G412" s="3316"/>
      <c r="H412" s="3768"/>
      <c r="I412" s="3768"/>
      <c r="J412" s="3351"/>
      <c r="K412" s="2540"/>
      <c r="L412" s="2544"/>
    </row>
    <row r="413" spans="1:12" ht="30" customHeight="1" x14ac:dyDescent="0.2">
      <c r="A413" s="3456"/>
      <c r="B413" s="3459"/>
      <c r="C413" s="3576"/>
      <c r="D413" s="2540">
        <v>180000000</v>
      </c>
      <c r="E413" s="2543"/>
      <c r="F413" s="2540"/>
      <c r="G413" s="24"/>
      <c r="H413" s="588"/>
      <c r="I413" s="588"/>
      <c r="J413" s="2617"/>
      <c r="K413" s="2540"/>
      <c r="L413" s="2544"/>
    </row>
    <row r="414" spans="1:12" ht="30" customHeight="1" x14ac:dyDescent="0.2">
      <c r="A414" s="3451"/>
      <c r="B414" s="3458"/>
      <c r="C414" s="3571"/>
      <c r="D414" s="2540">
        <v>500000000</v>
      </c>
      <c r="E414" s="2543">
        <v>0.06</v>
      </c>
      <c r="F414" s="2540">
        <f>D414*E414</f>
        <v>30000000</v>
      </c>
      <c r="G414" s="3769" t="s">
        <v>4431</v>
      </c>
      <c r="H414" s="3770"/>
      <c r="I414" s="3770"/>
      <c r="J414" s="3771"/>
      <c r="K414" s="2540"/>
      <c r="L414" s="2544"/>
    </row>
    <row r="415" spans="1:12" ht="28.5" customHeight="1" x14ac:dyDescent="0.2">
      <c r="A415" s="2465">
        <v>270</v>
      </c>
      <c r="B415" s="2466" t="s">
        <v>127</v>
      </c>
      <c r="C415" s="2445"/>
      <c r="D415" s="2434">
        <v>20000000</v>
      </c>
      <c r="E415" s="2463">
        <v>5.5E-2</v>
      </c>
      <c r="F415" s="2434">
        <f t="shared" si="51"/>
        <v>1100000</v>
      </c>
      <c r="G415" s="2434">
        <v>1200000</v>
      </c>
      <c r="H415" s="2434" t="s">
        <v>4604</v>
      </c>
      <c r="I415" s="24" t="s">
        <v>503</v>
      </c>
      <c r="J415" s="2434">
        <f>G415</f>
        <v>1200000</v>
      </c>
      <c r="K415" s="2434">
        <f>F415-J415</f>
        <v>-100000</v>
      </c>
      <c r="L415" s="2497" t="s">
        <v>4223</v>
      </c>
    </row>
    <row r="416" spans="1:12" ht="30" customHeight="1" x14ac:dyDescent="0.2">
      <c r="A416" s="3450">
        <v>271</v>
      </c>
      <c r="B416" s="3457" t="s">
        <v>128</v>
      </c>
      <c r="C416" s="2467" t="s">
        <v>367</v>
      </c>
      <c r="D416" s="2422">
        <v>40000000</v>
      </c>
      <c r="E416" s="2463">
        <v>5.5E-2</v>
      </c>
      <c r="F416" s="2422">
        <f t="shared" si="51"/>
        <v>2200000</v>
      </c>
      <c r="G416" s="2422">
        <v>2200000</v>
      </c>
      <c r="H416" s="2422" t="s">
        <v>4604</v>
      </c>
      <c r="I416" s="21" t="s">
        <v>4614</v>
      </c>
      <c r="J416" s="2422">
        <f>G416</f>
        <v>2200000</v>
      </c>
      <c r="K416" s="2422">
        <f>F416-J416</f>
        <v>0</v>
      </c>
      <c r="L416" s="2466"/>
    </row>
    <row r="417" spans="1:15" ht="30" customHeight="1" x14ac:dyDescent="0.2">
      <c r="A417" s="3456"/>
      <c r="B417" s="3459"/>
      <c r="C417" s="3570" t="s">
        <v>1909</v>
      </c>
      <c r="D417" s="2434">
        <v>10000000</v>
      </c>
      <c r="E417" s="2437">
        <v>0.05</v>
      </c>
      <c r="F417" s="2434">
        <f t="shared" si="51"/>
        <v>500000</v>
      </c>
      <c r="G417" s="3442">
        <v>1000000</v>
      </c>
      <c r="H417" s="3442" t="s">
        <v>4942</v>
      </c>
      <c r="I417" s="3442" t="s">
        <v>4614</v>
      </c>
      <c r="J417" s="3442">
        <f>G417</f>
        <v>1000000</v>
      </c>
      <c r="K417" s="3442">
        <f>(F417+F418)-J417</f>
        <v>0</v>
      </c>
      <c r="L417" s="3815" t="s">
        <v>4795</v>
      </c>
      <c r="M417" s="2412"/>
      <c r="N417" s="2412"/>
      <c r="O417" s="2412"/>
    </row>
    <row r="418" spans="1:15" ht="30" customHeight="1" x14ac:dyDescent="0.2">
      <c r="A418" s="3451"/>
      <c r="B418" s="3458"/>
      <c r="C418" s="3571"/>
      <c r="D418" s="2434">
        <v>10000000</v>
      </c>
      <c r="E418" s="2437">
        <v>0.05</v>
      </c>
      <c r="F418" s="2434">
        <f t="shared" si="51"/>
        <v>500000</v>
      </c>
      <c r="G418" s="3443"/>
      <c r="H418" s="3443"/>
      <c r="I418" s="3443"/>
      <c r="J418" s="3443"/>
      <c r="K418" s="3443"/>
      <c r="L418" s="3815"/>
      <c r="M418" s="264"/>
      <c r="N418" s="264"/>
      <c r="O418" s="264"/>
    </row>
    <row r="419" spans="1:15" ht="30" customHeight="1" x14ac:dyDescent="0.2">
      <c r="A419" s="3450"/>
      <c r="B419" s="3687" t="s">
        <v>2658</v>
      </c>
      <c r="C419" s="3570" t="s">
        <v>1342</v>
      </c>
      <c r="D419" s="2500">
        <v>495000000</v>
      </c>
      <c r="E419" s="2494">
        <v>5.5E-2</v>
      </c>
      <c r="F419" s="2500">
        <f>D419*E419</f>
        <v>27225000</v>
      </c>
      <c r="G419" s="3858"/>
      <c r="H419" s="3858"/>
      <c r="I419" s="3858"/>
      <c r="J419" s="3858"/>
      <c r="K419" s="3442">
        <f>F423-J423</f>
        <v>-15000</v>
      </c>
      <c r="L419" s="3627"/>
    </row>
    <row r="420" spans="1:15" ht="30" customHeight="1" x14ac:dyDescent="0.2">
      <c r="A420" s="3456"/>
      <c r="B420" s="3687"/>
      <c r="C420" s="3576"/>
      <c r="D420" s="2500">
        <v>65000000</v>
      </c>
      <c r="E420" s="2494">
        <v>0.06</v>
      </c>
      <c r="F420" s="2500">
        <f>D420*E420</f>
        <v>3900000</v>
      </c>
      <c r="G420" s="3858"/>
      <c r="H420" s="3858"/>
      <c r="I420" s="3858"/>
      <c r="J420" s="3858"/>
      <c r="K420" s="3461"/>
      <c r="L420" s="3668"/>
    </row>
    <row r="421" spans="1:15" ht="30" customHeight="1" x14ac:dyDescent="0.2">
      <c r="A421" s="3456"/>
      <c r="B421" s="3687"/>
      <c r="C421" s="3576"/>
      <c r="D421" s="2500">
        <v>246000000</v>
      </c>
      <c r="E421" s="2494">
        <v>0.06</v>
      </c>
      <c r="F421" s="2500">
        <f>D421*E421</f>
        <v>14760000</v>
      </c>
      <c r="G421" s="3858"/>
      <c r="H421" s="3858"/>
      <c r="I421" s="3858"/>
      <c r="J421" s="3858"/>
      <c r="K421" s="3461"/>
      <c r="L421" s="3668"/>
    </row>
    <row r="422" spans="1:15" ht="30" customHeight="1" x14ac:dyDescent="0.2">
      <c r="A422" s="3456"/>
      <c r="B422" s="3687"/>
      <c r="C422" s="3576"/>
      <c r="D422" s="3819" t="s">
        <v>1899</v>
      </c>
      <c r="E422" s="3820"/>
      <c r="F422" s="2500">
        <v>1300000</v>
      </c>
      <c r="G422" s="3858"/>
      <c r="H422" s="3858"/>
      <c r="I422" s="3858"/>
      <c r="J422" s="3858"/>
      <c r="K422" s="3461"/>
      <c r="L422" s="3668"/>
    </row>
    <row r="423" spans="1:15" ht="30" customHeight="1" x14ac:dyDescent="0.2">
      <c r="A423" s="3456"/>
      <c r="B423" s="3687"/>
      <c r="C423" s="3576"/>
      <c r="D423" s="3881">
        <f>D419+D420+D421</f>
        <v>806000000</v>
      </c>
      <c r="E423" s="3883"/>
      <c r="F423" s="3454">
        <f>F419+F420+F421+F422</f>
        <v>47185000</v>
      </c>
      <c r="G423" s="3586">
        <v>47200000</v>
      </c>
      <c r="H423" s="3586" t="s">
        <v>4630</v>
      </c>
      <c r="I423" s="3586" t="s">
        <v>841</v>
      </c>
      <c r="J423" s="3586">
        <f>G423+G424</f>
        <v>47200000</v>
      </c>
      <c r="K423" s="3461"/>
      <c r="L423" s="3668"/>
    </row>
    <row r="424" spans="1:15" ht="30" customHeight="1" x14ac:dyDescent="0.2">
      <c r="A424" s="3456"/>
      <c r="B424" s="3687"/>
      <c r="C424" s="3576"/>
      <c r="D424" s="3884"/>
      <c r="E424" s="3886"/>
      <c r="F424" s="3455"/>
      <c r="G424" s="3587"/>
      <c r="H424" s="3587"/>
      <c r="I424" s="3587"/>
      <c r="J424" s="3587"/>
      <c r="K424" s="3443"/>
      <c r="L424" s="3628"/>
    </row>
    <row r="425" spans="1:15" ht="30" customHeight="1" x14ac:dyDescent="0.2">
      <c r="A425" s="2465">
        <v>273</v>
      </c>
      <c r="B425" s="2466" t="s">
        <v>130</v>
      </c>
      <c r="C425" s="2467" t="s">
        <v>1346</v>
      </c>
      <c r="D425" s="2434">
        <v>20000000</v>
      </c>
      <c r="E425" s="2463">
        <v>0.05</v>
      </c>
      <c r="F425" s="2434">
        <f t="shared" si="51"/>
        <v>1000000</v>
      </c>
      <c r="G425" s="2434">
        <v>1000000</v>
      </c>
      <c r="H425" s="2434" t="s">
        <v>4630</v>
      </c>
      <c r="I425" s="24" t="s">
        <v>3801</v>
      </c>
      <c r="J425" s="2434">
        <f>G425</f>
        <v>1000000</v>
      </c>
      <c r="K425" s="2434">
        <f>F425-J425</f>
        <v>0</v>
      </c>
      <c r="L425" s="2466"/>
    </row>
    <row r="426" spans="1:15" ht="30" customHeight="1" x14ac:dyDescent="0.2">
      <c r="A426" s="3450">
        <v>274</v>
      </c>
      <c r="B426" s="2468" t="s">
        <v>131</v>
      </c>
      <c r="C426" s="385"/>
      <c r="D426" s="2434">
        <v>50000000</v>
      </c>
      <c r="E426" s="2463">
        <v>0.05</v>
      </c>
      <c r="F426" s="2434">
        <f>D426*E426</f>
        <v>2500000</v>
      </c>
      <c r="G426" s="2434"/>
      <c r="H426" s="2434"/>
      <c r="I426" s="24" t="s">
        <v>397</v>
      </c>
      <c r="J426" s="2434">
        <f>G426</f>
        <v>0</v>
      </c>
      <c r="K426" s="2434">
        <f>F426-J426</f>
        <v>2500000</v>
      </c>
      <c r="L426" s="171"/>
    </row>
    <row r="427" spans="1:15" ht="30" customHeight="1" x14ac:dyDescent="0.2">
      <c r="A427" s="3451"/>
      <c r="B427" s="2469"/>
      <c r="C427" s="756"/>
      <c r="D427" s="2434">
        <v>50000000</v>
      </c>
      <c r="E427" s="2463">
        <v>0.05</v>
      </c>
      <c r="F427" s="2434">
        <f>D427*E427</f>
        <v>2500000</v>
      </c>
      <c r="G427" s="247"/>
      <c r="H427" s="247"/>
      <c r="I427" s="247"/>
      <c r="J427" s="247"/>
      <c r="K427" s="2434"/>
      <c r="L427" s="2497" t="s">
        <v>3521</v>
      </c>
    </row>
    <row r="428" spans="1:15" ht="30" customHeight="1" x14ac:dyDescent="0.2">
      <c r="A428" s="2465">
        <v>275</v>
      </c>
      <c r="B428" s="2466" t="s">
        <v>132</v>
      </c>
      <c r="C428" s="2445" t="s">
        <v>1346</v>
      </c>
      <c r="D428" s="2434">
        <v>130000000</v>
      </c>
      <c r="E428" s="2463">
        <v>0.05</v>
      </c>
      <c r="F428" s="2434">
        <f t="shared" si="51"/>
        <v>6500000</v>
      </c>
      <c r="G428" s="2434">
        <v>6500000</v>
      </c>
      <c r="H428" s="2434" t="s">
        <v>4630</v>
      </c>
      <c r="I428" s="24" t="s">
        <v>2310</v>
      </c>
      <c r="J428" s="2434">
        <f>G428</f>
        <v>6500000</v>
      </c>
      <c r="K428" s="2434">
        <f>F428-J428</f>
        <v>0</v>
      </c>
      <c r="L428" s="2466"/>
    </row>
    <row r="429" spans="1:15" ht="30" customHeight="1" x14ac:dyDescent="0.2">
      <c r="A429" s="3450">
        <v>276</v>
      </c>
      <c r="B429" s="3457" t="s">
        <v>133</v>
      </c>
      <c r="C429" s="3570"/>
      <c r="D429" s="3442">
        <v>95000000</v>
      </c>
      <c r="E429" s="3444">
        <v>5.2999999999999999E-2</v>
      </c>
      <c r="F429" s="3442">
        <v>5000000</v>
      </c>
      <c r="G429" s="2434">
        <v>5000000</v>
      </c>
      <c r="H429" s="2434" t="s">
        <v>4630</v>
      </c>
      <c r="I429" s="24" t="s">
        <v>3639</v>
      </c>
      <c r="J429" s="2900">
        <f>G429</f>
        <v>5000000</v>
      </c>
      <c r="K429" s="2900">
        <f>F429-J429</f>
        <v>0</v>
      </c>
      <c r="L429" s="813"/>
    </row>
    <row r="430" spans="1:15" ht="30" customHeight="1" x14ac:dyDescent="0.2">
      <c r="A430" s="3451"/>
      <c r="B430" s="3458"/>
      <c r="C430" s="3571"/>
      <c r="D430" s="3443"/>
      <c r="E430" s="3445"/>
      <c r="F430" s="3443"/>
      <c r="G430" s="3316" t="s">
        <v>4660</v>
      </c>
      <c r="H430" s="3768"/>
      <c r="I430" s="3351"/>
      <c r="J430" s="2900"/>
      <c r="K430" s="2900"/>
      <c r="L430" s="813" t="s">
        <v>1398</v>
      </c>
    </row>
    <row r="431" spans="1:15" ht="30" customHeight="1" x14ac:dyDescent="0.2">
      <c r="A431" s="2511">
        <v>277</v>
      </c>
      <c r="B431" s="2512" t="s">
        <v>134</v>
      </c>
      <c r="C431" s="2526" t="s">
        <v>2983</v>
      </c>
      <c r="D431" s="2517">
        <v>200000000</v>
      </c>
      <c r="E431" s="2515">
        <v>0.05</v>
      </c>
      <c r="F431" s="2517">
        <f t="shared" si="51"/>
        <v>10000000</v>
      </c>
      <c r="G431" s="2517">
        <v>10000000</v>
      </c>
      <c r="H431" s="2517" t="s">
        <v>4003</v>
      </c>
      <c r="I431" s="427" t="s">
        <v>4625</v>
      </c>
      <c r="J431" s="2517">
        <f>G431</f>
        <v>10000000</v>
      </c>
      <c r="K431" s="2517">
        <f>F431-J431</f>
        <v>0</v>
      </c>
      <c r="L431" s="2512"/>
    </row>
    <row r="432" spans="1:15" s="1593" customFormat="1" ht="30" customHeight="1" x14ac:dyDescent="0.2">
      <c r="A432" s="2511">
        <v>278</v>
      </c>
      <c r="B432" s="22" t="s">
        <v>634</v>
      </c>
      <c r="C432" s="2925" t="s">
        <v>3142</v>
      </c>
      <c r="D432" s="2510">
        <v>30000000</v>
      </c>
      <c r="E432" s="2528">
        <v>4.4999999999999998E-2</v>
      </c>
      <c r="F432" s="2510">
        <f t="shared" si="51"/>
        <v>1350000</v>
      </c>
      <c r="G432" s="2510">
        <v>1350000</v>
      </c>
      <c r="H432" s="2510" t="s">
        <v>3138</v>
      </c>
      <c r="I432" s="2532" t="s">
        <v>2192</v>
      </c>
      <c r="J432" s="2966">
        <f>G432</f>
        <v>1350000</v>
      </c>
      <c r="K432" s="2966">
        <f>F432-J432</f>
        <v>0</v>
      </c>
      <c r="L432" s="2533"/>
    </row>
    <row r="433" spans="1:12" ht="30" customHeight="1" x14ac:dyDescent="0.2">
      <c r="A433" s="2465">
        <v>279</v>
      </c>
      <c r="B433" s="2466" t="s">
        <v>135</v>
      </c>
      <c r="C433" s="2445" t="s">
        <v>411</v>
      </c>
      <c r="D433" s="2434">
        <v>11000000</v>
      </c>
      <c r="E433" s="2463">
        <v>4.4999999999999998E-2</v>
      </c>
      <c r="F433" s="2434">
        <v>500000</v>
      </c>
      <c r="G433" s="2434">
        <v>500000</v>
      </c>
      <c r="H433" s="2434" t="s">
        <v>1236</v>
      </c>
      <c r="I433" s="24" t="s">
        <v>3808</v>
      </c>
      <c r="J433" s="2434">
        <f t="shared" ref="J433:J440" si="52">G433</f>
        <v>500000</v>
      </c>
      <c r="K433" s="2434">
        <f t="shared" ref="K433:K440" si="53">F433-J433</f>
        <v>0</v>
      </c>
      <c r="L433" s="2466"/>
    </row>
    <row r="434" spans="1:12" ht="30" customHeight="1" x14ac:dyDescent="0.2">
      <c r="A434" s="2465">
        <v>280</v>
      </c>
      <c r="B434" s="2116" t="s">
        <v>468</v>
      </c>
      <c r="C434" s="421"/>
      <c r="D434" s="2422">
        <v>20000000</v>
      </c>
      <c r="E434" s="2463">
        <v>0.05</v>
      </c>
      <c r="F434" s="2422">
        <f t="shared" si="51"/>
        <v>1000000</v>
      </c>
      <c r="G434" s="2422">
        <v>1000000</v>
      </c>
      <c r="H434" s="2422" t="s">
        <v>4756</v>
      </c>
      <c r="I434" s="2422" t="s">
        <v>3894</v>
      </c>
      <c r="J434" s="2422">
        <f t="shared" si="52"/>
        <v>1000000</v>
      </c>
      <c r="K434" s="2422">
        <f t="shared" si="53"/>
        <v>0</v>
      </c>
      <c r="L434" s="1077" t="s">
        <v>3232</v>
      </c>
    </row>
    <row r="435" spans="1:12" ht="30" customHeight="1" x14ac:dyDescent="0.2">
      <c r="A435" s="2425">
        <v>281</v>
      </c>
      <c r="B435" s="2468" t="s">
        <v>136</v>
      </c>
      <c r="C435" s="2445" t="s">
        <v>1345</v>
      </c>
      <c r="D435" s="2434">
        <v>40000000</v>
      </c>
      <c r="E435" s="2437">
        <v>0.05</v>
      </c>
      <c r="F435" s="2434">
        <f t="shared" si="51"/>
        <v>2000000</v>
      </c>
      <c r="G435" s="2434">
        <v>2000000</v>
      </c>
      <c r="H435" s="2434" t="s">
        <v>4003</v>
      </c>
      <c r="I435" s="2434" t="s">
        <v>3817</v>
      </c>
      <c r="J435" s="2434">
        <f t="shared" si="52"/>
        <v>2000000</v>
      </c>
      <c r="K435" s="2434">
        <f t="shared" si="53"/>
        <v>0</v>
      </c>
      <c r="L435" s="2466"/>
    </row>
    <row r="436" spans="1:12" ht="30" customHeight="1" x14ac:dyDescent="0.2">
      <c r="A436" s="2465">
        <v>282</v>
      </c>
      <c r="B436" s="2466" t="s">
        <v>1054</v>
      </c>
      <c r="C436" s="2445" t="s">
        <v>379</v>
      </c>
      <c r="D436" s="2434">
        <v>20000000</v>
      </c>
      <c r="E436" s="2463">
        <v>0.04</v>
      </c>
      <c r="F436" s="2434">
        <f t="shared" si="51"/>
        <v>800000</v>
      </c>
      <c r="G436" s="2434">
        <v>800000</v>
      </c>
      <c r="H436" s="2434" t="s">
        <v>4604</v>
      </c>
      <c r="I436" s="2476" t="s">
        <v>2584</v>
      </c>
      <c r="J436" s="2434">
        <f t="shared" si="52"/>
        <v>800000</v>
      </c>
      <c r="K436" s="2434">
        <f t="shared" si="53"/>
        <v>0</v>
      </c>
      <c r="L436" s="2466"/>
    </row>
    <row r="437" spans="1:12" ht="30" customHeight="1" x14ac:dyDescent="0.2">
      <c r="A437" s="3693"/>
      <c r="B437" s="3677" t="s">
        <v>137</v>
      </c>
      <c r="C437" s="3570" t="s">
        <v>1349</v>
      </c>
      <c r="D437" s="2434">
        <v>50110000</v>
      </c>
      <c r="E437" s="2437">
        <v>0.05</v>
      </c>
      <c r="F437" s="2434">
        <f>D437*E437</f>
        <v>2505500</v>
      </c>
      <c r="G437" s="2422">
        <v>2505500</v>
      </c>
      <c r="H437" s="2422" t="s">
        <v>2604</v>
      </c>
      <c r="I437" s="2422" t="s">
        <v>646</v>
      </c>
      <c r="J437" s="2433">
        <f t="shared" si="52"/>
        <v>2505500</v>
      </c>
      <c r="K437" s="2433">
        <f t="shared" si="53"/>
        <v>0</v>
      </c>
      <c r="L437" s="813"/>
    </row>
    <row r="438" spans="1:12" ht="30" customHeight="1" x14ac:dyDescent="0.2">
      <c r="A438" s="3693"/>
      <c r="B438" s="3678"/>
      <c r="C438" s="3576"/>
      <c r="D438" s="2903">
        <v>3230000</v>
      </c>
      <c r="E438" s="2904">
        <v>0.05</v>
      </c>
      <c r="F438" s="2903">
        <f>D438*E438</f>
        <v>161500</v>
      </c>
      <c r="G438" s="2900"/>
      <c r="H438" s="2900"/>
      <c r="I438" s="2900"/>
      <c r="J438" s="2902"/>
      <c r="K438" s="2902"/>
      <c r="L438" s="813" t="s">
        <v>4652</v>
      </c>
    </row>
    <row r="439" spans="1:12" ht="30" customHeight="1" x14ac:dyDescent="0.2">
      <c r="A439" s="3693"/>
      <c r="B439" s="3679"/>
      <c r="C439" s="3571"/>
      <c r="D439" s="948">
        <f>D437+D438</f>
        <v>53340000</v>
      </c>
      <c r="E439" s="2929">
        <v>0.05</v>
      </c>
      <c r="F439" s="948">
        <f>D439*E439</f>
        <v>2667000</v>
      </c>
      <c r="G439" s="2900"/>
      <c r="H439" s="2900"/>
      <c r="I439" s="2900"/>
      <c r="J439" s="2902"/>
      <c r="K439" s="2902"/>
      <c r="L439" s="813"/>
    </row>
    <row r="440" spans="1:12" ht="30" customHeight="1" x14ac:dyDescent="0.2">
      <c r="A440" s="2424"/>
      <c r="B440" s="2529" t="s">
        <v>4389</v>
      </c>
      <c r="C440" s="2444"/>
      <c r="D440" s="2434">
        <v>67000000</v>
      </c>
      <c r="E440" s="2437">
        <v>0.05</v>
      </c>
      <c r="F440" s="2434">
        <f>D440*E440</f>
        <v>3350000</v>
      </c>
      <c r="G440" s="2510">
        <v>2232000</v>
      </c>
      <c r="H440" s="2510" t="s">
        <v>4480</v>
      </c>
      <c r="I440" s="2510" t="s">
        <v>4505</v>
      </c>
      <c r="J440" s="2510">
        <f t="shared" si="52"/>
        <v>2232000</v>
      </c>
      <c r="K440" s="2433">
        <f t="shared" si="53"/>
        <v>1118000</v>
      </c>
      <c r="L440" s="813" t="s">
        <v>4390</v>
      </c>
    </row>
    <row r="441" spans="1:12" ht="30" customHeight="1" x14ac:dyDescent="0.2">
      <c r="A441" s="3450"/>
      <c r="B441" s="3457" t="s">
        <v>1197</v>
      </c>
      <c r="C441" s="3570"/>
      <c r="D441" s="2487">
        <v>100000000</v>
      </c>
      <c r="E441" s="2091">
        <v>4.4999999999999998E-2</v>
      </c>
      <c r="F441" s="1596">
        <f t="shared" si="51"/>
        <v>4500000</v>
      </c>
      <c r="G441" s="3806" t="s">
        <v>3916</v>
      </c>
      <c r="H441" s="3807"/>
      <c r="I441" s="3807"/>
      <c r="J441" s="3808"/>
      <c r="K441" s="3442"/>
      <c r="L441" s="813"/>
    </row>
    <row r="442" spans="1:12" ht="30" customHeight="1" x14ac:dyDescent="0.2">
      <c r="A442" s="3456"/>
      <c r="B442" s="3459"/>
      <c r="C442" s="3576"/>
      <c r="D442" s="2487">
        <v>60000000</v>
      </c>
      <c r="E442" s="2091">
        <v>0.05</v>
      </c>
      <c r="F442" s="1596">
        <f t="shared" si="51"/>
        <v>3000000</v>
      </c>
      <c r="G442" s="3809"/>
      <c r="H442" s="3810"/>
      <c r="I442" s="3810"/>
      <c r="J442" s="3811"/>
      <c r="K442" s="3461"/>
      <c r="L442" s="1389"/>
    </row>
    <row r="443" spans="1:12" ht="30" customHeight="1" x14ac:dyDescent="0.2">
      <c r="A443" s="3456"/>
      <c r="B443" s="3459"/>
      <c r="C443" s="3576"/>
      <c r="D443" s="2487">
        <v>30000000</v>
      </c>
      <c r="E443" s="2091">
        <v>0.05</v>
      </c>
      <c r="F443" s="1596">
        <f t="shared" si="51"/>
        <v>1500000</v>
      </c>
      <c r="G443" s="3809"/>
      <c r="H443" s="3810"/>
      <c r="I443" s="3810"/>
      <c r="J443" s="3811"/>
      <c r="K443" s="3461"/>
      <c r="L443" s="1389" t="s">
        <v>4841</v>
      </c>
    </row>
    <row r="444" spans="1:12" ht="30" customHeight="1" x14ac:dyDescent="0.2">
      <c r="A444" s="3456"/>
      <c r="B444" s="3459"/>
      <c r="C444" s="3576"/>
      <c r="D444" s="2487">
        <v>40000000</v>
      </c>
      <c r="E444" s="2091">
        <v>0.05</v>
      </c>
      <c r="F444" s="1596">
        <f t="shared" si="51"/>
        <v>2000000</v>
      </c>
      <c r="G444" s="3812"/>
      <c r="H444" s="3813"/>
      <c r="I444" s="3813"/>
      <c r="J444" s="3814"/>
      <c r="K444" s="3443"/>
      <c r="L444" s="1389" t="s">
        <v>4841</v>
      </c>
    </row>
    <row r="445" spans="1:12" ht="30" customHeight="1" x14ac:dyDescent="0.2">
      <c r="A445" s="3451"/>
      <c r="B445" s="3458"/>
      <c r="C445" s="3571"/>
      <c r="D445" s="2487"/>
      <c r="E445" s="2091"/>
      <c r="F445" s="1596">
        <f>SUM(F441:F444)</f>
        <v>11000000</v>
      </c>
      <c r="G445" s="2434">
        <v>11000000</v>
      </c>
      <c r="H445" s="2422" t="s">
        <v>4617</v>
      </c>
      <c r="I445" s="2422" t="s">
        <v>2345</v>
      </c>
      <c r="J445" s="2422">
        <f>G445</f>
        <v>11000000</v>
      </c>
      <c r="K445" s="2434">
        <f>F445-J445</f>
        <v>0</v>
      </c>
      <c r="L445" s="567"/>
    </row>
    <row r="446" spans="1:12" ht="30" customHeight="1" x14ac:dyDescent="0.2">
      <c r="A446" s="3450">
        <v>285</v>
      </c>
      <c r="B446" s="3939" t="s">
        <v>138</v>
      </c>
      <c r="C446" s="3949" t="s">
        <v>2408</v>
      </c>
      <c r="D446" s="3072">
        <v>100000000</v>
      </c>
      <c r="E446" s="3043">
        <v>7.0000000000000007E-2</v>
      </c>
      <c r="F446" s="3072">
        <f t="shared" si="51"/>
        <v>7000000.0000000009</v>
      </c>
      <c r="G446" s="3072">
        <v>7000000</v>
      </c>
      <c r="H446" s="3072" t="s">
        <v>4630</v>
      </c>
      <c r="I446" s="303" t="s">
        <v>3158</v>
      </c>
      <c r="J446" s="3072">
        <f>G446</f>
        <v>7000000</v>
      </c>
      <c r="K446" s="3072">
        <f>F446-J446</f>
        <v>0</v>
      </c>
      <c r="L446" s="3607" t="s">
        <v>1398</v>
      </c>
    </row>
    <row r="447" spans="1:12" ht="30" customHeight="1" x14ac:dyDescent="0.2">
      <c r="A447" s="3451"/>
      <c r="B447" s="3940"/>
      <c r="C447" s="3950"/>
      <c r="D447" s="3941" t="s">
        <v>2108</v>
      </c>
      <c r="E447" s="3942"/>
      <c r="F447" s="3943"/>
      <c r="G447" s="3072">
        <v>100000000</v>
      </c>
      <c r="H447" s="3072" t="s">
        <v>4779</v>
      </c>
      <c r="I447" s="303" t="s">
        <v>4793</v>
      </c>
      <c r="J447" s="3072">
        <f>G447</f>
        <v>100000000</v>
      </c>
      <c r="K447" s="3072"/>
      <c r="L447" s="3608"/>
    </row>
    <row r="448" spans="1:12" ht="30" customHeight="1" x14ac:dyDescent="0.2">
      <c r="A448" s="2423">
        <v>286</v>
      </c>
      <c r="B448" s="2468" t="s">
        <v>1715</v>
      </c>
      <c r="C448" s="2467"/>
      <c r="D448" s="2422">
        <v>35000000</v>
      </c>
      <c r="E448" s="1080">
        <v>0.05</v>
      </c>
      <c r="F448" s="2422">
        <v>1700000</v>
      </c>
      <c r="G448" s="2422">
        <v>1700000</v>
      </c>
      <c r="H448" s="2422" t="s">
        <v>1236</v>
      </c>
      <c r="I448" s="21" t="s">
        <v>312</v>
      </c>
      <c r="J448" s="2422">
        <f>G448</f>
        <v>1700000</v>
      </c>
      <c r="K448" s="2422">
        <f>F448-J448</f>
        <v>0</v>
      </c>
      <c r="L448" s="2453"/>
    </row>
    <row r="449" spans="1:12" ht="30" customHeight="1" x14ac:dyDescent="0.2">
      <c r="A449" s="3450">
        <v>287</v>
      </c>
      <c r="B449" s="3457" t="s">
        <v>140</v>
      </c>
      <c r="C449" s="3570"/>
      <c r="D449" s="2434">
        <v>15000000</v>
      </c>
      <c r="E449" s="2437">
        <v>0.05</v>
      </c>
      <c r="F449" s="2434">
        <f t="shared" si="51"/>
        <v>750000</v>
      </c>
      <c r="G449" s="3442">
        <v>3000000</v>
      </c>
      <c r="H449" s="3442" t="s">
        <v>2604</v>
      </c>
      <c r="I449" s="3452" t="s">
        <v>4671</v>
      </c>
      <c r="J449" s="3442">
        <f>G449+G450</f>
        <v>3000000</v>
      </c>
      <c r="K449" s="3442">
        <f>(F449+F450)-J449</f>
        <v>0</v>
      </c>
      <c r="L449" s="3446"/>
    </row>
    <row r="450" spans="1:12" ht="30" customHeight="1" x14ac:dyDescent="0.2">
      <c r="A450" s="3451"/>
      <c r="B450" s="3458"/>
      <c r="C450" s="3571"/>
      <c r="D450" s="2434">
        <v>45000000</v>
      </c>
      <c r="E450" s="2437">
        <v>0.05</v>
      </c>
      <c r="F450" s="2434">
        <f t="shared" si="51"/>
        <v>2250000</v>
      </c>
      <c r="G450" s="3443"/>
      <c r="H450" s="3443"/>
      <c r="I450" s="3453"/>
      <c r="J450" s="3443"/>
      <c r="K450" s="3443"/>
      <c r="L450" s="3447"/>
    </row>
    <row r="451" spans="1:12" ht="30" customHeight="1" x14ac:dyDescent="0.2">
      <c r="A451" s="2465">
        <v>288</v>
      </c>
      <c r="B451" s="2466" t="s">
        <v>141</v>
      </c>
      <c r="C451" s="2445" t="s">
        <v>1344</v>
      </c>
      <c r="D451" s="2434">
        <v>50000000</v>
      </c>
      <c r="E451" s="2463">
        <v>4.4999999999999998E-2</v>
      </c>
      <c r="F451" s="2434">
        <f t="shared" si="51"/>
        <v>2250000</v>
      </c>
      <c r="G451" s="2434">
        <v>2250000</v>
      </c>
      <c r="H451" s="2434" t="s">
        <v>1047</v>
      </c>
      <c r="I451" s="24" t="s">
        <v>690</v>
      </c>
      <c r="J451" s="2434">
        <f t="shared" ref="J451:J456" si="54">G451</f>
        <v>2250000</v>
      </c>
      <c r="K451" s="2434">
        <f t="shared" ref="K451:K456" si="55">F451-J451</f>
        <v>0</v>
      </c>
      <c r="L451" s="2466"/>
    </row>
    <row r="452" spans="1:12" ht="30" customHeight="1" x14ac:dyDescent="0.2">
      <c r="A452" s="2465">
        <v>289</v>
      </c>
      <c r="B452" s="2466" t="s">
        <v>653</v>
      </c>
      <c r="C452" s="2445" t="s">
        <v>1354</v>
      </c>
      <c r="D452" s="2434">
        <v>25000000</v>
      </c>
      <c r="E452" s="2463">
        <v>5.3999999999999999E-2</v>
      </c>
      <c r="F452" s="2434">
        <f t="shared" si="51"/>
        <v>1350000</v>
      </c>
      <c r="G452" s="2434">
        <v>1350000</v>
      </c>
      <c r="H452" s="2434" t="s">
        <v>3138</v>
      </c>
      <c r="I452" s="21" t="s">
        <v>4712</v>
      </c>
      <c r="J452" s="2434">
        <f t="shared" si="54"/>
        <v>1350000</v>
      </c>
      <c r="K452" s="2434">
        <f t="shared" si="55"/>
        <v>0</v>
      </c>
      <c r="L452" s="2466"/>
    </row>
    <row r="453" spans="1:12" ht="30" customHeight="1" x14ac:dyDescent="0.2">
      <c r="A453" s="2423">
        <v>290</v>
      </c>
      <c r="B453" s="2468" t="s">
        <v>3986</v>
      </c>
      <c r="C453" s="2445" t="s">
        <v>1343</v>
      </c>
      <c r="D453" s="2434">
        <v>1150000000</v>
      </c>
      <c r="E453" s="2463">
        <v>7.0000000000000007E-2</v>
      </c>
      <c r="F453" s="2434">
        <f>D453*E453</f>
        <v>80500000.000000015</v>
      </c>
      <c r="G453" s="2422">
        <v>80500000</v>
      </c>
      <c r="H453" s="2422" t="s">
        <v>1047</v>
      </c>
      <c r="I453" s="2422" t="s">
        <v>2202</v>
      </c>
      <c r="J453" s="2422">
        <f>G453</f>
        <v>80500000</v>
      </c>
      <c r="K453" s="2434">
        <f t="shared" si="55"/>
        <v>0</v>
      </c>
      <c r="L453" s="2471" t="s">
        <v>3997</v>
      </c>
    </row>
    <row r="454" spans="1:12" ht="30" customHeight="1" x14ac:dyDescent="0.2">
      <c r="A454" s="2465">
        <v>292</v>
      </c>
      <c r="B454" s="2466" t="s">
        <v>143</v>
      </c>
      <c r="C454" s="2467" t="s">
        <v>1354</v>
      </c>
      <c r="D454" s="2434">
        <v>100000000</v>
      </c>
      <c r="E454" s="2463">
        <v>0.05</v>
      </c>
      <c r="F454" s="2434">
        <f t="shared" si="51"/>
        <v>5000000</v>
      </c>
      <c r="G454" s="2434">
        <v>5000000</v>
      </c>
      <c r="H454" s="2434" t="s">
        <v>3138</v>
      </c>
      <c r="I454" s="70" t="s">
        <v>4710</v>
      </c>
      <c r="J454" s="2434">
        <f t="shared" si="54"/>
        <v>5000000</v>
      </c>
      <c r="K454" s="2434">
        <f t="shared" si="55"/>
        <v>0</v>
      </c>
      <c r="L454" s="2466"/>
    </row>
    <row r="455" spans="1:12" ht="30" customHeight="1" x14ac:dyDescent="0.2">
      <c r="A455" s="2465">
        <v>293</v>
      </c>
      <c r="B455" s="2466" t="s">
        <v>144</v>
      </c>
      <c r="C455" s="2445" t="s">
        <v>1354</v>
      </c>
      <c r="D455" s="2434">
        <v>75000000</v>
      </c>
      <c r="E455" s="2463">
        <v>0.04</v>
      </c>
      <c r="F455" s="2434">
        <f>D455*E455</f>
        <v>3000000</v>
      </c>
      <c r="G455" s="2434">
        <v>3000000</v>
      </c>
      <c r="H455" s="2434" t="s">
        <v>3138</v>
      </c>
      <c r="I455" s="21" t="s">
        <v>2674</v>
      </c>
      <c r="J455" s="2434">
        <f t="shared" si="54"/>
        <v>3000000</v>
      </c>
      <c r="K455" s="2434">
        <f t="shared" si="55"/>
        <v>0</v>
      </c>
      <c r="L455" s="2466"/>
    </row>
    <row r="456" spans="1:12" ht="30" customHeight="1" x14ac:dyDescent="0.2">
      <c r="A456" s="2986">
        <v>295</v>
      </c>
      <c r="B456" s="2468" t="s">
        <v>145</v>
      </c>
      <c r="C456" s="2976" t="s">
        <v>1354</v>
      </c>
      <c r="D456" s="2434">
        <v>100000000</v>
      </c>
      <c r="E456" s="2463">
        <v>0.05</v>
      </c>
      <c r="F456" s="2434">
        <f t="shared" si="51"/>
        <v>5000000</v>
      </c>
      <c r="G456" s="2966">
        <v>5000000</v>
      </c>
      <c r="H456" s="2966" t="s">
        <v>3138</v>
      </c>
      <c r="I456" s="2966" t="s">
        <v>4226</v>
      </c>
      <c r="J456" s="2966">
        <f t="shared" si="54"/>
        <v>5000000</v>
      </c>
      <c r="K456" s="2966">
        <f t="shared" si="55"/>
        <v>0</v>
      </c>
      <c r="L456" s="813"/>
    </row>
    <row r="457" spans="1:12" ht="30" customHeight="1" x14ac:dyDescent="0.2">
      <c r="A457" s="3450"/>
      <c r="B457" s="3457" t="s">
        <v>4714</v>
      </c>
      <c r="C457" s="3570"/>
      <c r="D457" s="2434">
        <v>10000000</v>
      </c>
      <c r="E457" s="2463">
        <v>0.05</v>
      </c>
      <c r="F457" s="2434">
        <f>D457*E457</f>
        <v>500000</v>
      </c>
      <c r="G457" s="3442">
        <v>1100000</v>
      </c>
      <c r="H457" s="3442" t="s">
        <v>3138</v>
      </c>
      <c r="I457" s="3442" t="s">
        <v>4716</v>
      </c>
      <c r="J457" s="3442">
        <f>G457</f>
        <v>1100000</v>
      </c>
      <c r="K457" s="3442">
        <f>(F457+F458)-J457</f>
        <v>0</v>
      </c>
      <c r="L457" s="3625" t="s">
        <v>4715</v>
      </c>
    </row>
    <row r="458" spans="1:12" ht="30" customHeight="1" x14ac:dyDescent="0.2">
      <c r="A458" s="3456"/>
      <c r="B458" s="3459"/>
      <c r="C458" s="3576"/>
      <c r="D458" s="2974">
        <v>10000000</v>
      </c>
      <c r="E458" s="2969">
        <v>0.06</v>
      </c>
      <c r="F458" s="2975">
        <f>D458*E458</f>
        <v>600000</v>
      </c>
      <c r="G458" s="3443"/>
      <c r="H458" s="3443"/>
      <c r="I458" s="3443"/>
      <c r="J458" s="3443"/>
      <c r="K458" s="3443"/>
      <c r="L458" s="3626"/>
    </row>
    <row r="459" spans="1:12" ht="30" customHeight="1" x14ac:dyDescent="0.2">
      <c r="A459" s="3451"/>
      <c r="B459" s="3458"/>
      <c r="C459" s="3571"/>
      <c r="D459" s="3266">
        <v>10000000</v>
      </c>
      <c r="E459" s="3262"/>
      <c r="F459" s="3267"/>
      <c r="G459" s="3261"/>
      <c r="H459" s="3261"/>
      <c r="I459" s="3266"/>
      <c r="J459" s="3261"/>
      <c r="K459" s="3261"/>
      <c r="L459" s="3269" t="s">
        <v>4923</v>
      </c>
    </row>
    <row r="460" spans="1:12" ht="30" customHeight="1" x14ac:dyDescent="0.2">
      <c r="A460" s="2465">
        <v>296</v>
      </c>
      <c r="B460" s="2466" t="s">
        <v>146</v>
      </c>
      <c r="C460" s="2445" t="s">
        <v>1378</v>
      </c>
      <c r="D460" s="2434">
        <v>35000000</v>
      </c>
      <c r="E460" s="2463">
        <v>0.04</v>
      </c>
      <c r="F460" s="2434">
        <f t="shared" si="51"/>
        <v>1400000</v>
      </c>
      <c r="G460" s="2434">
        <v>1400000</v>
      </c>
      <c r="H460" s="2434" t="s">
        <v>4756</v>
      </c>
      <c r="I460" s="24" t="s">
        <v>1140</v>
      </c>
      <c r="J460" s="2434">
        <f>G460</f>
        <v>1400000</v>
      </c>
      <c r="K460" s="2434">
        <f>F460-J460</f>
        <v>0</v>
      </c>
      <c r="L460" s="2466"/>
    </row>
    <row r="461" spans="1:12" ht="30" customHeight="1" x14ac:dyDescent="0.2">
      <c r="A461" s="2465">
        <v>298</v>
      </c>
      <c r="B461" s="2466" t="s">
        <v>148</v>
      </c>
      <c r="C461" s="2445" t="s">
        <v>1165</v>
      </c>
      <c r="D461" s="2434">
        <v>40000000</v>
      </c>
      <c r="E461" s="2463">
        <v>5.1999999999999998E-2</v>
      </c>
      <c r="F461" s="2434">
        <v>2000000</v>
      </c>
      <c r="G461" s="2434">
        <v>2000000</v>
      </c>
      <c r="H461" s="2434" t="s">
        <v>4756</v>
      </c>
      <c r="I461" s="24" t="s">
        <v>4292</v>
      </c>
      <c r="J461" s="2434">
        <f>G461</f>
        <v>2000000</v>
      </c>
      <c r="K461" s="2434">
        <f>F461-J461</f>
        <v>0</v>
      </c>
      <c r="L461" s="2466"/>
    </row>
    <row r="462" spans="1:12" ht="30" customHeight="1" x14ac:dyDescent="0.2">
      <c r="A462" s="2465">
        <v>300</v>
      </c>
      <c r="B462" s="2468" t="s">
        <v>150</v>
      </c>
      <c r="C462" s="2467" t="s">
        <v>917</v>
      </c>
      <c r="D462" s="2422">
        <v>178000000</v>
      </c>
      <c r="E462" s="2463">
        <v>5.8999999999999997E-2</v>
      </c>
      <c r="F462" s="2422">
        <v>10500000</v>
      </c>
      <c r="G462" s="2434">
        <v>10500000</v>
      </c>
      <c r="H462" s="2434" t="s">
        <v>4779</v>
      </c>
      <c r="I462" s="24" t="s">
        <v>3605</v>
      </c>
      <c r="J462" s="2434">
        <f>G462</f>
        <v>10500000</v>
      </c>
      <c r="K462" s="2422">
        <f>F462-J462</f>
        <v>0</v>
      </c>
      <c r="L462" s="2466"/>
    </row>
    <row r="463" spans="1:12" ht="30" customHeight="1" x14ac:dyDescent="0.2">
      <c r="A463" s="2465">
        <v>301</v>
      </c>
      <c r="B463" s="2466" t="s">
        <v>2477</v>
      </c>
      <c r="C463" s="2445"/>
      <c r="D463" s="2434">
        <v>10000000</v>
      </c>
      <c r="E463" s="2437">
        <v>0.04</v>
      </c>
      <c r="F463" s="2434">
        <f>D463*E463</f>
        <v>400000</v>
      </c>
      <c r="G463" s="2434">
        <v>400000</v>
      </c>
      <c r="H463" s="2434" t="s">
        <v>4779</v>
      </c>
      <c r="I463" s="2456" t="s">
        <v>744</v>
      </c>
      <c r="J463" s="2434">
        <f>G463</f>
        <v>400000</v>
      </c>
      <c r="K463" s="2434">
        <f>F463-J463</f>
        <v>0</v>
      </c>
      <c r="L463" s="2497"/>
    </row>
    <row r="464" spans="1:12" ht="30" customHeight="1" x14ac:dyDescent="0.2">
      <c r="A464" s="3450">
        <v>302</v>
      </c>
      <c r="B464" s="3457" t="s">
        <v>152</v>
      </c>
      <c r="C464" s="3570" t="s">
        <v>1351</v>
      </c>
      <c r="D464" s="2434">
        <v>60000000</v>
      </c>
      <c r="E464" s="2463">
        <v>4.4999999999999998E-2</v>
      </c>
      <c r="F464" s="2434">
        <f t="shared" si="51"/>
        <v>2700000</v>
      </c>
      <c r="G464" s="3769" t="s">
        <v>4432</v>
      </c>
      <c r="H464" s="3770"/>
      <c r="I464" s="3770"/>
      <c r="J464" s="3771"/>
      <c r="K464" s="2434">
        <f>F464-J464</f>
        <v>2700000</v>
      </c>
      <c r="L464" s="3162" t="s">
        <v>4853</v>
      </c>
    </row>
    <row r="465" spans="1:12" ht="30" customHeight="1" x14ac:dyDescent="0.2">
      <c r="A465" s="3451"/>
      <c r="B465" s="3458"/>
      <c r="C465" s="3571"/>
      <c r="D465" s="948">
        <v>100000000</v>
      </c>
      <c r="E465" s="949">
        <v>0.05</v>
      </c>
      <c r="F465" s="948">
        <f>D465*E465</f>
        <v>5000000</v>
      </c>
      <c r="G465" s="3478" t="s">
        <v>4754</v>
      </c>
      <c r="H465" s="3479"/>
      <c r="I465" s="3479"/>
      <c r="J465" s="3480"/>
      <c r="K465" s="2988"/>
      <c r="L465" s="3003" t="s">
        <v>4753</v>
      </c>
    </row>
    <row r="466" spans="1:12" ht="30" customHeight="1" x14ac:dyDescent="0.2">
      <c r="A466" s="3821"/>
      <c r="B466" s="3457" t="s">
        <v>153</v>
      </c>
      <c r="C466" s="3570" t="s">
        <v>1909</v>
      </c>
      <c r="D466" s="3200">
        <v>1916000000</v>
      </c>
      <c r="E466" s="3212"/>
      <c r="F466" s="3200"/>
      <c r="G466" s="3478" t="s">
        <v>4871</v>
      </c>
      <c r="H466" s="3479"/>
      <c r="I466" s="3479"/>
      <c r="J466" s="3480"/>
      <c r="K466" s="3200"/>
      <c r="L466" s="3217"/>
    </row>
    <row r="467" spans="1:12" ht="30" customHeight="1" x14ac:dyDescent="0.2">
      <c r="A467" s="3822"/>
      <c r="B467" s="3459"/>
      <c r="C467" s="3576"/>
      <c r="D467" s="3200">
        <f>D466-228000000</f>
        <v>1688000000</v>
      </c>
      <c r="E467" s="3212"/>
      <c r="F467" s="3200"/>
      <c r="G467" s="3478" t="s">
        <v>4874</v>
      </c>
      <c r="H467" s="3479"/>
      <c r="I467" s="3479"/>
      <c r="J467" s="3480"/>
      <c r="K467" s="3200"/>
      <c r="L467" s="3217"/>
    </row>
    <row r="468" spans="1:12" ht="30" customHeight="1" x14ac:dyDescent="0.2">
      <c r="A468" s="3822"/>
      <c r="B468" s="3459"/>
      <c r="C468" s="3576"/>
      <c r="D468" s="3200">
        <f>D467+300000000</f>
        <v>1988000000</v>
      </c>
      <c r="E468" s="3212"/>
      <c r="F468" s="3200"/>
      <c r="G468" s="3478" t="s">
        <v>4866</v>
      </c>
      <c r="H468" s="3479"/>
      <c r="I468" s="3479"/>
      <c r="J468" s="3480"/>
      <c r="K468" s="3200"/>
      <c r="L468" s="3217"/>
    </row>
    <row r="469" spans="1:12" ht="30" customHeight="1" x14ac:dyDescent="0.2">
      <c r="A469" s="3822"/>
      <c r="B469" s="3459"/>
      <c r="C469" s="3576"/>
      <c r="D469" s="3200">
        <f>D468+27000000</f>
        <v>2015000000</v>
      </c>
      <c r="E469" s="3212"/>
      <c r="F469" s="3200"/>
      <c r="G469" s="3478" t="s">
        <v>4867</v>
      </c>
      <c r="H469" s="3479"/>
      <c r="I469" s="3479"/>
      <c r="J469" s="3480"/>
      <c r="K469" s="3200"/>
      <c r="L469" s="3217"/>
    </row>
    <row r="470" spans="1:12" ht="30" customHeight="1" x14ac:dyDescent="0.2">
      <c r="A470" s="3822"/>
      <c r="B470" s="3459"/>
      <c r="C470" s="3576"/>
      <c r="D470" s="3200">
        <f>D469+385000000</f>
        <v>2400000000</v>
      </c>
      <c r="E470" s="3212"/>
      <c r="F470" s="3200"/>
      <c r="G470" s="3478" t="s">
        <v>4868</v>
      </c>
      <c r="H470" s="3479"/>
      <c r="I470" s="3479"/>
      <c r="J470" s="3480"/>
      <c r="K470" s="3200"/>
      <c r="L470" s="3217"/>
    </row>
    <row r="471" spans="1:12" ht="30" customHeight="1" x14ac:dyDescent="0.2">
      <c r="A471" s="3822"/>
      <c r="B471" s="3459"/>
      <c r="C471" s="3576"/>
      <c r="D471" s="3200">
        <f>D470+115000000</f>
        <v>2515000000</v>
      </c>
      <c r="E471" s="3212"/>
      <c r="F471" s="3200"/>
      <c r="G471" s="3478" t="s">
        <v>4869</v>
      </c>
      <c r="H471" s="3479"/>
      <c r="I471" s="3479"/>
      <c r="J471" s="3480"/>
      <c r="K471" s="3200"/>
      <c r="L471" s="3217"/>
    </row>
    <row r="472" spans="1:12" ht="30" customHeight="1" x14ac:dyDescent="0.2">
      <c r="A472" s="3822"/>
      <c r="B472" s="3459"/>
      <c r="C472" s="3576"/>
      <c r="D472" s="3442">
        <f>D471+47000000</f>
        <v>2562000000</v>
      </c>
      <c r="E472" s="3444">
        <f>F472/D472</f>
        <v>7.8556596409055421E-2</v>
      </c>
      <c r="F472" s="3442">
        <v>201262000</v>
      </c>
      <c r="G472" s="3478" t="s">
        <v>4870</v>
      </c>
      <c r="H472" s="3479"/>
      <c r="I472" s="3479"/>
      <c r="J472" s="3480"/>
      <c r="K472" s="3200"/>
      <c r="L472" s="3217"/>
    </row>
    <row r="473" spans="1:12" ht="30" customHeight="1" x14ac:dyDescent="0.2">
      <c r="A473" s="3822"/>
      <c r="B473" s="3459"/>
      <c r="C473" s="3576"/>
      <c r="D473" s="3461"/>
      <c r="E473" s="3474"/>
      <c r="F473" s="3461"/>
      <c r="G473" s="561">
        <v>1262000</v>
      </c>
      <c r="H473" s="561" t="s">
        <v>2251</v>
      </c>
      <c r="I473" s="561" t="s">
        <v>4750</v>
      </c>
      <c r="J473" s="3442">
        <f>G473+G474+G475</f>
        <v>1262000</v>
      </c>
      <c r="K473" s="3442">
        <f>F472-J473</f>
        <v>200000000</v>
      </c>
      <c r="L473" s="3217"/>
    </row>
    <row r="474" spans="1:12" ht="30" customHeight="1" x14ac:dyDescent="0.2">
      <c r="A474" s="3822"/>
      <c r="B474" s="3459"/>
      <c r="C474" s="3576"/>
      <c r="D474" s="3461"/>
      <c r="E474" s="3474"/>
      <c r="F474" s="3461"/>
      <c r="G474" s="3219"/>
      <c r="H474" s="3219"/>
      <c r="I474" s="3219"/>
      <c r="J474" s="3461"/>
      <c r="K474" s="3461"/>
      <c r="L474" s="3217"/>
    </row>
    <row r="475" spans="1:12" ht="30" customHeight="1" x14ac:dyDescent="0.2">
      <c r="A475" s="3822"/>
      <c r="B475" s="3459"/>
      <c r="C475" s="3576"/>
      <c r="D475" s="3443"/>
      <c r="E475" s="3445"/>
      <c r="F475" s="3443"/>
      <c r="G475" s="3219"/>
      <c r="H475" s="3219"/>
      <c r="I475" s="3219"/>
      <c r="J475" s="3443"/>
      <c r="K475" s="3443"/>
      <c r="L475" s="3217"/>
    </row>
    <row r="476" spans="1:12" ht="30" customHeight="1" x14ac:dyDescent="0.2">
      <c r="A476" s="3822"/>
      <c r="B476" s="3459"/>
      <c r="C476" s="3576"/>
      <c r="D476" s="3816">
        <f>D472-340000000</f>
        <v>2222000000</v>
      </c>
      <c r="E476" s="3899">
        <f>F476/D476</f>
        <v>8.1903690369036899E-2</v>
      </c>
      <c r="F476" s="3816">
        <v>181990000</v>
      </c>
      <c r="G476" s="3827" t="s">
        <v>4873</v>
      </c>
      <c r="H476" s="3828"/>
      <c r="I476" s="3828"/>
      <c r="J476" s="3829"/>
      <c r="K476" s="3200"/>
      <c r="L476" s="3217"/>
    </row>
    <row r="477" spans="1:12" ht="30" customHeight="1" x14ac:dyDescent="0.2">
      <c r="A477" s="3822"/>
      <c r="B477" s="3459"/>
      <c r="C477" s="3576"/>
      <c r="D477" s="3859"/>
      <c r="E477" s="4003"/>
      <c r="F477" s="3859"/>
      <c r="G477" s="3827" t="s">
        <v>4872</v>
      </c>
      <c r="H477" s="3828"/>
      <c r="I477" s="3828"/>
      <c r="J477" s="3829"/>
      <c r="K477" s="3200"/>
      <c r="L477" s="3217"/>
    </row>
    <row r="478" spans="1:12" ht="30" customHeight="1" x14ac:dyDescent="0.2">
      <c r="A478" s="3823"/>
      <c r="B478" s="3458"/>
      <c r="C478" s="3571"/>
      <c r="D478" s="3817"/>
      <c r="E478" s="3900"/>
      <c r="F478" s="3817"/>
      <c r="G478" s="1914"/>
      <c r="H478" s="1914"/>
      <c r="I478" s="1914"/>
      <c r="J478" s="1914"/>
      <c r="K478" s="3200"/>
      <c r="L478" s="3217"/>
    </row>
    <row r="479" spans="1:12" ht="30" customHeight="1" x14ac:dyDescent="0.2">
      <c r="A479" s="3450">
        <v>305</v>
      </c>
      <c r="B479" s="3457" t="s">
        <v>155</v>
      </c>
      <c r="C479" s="3570"/>
      <c r="D479" s="3442">
        <v>750000000</v>
      </c>
      <c r="E479" s="3444">
        <v>6.5000000000000002E-2</v>
      </c>
      <c r="F479" s="3442">
        <v>48000000</v>
      </c>
      <c r="G479" s="3204"/>
      <c r="H479" s="3204"/>
      <c r="I479" s="24" t="s">
        <v>2524</v>
      </c>
      <c r="J479" s="3442">
        <f>G479+G480</f>
        <v>0</v>
      </c>
      <c r="K479" s="3442">
        <f>38000000-J479</f>
        <v>38000000</v>
      </c>
      <c r="L479" s="385"/>
    </row>
    <row r="480" spans="1:12" ht="30" customHeight="1" x14ac:dyDescent="0.2">
      <c r="A480" s="3456"/>
      <c r="B480" s="3459"/>
      <c r="C480" s="3576"/>
      <c r="D480" s="3461"/>
      <c r="E480" s="3474"/>
      <c r="F480" s="3461"/>
      <c r="G480" s="3204"/>
      <c r="H480" s="3204"/>
      <c r="I480" s="24" t="s">
        <v>2524</v>
      </c>
      <c r="J480" s="3461"/>
      <c r="K480" s="3461"/>
      <c r="L480" s="385" t="s">
        <v>3486</v>
      </c>
    </row>
    <row r="481" spans="1:12" ht="30" customHeight="1" x14ac:dyDescent="0.2">
      <c r="A481" s="3456"/>
      <c r="B481" s="3459"/>
      <c r="C481" s="3576"/>
      <c r="D481" s="3461"/>
      <c r="E481" s="3474"/>
      <c r="F481" s="3461"/>
      <c r="G481" s="3204"/>
      <c r="H481" s="3204"/>
      <c r="I481" s="24" t="s">
        <v>2524</v>
      </c>
      <c r="J481" s="3461"/>
      <c r="K481" s="3461"/>
      <c r="L481" s="385"/>
    </row>
    <row r="482" spans="1:12" ht="30" customHeight="1" x14ac:dyDescent="0.2">
      <c r="A482" s="3451"/>
      <c r="B482" s="3458"/>
      <c r="C482" s="3571"/>
      <c r="D482" s="3443"/>
      <c r="E482" s="3445"/>
      <c r="F482" s="3443"/>
      <c r="G482" s="3204"/>
      <c r="H482" s="3204"/>
      <c r="I482" s="24" t="s">
        <v>2524</v>
      </c>
      <c r="J482" s="3443"/>
      <c r="K482" s="3443"/>
      <c r="L482" s="385"/>
    </row>
    <row r="483" spans="1:12" ht="30" customHeight="1" x14ac:dyDescent="0.2">
      <c r="A483" s="3213">
        <v>307</v>
      </c>
      <c r="B483" s="3214" t="s">
        <v>157</v>
      </c>
      <c r="C483" s="3211" t="s">
        <v>1378</v>
      </c>
      <c r="D483" s="3204">
        <v>240000000</v>
      </c>
      <c r="E483" s="3212">
        <v>0.05</v>
      </c>
      <c r="F483" s="3204">
        <f t="shared" si="51"/>
        <v>12000000</v>
      </c>
      <c r="G483" s="3204">
        <v>12000000</v>
      </c>
      <c r="H483" s="3204" t="s">
        <v>4756</v>
      </c>
      <c r="I483" s="24" t="s">
        <v>2539</v>
      </c>
      <c r="J483" s="3204">
        <f>G483</f>
        <v>12000000</v>
      </c>
      <c r="K483" s="3204">
        <f>F483-J483</f>
        <v>0</v>
      </c>
      <c r="L483" s="3214"/>
    </row>
    <row r="484" spans="1:12" ht="30" customHeight="1" x14ac:dyDescent="0.2">
      <c r="A484" s="3201">
        <v>308</v>
      </c>
      <c r="B484" s="3216" t="s">
        <v>158</v>
      </c>
      <c r="C484" s="3215" t="s">
        <v>1349</v>
      </c>
      <c r="D484" s="3200">
        <v>300000000</v>
      </c>
      <c r="E484" s="3212">
        <v>0.05</v>
      </c>
      <c r="F484" s="3200">
        <f t="shared" si="51"/>
        <v>15000000</v>
      </c>
      <c r="G484" s="3442">
        <v>24000000</v>
      </c>
      <c r="H484" s="3442" t="s">
        <v>1047</v>
      </c>
      <c r="I484" s="3586" t="s">
        <v>1993</v>
      </c>
      <c r="J484" s="3442">
        <f>G484</f>
        <v>24000000</v>
      </c>
      <c r="K484" s="3442">
        <f>(F484+F485)-J484</f>
        <v>0</v>
      </c>
      <c r="L484" s="3627"/>
    </row>
    <row r="485" spans="1:12" ht="30" customHeight="1" x14ac:dyDescent="0.2">
      <c r="A485" s="3213">
        <v>309</v>
      </c>
      <c r="B485" s="3216" t="s">
        <v>1994</v>
      </c>
      <c r="C485" s="3215" t="s">
        <v>380</v>
      </c>
      <c r="D485" s="3204">
        <v>180000000</v>
      </c>
      <c r="E485" s="3206">
        <v>0.05</v>
      </c>
      <c r="F485" s="3204">
        <f>D485*E485</f>
        <v>9000000</v>
      </c>
      <c r="G485" s="3443"/>
      <c r="H485" s="3443"/>
      <c r="I485" s="3587"/>
      <c r="J485" s="3443"/>
      <c r="K485" s="3443"/>
      <c r="L485" s="3628"/>
    </row>
    <row r="486" spans="1:12" ht="30" customHeight="1" x14ac:dyDescent="0.2">
      <c r="A486" s="3201">
        <v>310</v>
      </c>
      <c r="B486" s="3214" t="s">
        <v>160</v>
      </c>
      <c r="C486" s="3211" t="s">
        <v>401</v>
      </c>
      <c r="D486" s="3204">
        <v>100000000</v>
      </c>
      <c r="E486" s="3206">
        <v>0.05</v>
      </c>
      <c r="F486" s="3204">
        <f t="shared" ref="F486:F504" si="56">D486*E486</f>
        <v>5000000</v>
      </c>
      <c r="G486" s="3204"/>
      <c r="H486" s="3204"/>
      <c r="I486" s="24" t="s">
        <v>3655</v>
      </c>
      <c r="J486" s="3204">
        <f>G486</f>
        <v>0</v>
      </c>
      <c r="K486" s="3204">
        <f t="shared" ref="K486:K493" si="57">F486-J486</f>
        <v>5000000</v>
      </c>
      <c r="L486" s="3257" t="s">
        <v>4917</v>
      </c>
    </row>
    <row r="487" spans="1:12" ht="30" customHeight="1" x14ac:dyDescent="0.2">
      <c r="A487" s="3450">
        <v>311</v>
      </c>
      <c r="B487" s="3457" t="s">
        <v>161</v>
      </c>
      <c r="C487" s="3570" t="s">
        <v>916</v>
      </c>
      <c r="D487" s="2434">
        <v>85000000</v>
      </c>
      <c r="E487" s="2463">
        <v>0.05</v>
      </c>
      <c r="F487" s="2434">
        <f t="shared" si="56"/>
        <v>4250000</v>
      </c>
      <c r="G487" s="3442">
        <v>6250000</v>
      </c>
      <c r="H487" s="3442" t="s">
        <v>4512</v>
      </c>
      <c r="I487" s="3582" t="s">
        <v>4110</v>
      </c>
      <c r="J487" s="3442">
        <f>G487</f>
        <v>6250000</v>
      </c>
      <c r="K487" s="3442">
        <f t="shared" si="57"/>
        <v>-2000000</v>
      </c>
      <c r="L487" s="2497" t="s">
        <v>3588</v>
      </c>
    </row>
    <row r="488" spans="1:12" ht="30" customHeight="1" x14ac:dyDescent="0.2">
      <c r="A488" s="3451"/>
      <c r="B488" s="3458"/>
      <c r="C488" s="3571"/>
      <c r="D488" s="2434">
        <v>100000000</v>
      </c>
      <c r="E488" s="2463">
        <v>0.05</v>
      </c>
      <c r="F488" s="2434">
        <f t="shared" si="56"/>
        <v>5000000</v>
      </c>
      <c r="G488" s="3443"/>
      <c r="H488" s="3443"/>
      <c r="I488" s="3583"/>
      <c r="J488" s="3443"/>
      <c r="K488" s="3443"/>
      <c r="L488" s="2497" t="s">
        <v>4916</v>
      </c>
    </row>
    <row r="489" spans="1:12" ht="30" customHeight="1" x14ac:dyDescent="0.2">
      <c r="A489" s="2423">
        <v>312</v>
      </c>
      <c r="B489" s="2466" t="s">
        <v>162</v>
      </c>
      <c r="C489" s="2445"/>
      <c r="D489" s="2440"/>
      <c r="E489" s="44"/>
      <c r="F489" s="2440">
        <f t="shared" si="56"/>
        <v>0</v>
      </c>
      <c r="G489" s="2434"/>
      <c r="H489" s="2434"/>
      <c r="I489" s="24"/>
      <c r="J489" s="2434">
        <f>G489</f>
        <v>0</v>
      </c>
      <c r="K489" s="2440">
        <f t="shared" si="57"/>
        <v>0</v>
      </c>
      <c r="L489" s="2466"/>
    </row>
    <row r="490" spans="1:12" ht="30" customHeight="1" x14ac:dyDescent="0.2">
      <c r="A490" s="2502">
        <v>313</v>
      </c>
      <c r="B490" s="2466" t="s">
        <v>164</v>
      </c>
      <c r="C490" s="2467" t="s">
        <v>1746</v>
      </c>
      <c r="D490" s="2422">
        <v>152000000</v>
      </c>
      <c r="E490" s="2463">
        <v>0.05</v>
      </c>
      <c r="F490" s="2422">
        <f>D490*E490</f>
        <v>7600000</v>
      </c>
      <c r="G490" s="2422">
        <v>7600000</v>
      </c>
      <c r="H490" s="2422" t="s">
        <v>1236</v>
      </c>
      <c r="I490" s="2470" t="s">
        <v>3604</v>
      </c>
      <c r="J490" s="2422">
        <f>G490</f>
        <v>7600000</v>
      </c>
      <c r="K490" s="2422">
        <f t="shared" si="57"/>
        <v>0</v>
      </c>
      <c r="L490" s="2484"/>
    </row>
    <row r="491" spans="1:12" ht="30" customHeight="1" x14ac:dyDescent="0.2">
      <c r="A491" s="2423">
        <v>315</v>
      </c>
      <c r="B491" s="22" t="s">
        <v>166</v>
      </c>
      <c r="C491" s="2467" t="s">
        <v>1219</v>
      </c>
      <c r="D491" s="2422">
        <v>400000000</v>
      </c>
      <c r="E491" s="2463">
        <v>6.3E-2</v>
      </c>
      <c r="F491" s="2422">
        <v>25000000</v>
      </c>
      <c r="G491" s="2422">
        <v>25000000</v>
      </c>
      <c r="H491" s="2422" t="s">
        <v>4554</v>
      </c>
      <c r="I491" s="2470" t="s">
        <v>1919</v>
      </c>
      <c r="J491" s="2422">
        <f t="shared" ref="J491:J503" si="58">G491</f>
        <v>25000000</v>
      </c>
      <c r="K491" s="2422">
        <f t="shared" si="57"/>
        <v>0</v>
      </c>
      <c r="L491" s="2447"/>
    </row>
    <row r="492" spans="1:12" ht="30" customHeight="1" x14ac:dyDescent="0.2">
      <c r="A492" s="2465">
        <v>316</v>
      </c>
      <c r="B492" s="2428" t="s">
        <v>167</v>
      </c>
      <c r="C492" s="2445"/>
      <c r="D492" s="2434">
        <v>35000000</v>
      </c>
      <c r="E492" s="2437">
        <v>0.04</v>
      </c>
      <c r="F492" s="2434">
        <f>D492*E492</f>
        <v>1400000</v>
      </c>
      <c r="G492" s="2434">
        <v>1400000</v>
      </c>
      <c r="H492" s="2434" t="s">
        <v>4630</v>
      </c>
      <c r="I492" s="2455" t="s">
        <v>293</v>
      </c>
      <c r="J492" s="2434">
        <f t="shared" si="58"/>
        <v>1400000</v>
      </c>
      <c r="K492" s="2434">
        <f t="shared" si="57"/>
        <v>0</v>
      </c>
      <c r="L492" s="2466"/>
    </row>
    <row r="493" spans="1:12" ht="30" customHeight="1" x14ac:dyDescent="0.2">
      <c r="A493" s="3693">
        <v>317</v>
      </c>
      <c r="B493" s="3457" t="s">
        <v>4685</v>
      </c>
      <c r="C493" s="2445" t="s">
        <v>367</v>
      </c>
      <c r="D493" s="2434">
        <v>100000000</v>
      </c>
      <c r="E493" s="2463">
        <v>0.05</v>
      </c>
      <c r="F493" s="2434">
        <f>D493*E493</f>
        <v>5000000</v>
      </c>
      <c r="G493" s="2434">
        <v>5000000</v>
      </c>
      <c r="H493" s="2434" t="s">
        <v>4604</v>
      </c>
      <c r="I493" s="24" t="s">
        <v>3131</v>
      </c>
      <c r="J493" s="2434">
        <f t="shared" si="58"/>
        <v>5000000</v>
      </c>
      <c r="K493" s="2434">
        <f t="shared" si="57"/>
        <v>0</v>
      </c>
      <c r="L493" s="2497" t="s">
        <v>2842</v>
      </c>
    </row>
    <row r="494" spans="1:12" ht="30" customHeight="1" x14ac:dyDescent="0.2">
      <c r="A494" s="3693"/>
      <c r="B494" s="3458"/>
      <c r="C494" s="2937" t="s">
        <v>3142</v>
      </c>
      <c r="D494" s="2934">
        <v>100000000</v>
      </c>
      <c r="E494" s="2938">
        <v>0.05</v>
      </c>
      <c r="F494" s="2934">
        <f>D494*E494</f>
        <v>5000000</v>
      </c>
      <c r="G494" s="3478" t="s">
        <v>4686</v>
      </c>
      <c r="H494" s="3479"/>
      <c r="I494" s="3479"/>
      <c r="J494" s="3480"/>
      <c r="K494" s="2934"/>
      <c r="L494" s="2939"/>
    </row>
    <row r="495" spans="1:12" ht="30" customHeight="1" x14ac:dyDescent="0.2">
      <c r="A495" s="3450"/>
      <c r="B495" s="3457" t="s">
        <v>168</v>
      </c>
      <c r="C495" s="2445" t="s">
        <v>1342</v>
      </c>
      <c r="D495" s="2434">
        <v>210000000</v>
      </c>
      <c r="E495" s="2463">
        <v>0.05</v>
      </c>
      <c r="F495" s="2434">
        <f>D495*E495</f>
        <v>10500000</v>
      </c>
      <c r="G495" s="3769" t="s">
        <v>4687</v>
      </c>
      <c r="H495" s="3770"/>
      <c r="I495" s="3770"/>
      <c r="J495" s="3771"/>
      <c r="K495" s="2422">
        <v>0</v>
      </c>
      <c r="L495" s="2497" t="s">
        <v>2843</v>
      </c>
    </row>
    <row r="496" spans="1:12" ht="30" customHeight="1" x14ac:dyDescent="0.2">
      <c r="A496" s="3451"/>
      <c r="B496" s="3458"/>
      <c r="C496" s="3029"/>
      <c r="D496" s="3020">
        <v>200000000</v>
      </c>
      <c r="E496" s="3033">
        <v>0.06</v>
      </c>
      <c r="F496" s="3020">
        <f>D496*E496</f>
        <v>12000000</v>
      </c>
      <c r="G496" s="3769" t="s">
        <v>3352</v>
      </c>
      <c r="H496" s="3770"/>
      <c r="I496" s="3770"/>
      <c r="J496" s="3771"/>
      <c r="K496" s="3020"/>
      <c r="L496" s="3037"/>
    </row>
    <row r="497" spans="1:12" ht="30" customHeight="1" x14ac:dyDescent="0.2">
      <c r="A497" s="2465">
        <v>318</v>
      </c>
      <c r="B497" s="2466" t="s">
        <v>170</v>
      </c>
      <c r="C497" s="2445"/>
      <c r="D497" s="2434">
        <v>80000000</v>
      </c>
      <c r="E497" s="2463">
        <v>0.05</v>
      </c>
      <c r="F497" s="2434">
        <f t="shared" si="56"/>
        <v>4000000</v>
      </c>
      <c r="G497" s="2434">
        <v>4000000</v>
      </c>
      <c r="H497" s="2434" t="s">
        <v>4604</v>
      </c>
      <c r="I497" s="21" t="s">
        <v>4607</v>
      </c>
      <c r="J497" s="2434">
        <f t="shared" si="58"/>
        <v>4000000</v>
      </c>
      <c r="K497" s="2434">
        <f>F497-J497</f>
        <v>0</v>
      </c>
      <c r="L497" s="2466"/>
    </row>
    <row r="498" spans="1:12" ht="30" customHeight="1" x14ac:dyDescent="0.2">
      <c r="A498" s="2465">
        <v>319</v>
      </c>
      <c r="B498" s="3045" t="s">
        <v>171</v>
      </c>
      <c r="C498" s="3046" t="s">
        <v>1342</v>
      </c>
      <c r="D498" s="301">
        <v>200000000</v>
      </c>
      <c r="E498" s="3043">
        <v>5.5E-2</v>
      </c>
      <c r="F498" s="301">
        <f t="shared" si="56"/>
        <v>11000000</v>
      </c>
      <c r="G498" s="301"/>
      <c r="H498" s="301"/>
      <c r="I498" s="303" t="s">
        <v>3861</v>
      </c>
      <c r="J498" s="301">
        <f t="shared" si="58"/>
        <v>0</v>
      </c>
      <c r="K498" s="301">
        <f>F498-J498</f>
        <v>11000000</v>
      </c>
      <c r="L498" s="2497"/>
    </row>
    <row r="499" spans="1:12" ht="30" customHeight="1" x14ac:dyDescent="0.2">
      <c r="A499" s="3450">
        <v>320</v>
      </c>
      <c r="B499" s="3457" t="s">
        <v>172</v>
      </c>
      <c r="C499" s="3570" t="s">
        <v>1355</v>
      </c>
      <c r="D499" s="2434">
        <v>135000000</v>
      </c>
      <c r="E499" s="2463">
        <v>0.06</v>
      </c>
      <c r="F499" s="2434">
        <v>8000000</v>
      </c>
      <c r="G499" s="3442">
        <v>9750000</v>
      </c>
      <c r="H499" s="3442" t="s">
        <v>4003</v>
      </c>
      <c r="I499" s="3452" t="s">
        <v>2204</v>
      </c>
      <c r="J499" s="3442">
        <f t="shared" si="58"/>
        <v>9750000</v>
      </c>
      <c r="K499" s="3442">
        <f>(F499+F500)-J499</f>
        <v>0</v>
      </c>
      <c r="L499" s="2497"/>
    </row>
    <row r="500" spans="1:12" ht="30" customHeight="1" x14ac:dyDescent="0.2">
      <c r="A500" s="3451"/>
      <c r="B500" s="3458"/>
      <c r="C500" s="3571"/>
      <c r="D500" s="2434">
        <v>35000000</v>
      </c>
      <c r="E500" s="2463">
        <v>0.05</v>
      </c>
      <c r="F500" s="2434">
        <f>D500*E500</f>
        <v>1750000</v>
      </c>
      <c r="G500" s="3443"/>
      <c r="H500" s="3443"/>
      <c r="I500" s="3453"/>
      <c r="J500" s="3443"/>
      <c r="K500" s="3443"/>
      <c r="L500" s="3008" t="s">
        <v>3594</v>
      </c>
    </row>
    <row r="501" spans="1:12" ht="30" customHeight="1" x14ac:dyDescent="0.2">
      <c r="A501" s="3450">
        <v>321</v>
      </c>
      <c r="B501" s="3457" t="s">
        <v>174</v>
      </c>
      <c r="C501" s="3570" t="s">
        <v>3142</v>
      </c>
      <c r="D501" s="3442">
        <v>5000000</v>
      </c>
      <c r="E501" s="3444">
        <v>0.04</v>
      </c>
      <c r="F501" s="3442">
        <f t="shared" si="56"/>
        <v>200000</v>
      </c>
      <c r="G501" s="2434">
        <v>200000</v>
      </c>
      <c r="H501" s="2434" t="s">
        <v>1236</v>
      </c>
      <c r="I501" s="24" t="s">
        <v>2460</v>
      </c>
      <c r="J501" s="2434">
        <f t="shared" si="58"/>
        <v>200000</v>
      </c>
      <c r="K501" s="2434">
        <f>F501-J501</f>
        <v>0</v>
      </c>
      <c r="L501" s="3008" t="s">
        <v>4092</v>
      </c>
    </row>
    <row r="502" spans="1:12" ht="30" customHeight="1" x14ac:dyDescent="0.2">
      <c r="A502" s="3451"/>
      <c r="B502" s="3458"/>
      <c r="C502" s="3571"/>
      <c r="D502" s="3443"/>
      <c r="E502" s="3445"/>
      <c r="F502" s="3443"/>
      <c r="G502" s="2988">
        <v>200000</v>
      </c>
      <c r="H502" s="2988" t="s">
        <v>4756</v>
      </c>
      <c r="I502" s="24" t="s">
        <v>2460</v>
      </c>
      <c r="J502" s="2988">
        <f>G502</f>
        <v>200000</v>
      </c>
      <c r="K502" s="2988">
        <f>F501-J502</f>
        <v>0</v>
      </c>
      <c r="L502" s="3008" t="s">
        <v>4592</v>
      </c>
    </row>
    <row r="503" spans="1:12" ht="30" customHeight="1" x14ac:dyDescent="0.2">
      <c r="A503" s="2787">
        <v>322</v>
      </c>
      <c r="B503" s="22" t="s">
        <v>1450</v>
      </c>
      <c r="C503" s="2810" t="s">
        <v>1112</v>
      </c>
      <c r="D503" s="2786">
        <v>10000000</v>
      </c>
      <c r="E503" s="2808">
        <v>0.05</v>
      </c>
      <c r="F503" s="2786">
        <f t="shared" si="56"/>
        <v>500000</v>
      </c>
      <c r="G503" s="2786">
        <v>500000</v>
      </c>
      <c r="H503" s="2786" t="s">
        <v>1236</v>
      </c>
      <c r="I503" s="2811" t="s">
        <v>1448</v>
      </c>
      <c r="J503" s="2786">
        <f t="shared" si="58"/>
        <v>500000</v>
      </c>
      <c r="K503" s="2786">
        <f>F503-J503</f>
        <v>0</v>
      </c>
      <c r="L503" s="3008"/>
    </row>
    <row r="504" spans="1:12" ht="30" customHeight="1" x14ac:dyDescent="0.2">
      <c r="A504" s="2465">
        <v>323</v>
      </c>
      <c r="B504" s="2789" t="s">
        <v>175</v>
      </c>
      <c r="C504" s="2445"/>
      <c r="D504" s="2434">
        <v>60000000</v>
      </c>
      <c r="E504" s="2793">
        <v>4.4999999999999998E-2</v>
      </c>
      <c r="F504" s="2434">
        <f t="shared" si="56"/>
        <v>2700000</v>
      </c>
      <c r="G504" s="2434"/>
      <c r="H504" s="2434"/>
      <c r="I504" s="2456"/>
      <c r="J504" s="2434">
        <f>G504</f>
        <v>0</v>
      </c>
      <c r="K504" s="2434">
        <f>F504-J504</f>
        <v>2700000</v>
      </c>
      <c r="L504" s="2466"/>
    </row>
    <row r="505" spans="1:12" ht="30" customHeight="1" x14ac:dyDescent="0.2">
      <c r="A505" s="2465">
        <v>324</v>
      </c>
      <c r="B505" s="2466" t="s">
        <v>176</v>
      </c>
      <c r="C505" s="2445" t="s">
        <v>916</v>
      </c>
      <c r="D505" s="2434">
        <v>20000000</v>
      </c>
      <c r="E505" s="2463">
        <v>0.05</v>
      </c>
      <c r="F505" s="2434">
        <f>D505*E505</f>
        <v>1000000</v>
      </c>
      <c r="G505" s="2434"/>
      <c r="H505" s="2434"/>
      <c r="I505" s="24" t="s">
        <v>1839</v>
      </c>
      <c r="J505" s="2434">
        <f>G505</f>
        <v>0</v>
      </c>
      <c r="K505" s="2434">
        <f>F505-J505</f>
        <v>1000000</v>
      </c>
      <c r="L505" s="2466"/>
    </row>
    <row r="506" spans="1:12" ht="30" customHeight="1" x14ac:dyDescent="0.2">
      <c r="A506" s="3450">
        <v>325</v>
      </c>
      <c r="B506" s="3457" t="s">
        <v>273</v>
      </c>
      <c r="C506" s="3570"/>
      <c r="D506" s="2434">
        <v>300000000</v>
      </c>
      <c r="E506" s="2463">
        <v>0.1</v>
      </c>
      <c r="F506" s="2434">
        <v>30750000</v>
      </c>
      <c r="G506" s="2819">
        <v>20000000</v>
      </c>
      <c r="H506" s="2819" t="s">
        <v>4579</v>
      </c>
      <c r="I506" s="2828" t="s">
        <v>3062</v>
      </c>
      <c r="J506" s="3442">
        <f>G506+G507</f>
        <v>40550000</v>
      </c>
      <c r="K506" s="3442">
        <f>(F506+F507)-J506</f>
        <v>0</v>
      </c>
      <c r="L506" s="3570"/>
    </row>
    <row r="507" spans="1:12" ht="30" customHeight="1" x14ac:dyDescent="0.2">
      <c r="A507" s="3456"/>
      <c r="B507" s="3459"/>
      <c r="C507" s="3576"/>
      <c r="D507" s="2434">
        <v>140000000</v>
      </c>
      <c r="E507" s="2463">
        <v>7.0000000000000007E-2</v>
      </c>
      <c r="F507" s="2434">
        <v>9800000</v>
      </c>
      <c r="G507" s="2819">
        <v>20550000</v>
      </c>
      <c r="H507" s="2819" t="s">
        <v>4617</v>
      </c>
      <c r="I507" s="2828" t="s">
        <v>3062</v>
      </c>
      <c r="J507" s="3443"/>
      <c r="K507" s="3443"/>
      <c r="L507" s="3571"/>
    </row>
    <row r="508" spans="1:12" ht="30" customHeight="1" x14ac:dyDescent="0.2">
      <c r="A508" s="3451"/>
      <c r="B508" s="3458"/>
      <c r="C508" s="3571"/>
      <c r="D508" s="2903">
        <v>70000000</v>
      </c>
      <c r="E508" s="2907">
        <v>0.06</v>
      </c>
      <c r="F508" s="2903">
        <f>D508*E508</f>
        <v>4200000</v>
      </c>
      <c r="G508" s="2900"/>
      <c r="H508" s="2900"/>
      <c r="I508" s="2910"/>
      <c r="J508" s="2903"/>
      <c r="K508" s="2903"/>
      <c r="L508" s="2911" t="s">
        <v>4662</v>
      </c>
    </row>
    <row r="509" spans="1:12" ht="30" customHeight="1" x14ac:dyDescent="0.2">
      <c r="A509" s="3450">
        <v>326</v>
      </c>
      <c r="B509" s="3687" t="s">
        <v>179</v>
      </c>
      <c r="C509" s="3686"/>
      <c r="D509" s="3575">
        <v>500000000</v>
      </c>
      <c r="E509" s="3683">
        <v>0.05</v>
      </c>
      <c r="F509" s="3575">
        <f>D509*E509</f>
        <v>25000000</v>
      </c>
      <c r="G509" s="247"/>
      <c r="H509" s="247"/>
      <c r="I509" s="247"/>
      <c r="J509" s="247"/>
      <c r="K509" s="2422">
        <f>F509-J509</f>
        <v>25000000</v>
      </c>
      <c r="L509" s="3495" t="s">
        <v>3523</v>
      </c>
    </row>
    <row r="510" spans="1:12" ht="30" customHeight="1" x14ac:dyDescent="0.2">
      <c r="A510" s="3451"/>
      <c r="B510" s="3687"/>
      <c r="C510" s="3686"/>
      <c r="D510" s="3575"/>
      <c r="E510" s="3683"/>
      <c r="F510" s="3575"/>
      <c r="G510" s="247"/>
      <c r="H510" s="247"/>
      <c r="I510" s="247"/>
      <c r="J510" s="247"/>
      <c r="K510" s="2434"/>
      <c r="L510" s="3496"/>
    </row>
    <row r="511" spans="1:12" ht="30" customHeight="1" x14ac:dyDescent="0.2">
      <c r="A511" s="2465">
        <v>327</v>
      </c>
      <c r="B511" s="2428" t="s">
        <v>1280</v>
      </c>
      <c r="C511" s="2445"/>
      <c r="D511" s="2434">
        <v>60000000</v>
      </c>
      <c r="E511" s="2437">
        <v>0.05</v>
      </c>
      <c r="F511" s="2434">
        <f t="shared" ref="F511:F515" si="59">D511*E511</f>
        <v>3000000</v>
      </c>
      <c r="G511" s="2434"/>
      <c r="H511" s="2434"/>
      <c r="I511" s="24" t="s">
        <v>1279</v>
      </c>
      <c r="J511" s="2434">
        <f>G511</f>
        <v>0</v>
      </c>
      <c r="K511" s="2434">
        <f t="shared" ref="K511:K518" si="60">F511-J511</f>
        <v>3000000</v>
      </c>
      <c r="L511" s="2497"/>
    </row>
    <row r="512" spans="1:12" ht="30" customHeight="1" x14ac:dyDescent="0.2">
      <c r="A512" s="3450">
        <v>328</v>
      </c>
      <c r="B512" s="3457" t="s">
        <v>2809</v>
      </c>
      <c r="C512" s="3570" t="s">
        <v>971</v>
      </c>
      <c r="D512" s="2422">
        <v>685000000</v>
      </c>
      <c r="E512" s="2463">
        <v>0.06</v>
      </c>
      <c r="F512" s="2422">
        <f>D512*E512</f>
        <v>41100000</v>
      </c>
      <c r="G512" s="2434"/>
      <c r="H512" s="2434"/>
      <c r="I512" s="24" t="s">
        <v>1506</v>
      </c>
      <c r="J512" s="2434">
        <f>G512</f>
        <v>0</v>
      </c>
      <c r="K512" s="2434">
        <f t="shared" si="60"/>
        <v>41100000</v>
      </c>
      <c r="L512" s="2497"/>
    </row>
    <row r="513" spans="1:12" ht="30" customHeight="1" x14ac:dyDescent="0.2">
      <c r="A513" s="3456"/>
      <c r="B513" s="3459"/>
      <c r="C513" s="3576"/>
      <c r="D513" s="1913">
        <v>695000000</v>
      </c>
      <c r="E513" s="949">
        <v>0.06</v>
      </c>
      <c r="F513" s="1913">
        <f>D513*E513</f>
        <v>41700000</v>
      </c>
      <c r="G513" s="2786">
        <v>41700000</v>
      </c>
      <c r="H513" s="2786" t="s">
        <v>4546</v>
      </c>
      <c r="I513" s="2786" t="s">
        <v>4547</v>
      </c>
      <c r="J513" s="2786">
        <f>G513</f>
        <v>41700000</v>
      </c>
      <c r="K513" s="2792">
        <f t="shared" si="60"/>
        <v>0</v>
      </c>
      <c r="L513" s="3132" t="s">
        <v>3916</v>
      </c>
    </row>
    <row r="514" spans="1:12" ht="30" customHeight="1" x14ac:dyDescent="0.2">
      <c r="A514" s="3451"/>
      <c r="B514" s="3458"/>
      <c r="C514" s="3571"/>
      <c r="D514" s="1913">
        <v>695000000</v>
      </c>
      <c r="E514" s="949">
        <v>0.06</v>
      </c>
      <c r="F514" s="1913">
        <f>D514*E514</f>
        <v>41700000</v>
      </c>
      <c r="G514" s="3119">
        <v>41700000</v>
      </c>
      <c r="H514" s="3119" t="s">
        <v>4821</v>
      </c>
      <c r="I514" s="3119"/>
      <c r="J514" s="3119">
        <f>G514</f>
        <v>41700000</v>
      </c>
      <c r="K514" s="3120">
        <f>F514-J514</f>
        <v>0</v>
      </c>
      <c r="L514" s="3132" t="s">
        <v>4822</v>
      </c>
    </row>
    <row r="515" spans="1:12" ht="30" customHeight="1" x14ac:dyDescent="0.2">
      <c r="A515" s="2423">
        <v>329</v>
      </c>
      <c r="B515" s="2468" t="s">
        <v>184</v>
      </c>
      <c r="C515" s="421"/>
      <c r="D515" s="2450"/>
      <c r="E515" s="44"/>
      <c r="F515" s="2450">
        <f t="shared" si="59"/>
        <v>0</v>
      </c>
      <c r="G515" s="2422"/>
      <c r="H515" s="2422"/>
      <c r="I515" s="2470"/>
      <c r="J515" s="2422"/>
      <c r="K515" s="2450">
        <f t="shared" si="60"/>
        <v>0</v>
      </c>
      <c r="L515" s="2447"/>
    </row>
    <row r="516" spans="1:12" ht="30" customHeight="1" x14ac:dyDescent="0.2">
      <c r="A516" s="2465">
        <v>330</v>
      </c>
      <c r="B516" s="2466" t="s">
        <v>1211</v>
      </c>
      <c r="C516" s="2445" t="s">
        <v>1175</v>
      </c>
      <c r="D516" s="2434">
        <v>30000000</v>
      </c>
      <c r="E516" s="2437">
        <f>F516/D516</f>
        <v>0.05</v>
      </c>
      <c r="F516" s="2434">
        <v>1500000</v>
      </c>
      <c r="G516" s="2434">
        <v>1500000</v>
      </c>
      <c r="H516" s="2434" t="s">
        <v>4933</v>
      </c>
      <c r="I516" s="24" t="s">
        <v>4937</v>
      </c>
      <c r="J516" s="2434">
        <f>G516</f>
        <v>1500000</v>
      </c>
      <c r="K516" s="2434">
        <f t="shared" si="60"/>
        <v>0</v>
      </c>
      <c r="L516" s="2466"/>
    </row>
    <row r="517" spans="1:12" ht="30" customHeight="1" x14ac:dyDescent="0.2">
      <c r="A517" s="2502">
        <v>331</v>
      </c>
      <c r="B517" s="2466" t="s">
        <v>345</v>
      </c>
      <c r="C517" s="2467" t="s">
        <v>379</v>
      </c>
      <c r="D517" s="2422">
        <v>290000000</v>
      </c>
      <c r="E517" s="2463">
        <v>0.06</v>
      </c>
      <c r="F517" s="2422">
        <f t="shared" ref="F517:F521" si="61">D517*E517</f>
        <v>17400000</v>
      </c>
      <c r="G517" s="2422">
        <v>17400000</v>
      </c>
      <c r="H517" s="2422" t="s">
        <v>4617</v>
      </c>
      <c r="I517" s="2422" t="s">
        <v>1954</v>
      </c>
      <c r="J517" s="2422">
        <f>G517</f>
        <v>17400000</v>
      </c>
      <c r="K517" s="2422">
        <f t="shared" si="60"/>
        <v>0</v>
      </c>
      <c r="L517" s="2497"/>
    </row>
    <row r="518" spans="1:12" ht="30" customHeight="1" x14ac:dyDescent="0.2">
      <c r="A518" s="2465">
        <v>332</v>
      </c>
      <c r="B518" s="2428" t="s">
        <v>378</v>
      </c>
      <c r="C518" s="2445" t="s">
        <v>379</v>
      </c>
      <c r="D518" s="2434">
        <v>30000000</v>
      </c>
      <c r="E518" s="2437">
        <v>0.05</v>
      </c>
      <c r="F518" s="2434">
        <f t="shared" si="61"/>
        <v>1500000</v>
      </c>
      <c r="G518" s="2434">
        <v>1500000</v>
      </c>
      <c r="H518" s="2434" t="s">
        <v>4003</v>
      </c>
      <c r="I518" s="24" t="s">
        <v>3713</v>
      </c>
      <c r="J518" s="2438">
        <f>G518</f>
        <v>1500000</v>
      </c>
      <c r="K518" s="2438">
        <f t="shared" si="60"/>
        <v>0</v>
      </c>
      <c r="L518" s="2466"/>
    </row>
    <row r="519" spans="1:12" ht="30" customHeight="1" x14ac:dyDescent="0.2">
      <c r="A519" s="3450">
        <v>333</v>
      </c>
      <c r="B519" s="3457" t="s">
        <v>915</v>
      </c>
      <c r="C519" s="3570" t="s">
        <v>916</v>
      </c>
      <c r="D519" s="2434">
        <v>320000000</v>
      </c>
      <c r="E519" s="2463">
        <v>0.05</v>
      </c>
      <c r="F519" s="2434">
        <f t="shared" si="61"/>
        <v>16000000</v>
      </c>
      <c r="G519" s="3442">
        <v>21000000</v>
      </c>
      <c r="H519" s="3442" t="s">
        <v>4447</v>
      </c>
      <c r="I519" s="3452" t="s">
        <v>1395</v>
      </c>
      <c r="J519" s="3575">
        <f>G519</f>
        <v>21000000</v>
      </c>
      <c r="K519" s="3575">
        <f>(F519+F520)-J519</f>
        <v>0</v>
      </c>
      <c r="L519" s="3627"/>
    </row>
    <row r="520" spans="1:12" ht="30" customHeight="1" x14ac:dyDescent="0.2">
      <c r="A520" s="3451"/>
      <c r="B520" s="3458"/>
      <c r="C520" s="3571"/>
      <c r="D520" s="2434">
        <v>100000000</v>
      </c>
      <c r="E520" s="2463">
        <v>0.05</v>
      </c>
      <c r="F520" s="2434">
        <f t="shared" si="61"/>
        <v>5000000</v>
      </c>
      <c r="G520" s="3443"/>
      <c r="H520" s="3443"/>
      <c r="I520" s="3453"/>
      <c r="J520" s="3575"/>
      <c r="K520" s="3575"/>
      <c r="L520" s="3628"/>
    </row>
    <row r="521" spans="1:12" ht="30" customHeight="1" x14ac:dyDescent="0.2">
      <c r="A521" s="2423">
        <v>335</v>
      </c>
      <c r="B521" s="22" t="s">
        <v>1328</v>
      </c>
      <c r="C521" s="2467" t="s">
        <v>916</v>
      </c>
      <c r="D521" s="2434">
        <v>15000000</v>
      </c>
      <c r="E521" s="2463">
        <v>0.05</v>
      </c>
      <c r="F521" s="2434">
        <f t="shared" si="61"/>
        <v>750000</v>
      </c>
      <c r="G521" s="2434">
        <v>750000</v>
      </c>
      <c r="H521" s="2434" t="s">
        <v>4617</v>
      </c>
      <c r="I521" s="24" t="s">
        <v>2881</v>
      </c>
      <c r="J521" s="2434">
        <f>G521</f>
        <v>750000</v>
      </c>
      <c r="K521" s="2434">
        <f>F521-J521</f>
        <v>0</v>
      </c>
      <c r="L521" s="2497" t="s">
        <v>3524</v>
      </c>
    </row>
    <row r="522" spans="1:12" ht="30" customHeight="1" x14ac:dyDescent="0.2">
      <c r="A522" s="2465">
        <v>336</v>
      </c>
      <c r="B522" s="2428" t="s">
        <v>2710</v>
      </c>
      <c r="C522" s="2445" t="s">
        <v>916</v>
      </c>
      <c r="D522" s="2434">
        <v>210000000</v>
      </c>
      <c r="E522" s="2463">
        <v>0.05</v>
      </c>
      <c r="F522" s="2434">
        <f>D522*E522</f>
        <v>10500000</v>
      </c>
      <c r="G522" s="2434">
        <v>10500000</v>
      </c>
      <c r="H522" s="2434" t="s">
        <v>4458</v>
      </c>
      <c r="I522" s="24" t="s">
        <v>3544</v>
      </c>
      <c r="J522" s="2434">
        <f>G522</f>
        <v>10500000</v>
      </c>
      <c r="K522" s="2434">
        <f>F522-J522</f>
        <v>0</v>
      </c>
      <c r="L522" s="2466"/>
    </row>
    <row r="523" spans="1:12" ht="30" customHeight="1" x14ac:dyDescent="0.2">
      <c r="A523" s="3450">
        <v>337</v>
      </c>
      <c r="B523" s="3457" t="s">
        <v>1376</v>
      </c>
      <c r="C523" s="3570" t="s">
        <v>916</v>
      </c>
      <c r="D523" s="2434">
        <v>80000000</v>
      </c>
      <c r="E523" s="2463">
        <v>7.0000000000000007E-2</v>
      </c>
      <c r="F523" s="2434">
        <f t="shared" ref="F523:F543" si="62">D523*E523</f>
        <v>5600000.0000000009</v>
      </c>
      <c r="G523" s="3575">
        <v>19600000</v>
      </c>
      <c r="H523" s="3442" t="s">
        <v>1236</v>
      </c>
      <c r="I523" s="3670" t="s">
        <v>4533</v>
      </c>
      <c r="J523" s="3442">
        <f>G523</f>
        <v>19600000</v>
      </c>
      <c r="K523" s="3442">
        <f>G523-J523</f>
        <v>0</v>
      </c>
      <c r="L523" s="2466"/>
    </row>
    <row r="524" spans="1:12" ht="30" customHeight="1" x14ac:dyDescent="0.2">
      <c r="A524" s="3451"/>
      <c r="B524" s="3458"/>
      <c r="C524" s="3571"/>
      <c r="D524" s="2792">
        <v>200000000</v>
      </c>
      <c r="E524" s="2808">
        <v>0.06</v>
      </c>
      <c r="F524" s="2792">
        <f t="shared" si="62"/>
        <v>12000000</v>
      </c>
      <c r="G524" s="3575"/>
      <c r="H524" s="3443"/>
      <c r="I524" s="3670"/>
      <c r="J524" s="3443"/>
      <c r="K524" s="3443"/>
      <c r="L524" s="2789"/>
    </row>
    <row r="525" spans="1:12" ht="30" customHeight="1" x14ac:dyDescent="0.2">
      <c r="A525" s="3450"/>
      <c r="B525" s="3457" t="s">
        <v>1776</v>
      </c>
      <c r="C525" s="3570" t="s">
        <v>916</v>
      </c>
      <c r="D525" s="2500">
        <v>235500000</v>
      </c>
      <c r="E525" s="2463">
        <v>0.05</v>
      </c>
      <c r="F525" s="2434">
        <f t="shared" si="62"/>
        <v>11775000</v>
      </c>
      <c r="G525" s="2419"/>
      <c r="H525" s="2421"/>
      <c r="I525" s="2421"/>
      <c r="J525" s="2421"/>
      <c r="K525" s="1658"/>
      <c r="L525" s="2475"/>
    </row>
    <row r="526" spans="1:12" ht="30" customHeight="1" x14ac:dyDescent="0.2">
      <c r="A526" s="3456"/>
      <c r="B526" s="3459"/>
      <c r="C526" s="3576"/>
      <c r="D526" s="2434">
        <v>300000000</v>
      </c>
      <c r="E526" s="2463">
        <v>7.0000000000000007E-2</v>
      </c>
      <c r="F526" s="2434">
        <f t="shared" si="62"/>
        <v>21000000.000000004</v>
      </c>
      <c r="G526" s="2419"/>
      <c r="H526" s="2421"/>
      <c r="I526" s="2421"/>
      <c r="J526" s="2421"/>
      <c r="K526" s="1658"/>
      <c r="L526" s="2475"/>
    </row>
    <row r="527" spans="1:12" ht="30" customHeight="1" x14ac:dyDescent="0.2">
      <c r="A527" s="3456"/>
      <c r="B527" s="3459"/>
      <c r="C527" s="3576"/>
      <c r="D527" s="2434">
        <v>30000000</v>
      </c>
      <c r="E527" s="2463">
        <v>7.0000000000000007E-2</v>
      </c>
      <c r="F527" s="2434">
        <f t="shared" si="62"/>
        <v>2100000</v>
      </c>
      <c r="G527" s="2419"/>
      <c r="H527" s="2421"/>
      <c r="I527" s="2421"/>
      <c r="J527" s="2421"/>
      <c r="K527" s="1658"/>
      <c r="L527" s="2475"/>
    </row>
    <row r="528" spans="1:12" ht="30" customHeight="1" x14ac:dyDescent="0.2">
      <c r="A528" s="3456"/>
      <c r="B528" s="3459"/>
      <c r="C528" s="3576"/>
      <c r="D528" s="2422">
        <v>20000000</v>
      </c>
      <c r="E528" s="2435">
        <v>7.0000000000000007E-2</v>
      </c>
      <c r="F528" s="2422">
        <f>D528*E528</f>
        <v>1400000.0000000002</v>
      </c>
      <c r="G528" s="2419"/>
      <c r="H528" s="2421"/>
      <c r="I528" s="2421"/>
      <c r="J528" s="2421"/>
      <c r="K528" s="1658"/>
      <c r="L528" s="2475"/>
    </row>
    <row r="529" spans="1:17" ht="30" customHeight="1" x14ac:dyDescent="0.2">
      <c r="A529" s="3456"/>
      <c r="B529" s="3459"/>
      <c r="C529" s="3576"/>
      <c r="D529" s="2422">
        <v>12000000</v>
      </c>
      <c r="E529" s="2435">
        <v>7.0000000000000007E-2</v>
      </c>
      <c r="F529" s="2422">
        <f>D529*E529</f>
        <v>840000.00000000012</v>
      </c>
      <c r="G529" s="2419"/>
      <c r="H529" s="2421"/>
      <c r="I529" s="2421"/>
      <c r="J529" s="2421"/>
      <c r="K529" s="1658"/>
      <c r="L529" s="2475"/>
    </row>
    <row r="530" spans="1:17" ht="30" customHeight="1" x14ac:dyDescent="0.2">
      <c r="A530" s="3456"/>
      <c r="B530" s="3459"/>
      <c r="C530" s="3576"/>
      <c r="D530" s="1914">
        <f>SUM(D526:D529)</f>
        <v>362000000</v>
      </c>
      <c r="E530" s="2435">
        <v>7.0000000000000007E-2</v>
      </c>
      <c r="F530" s="2422">
        <f>D530*E530</f>
        <v>25340000.000000004</v>
      </c>
      <c r="G530" s="2419"/>
      <c r="H530" s="2421"/>
      <c r="I530" s="2421"/>
      <c r="J530" s="2421"/>
      <c r="K530" s="1658"/>
      <c r="L530" s="2475"/>
    </row>
    <row r="531" spans="1:17" ht="30" customHeight="1" x14ac:dyDescent="0.2">
      <c r="A531" s="3456"/>
      <c r="B531" s="3459"/>
      <c r="C531" s="3576"/>
      <c r="D531" s="3819">
        <f>D525+D530</f>
        <v>597500000</v>
      </c>
      <c r="E531" s="3820"/>
      <c r="F531" s="1914">
        <f>F525+F530</f>
        <v>37115000</v>
      </c>
      <c r="G531" s="2419"/>
      <c r="H531" s="2421"/>
      <c r="I531" s="2421"/>
      <c r="J531" s="2421"/>
      <c r="K531" s="1658"/>
      <c r="L531" s="2475"/>
    </row>
    <row r="532" spans="1:17" ht="30" customHeight="1" x14ac:dyDescent="0.2">
      <c r="A532" s="3456"/>
      <c r="B532" s="3459"/>
      <c r="C532" s="3576"/>
      <c r="D532" s="1914">
        <v>45000000</v>
      </c>
      <c r="E532" s="2493">
        <v>7.0000000000000007E-2</v>
      </c>
      <c r="F532" s="1914">
        <f>D532*E532</f>
        <v>3150000.0000000005</v>
      </c>
      <c r="G532" s="2419"/>
      <c r="H532" s="2421"/>
      <c r="I532" s="2421"/>
      <c r="J532" s="2421"/>
      <c r="K532" s="1658"/>
      <c r="L532" s="2475"/>
    </row>
    <row r="533" spans="1:17" ht="30" customHeight="1" x14ac:dyDescent="0.2">
      <c r="A533" s="3456"/>
      <c r="B533" s="3459"/>
      <c r="C533" s="3576"/>
      <c r="D533" s="1914">
        <v>100000000</v>
      </c>
      <c r="E533" s="2493">
        <v>7.0000000000000007E-2</v>
      </c>
      <c r="F533" s="1914">
        <f>D533*E533</f>
        <v>7000000.0000000009</v>
      </c>
      <c r="G533" s="3478" t="s">
        <v>3929</v>
      </c>
      <c r="H533" s="3479"/>
      <c r="I533" s="3479"/>
      <c r="J533" s="3479"/>
      <c r="K533" s="3480"/>
      <c r="L533" s="2475"/>
    </row>
    <row r="534" spans="1:17" ht="30" customHeight="1" x14ac:dyDescent="0.2">
      <c r="A534" s="3456"/>
      <c r="B534" s="3459"/>
      <c r="C534" s="3576"/>
      <c r="D534" s="1914">
        <v>80000000</v>
      </c>
      <c r="E534" s="2493">
        <v>7.0000000000000007E-2</v>
      </c>
      <c r="F534" s="1914">
        <f t="shared" ref="F534:F535" si="63">D534*E534</f>
        <v>5600000.0000000009</v>
      </c>
      <c r="G534" s="3478" t="s">
        <v>3930</v>
      </c>
      <c r="H534" s="3479"/>
      <c r="I534" s="3479"/>
      <c r="J534" s="3479"/>
      <c r="K534" s="3480"/>
      <c r="L534" s="2475"/>
    </row>
    <row r="535" spans="1:17" ht="30" customHeight="1" x14ac:dyDescent="0.2">
      <c r="A535" s="3456"/>
      <c r="B535" s="3459"/>
      <c r="C535" s="3576"/>
      <c r="D535" s="1914">
        <v>55000000</v>
      </c>
      <c r="E535" s="2493">
        <v>7.0000000000000007E-2</v>
      </c>
      <c r="F535" s="1914">
        <f t="shared" si="63"/>
        <v>3850000.0000000005</v>
      </c>
      <c r="G535" s="3478" t="s">
        <v>3931</v>
      </c>
      <c r="H535" s="3479"/>
      <c r="I535" s="3479"/>
      <c r="J535" s="3479"/>
      <c r="K535" s="3480"/>
      <c r="L535" s="2475"/>
    </row>
    <row r="536" spans="1:17" ht="30" customHeight="1" x14ac:dyDescent="0.2">
      <c r="A536" s="3456"/>
      <c r="B536" s="3459"/>
      <c r="C536" s="3576"/>
      <c r="D536" s="3819">
        <f>D531+D532+D533+D534+D535</f>
        <v>877500000</v>
      </c>
      <c r="E536" s="3820"/>
      <c r="F536" s="1914">
        <f>F531+F532+F533+F534+F535</f>
        <v>56715000</v>
      </c>
      <c r="G536" s="3827" t="s">
        <v>3811</v>
      </c>
      <c r="H536" s="3828"/>
      <c r="I536" s="3828"/>
      <c r="J536" s="3828"/>
      <c r="K536" s="3829"/>
      <c r="L536" s="2475"/>
    </row>
    <row r="537" spans="1:17" ht="30" customHeight="1" x14ac:dyDescent="0.2">
      <c r="A537" s="3456"/>
      <c r="B537" s="3459"/>
      <c r="C537" s="3576"/>
      <c r="D537" s="1914">
        <v>150000000</v>
      </c>
      <c r="E537" s="2493">
        <v>7.0000000000000007E-2</v>
      </c>
      <c r="F537" s="1914">
        <f>D537*E537</f>
        <v>10500000.000000002</v>
      </c>
      <c r="G537" s="3478" t="s">
        <v>4343</v>
      </c>
      <c r="H537" s="3479"/>
      <c r="I537" s="3479"/>
      <c r="J537" s="3479"/>
      <c r="K537" s="3480"/>
      <c r="L537" s="2475"/>
    </row>
    <row r="538" spans="1:17" ht="30" customHeight="1" x14ac:dyDescent="0.2">
      <c r="A538" s="3456"/>
      <c r="B538" s="3459"/>
      <c r="C538" s="3576"/>
      <c r="D538" s="1914">
        <v>100000000</v>
      </c>
      <c r="E538" s="2493">
        <v>7.0000000000000007E-2</v>
      </c>
      <c r="F538" s="1914">
        <f>D538*E538</f>
        <v>7000000.0000000009</v>
      </c>
      <c r="G538" s="3478" t="s">
        <v>4585</v>
      </c>
      <c r="H538" s="3479"/>
      <c r="I538" s="3479"/>
      <c r="J538" s="3479"/>
      <c r="K538" s="3480"/>
      <c r="L538" s="2475"/>
    </row>
    <row r="539" spans="1:17" ht="30" customHeight="1" x14ac:dyDescent="0.2">
      <c r="A539" s="3456"/>
      <c r="B539" s="3459"/>
      <c r="C539" s="3576"/>
      <c r="D539" s="3819">
        <f>D536+D537+D538</f>
        <v>1127500000</v>
      </c>
      <c r="E539" s="3820"/>
      <c r="F539" s="1914">
        <f>F536+F537+F538</f>
        <v>74215000</v>
      </c>
      <c r="G539" s="3827" t="s">
        <v>4020</v>
      </c>
      <c r="H539" s="3828"/>
      <c r="I539" s="3828"/>
      <c r="J539" s="3828"/>
      <c r="K539" s="3829"/>
      <c r="L539" s="2475"/>
    </row>
    <row r="540" spans="1:17" ht="30" customHeight="1" x14ac:dyDescent="0.2">
      <c r="A540" s="3456"/>
      <c r="B540" s="3459"/>
      <c r="C540" s="3576"/>
      <c r="D540" s="1914">
        <v>70000000</v>
      </c>
      <c r="E540" s="2817">
        <v>7.0000000000000007E-2</v>
      </c>
      <c r="F540" s="1914">
        <f>D540*E540</f>
        <v>4900000.0000000009</v>
      </c>
      <c r="G540" s="2786">
        <v>4215000</v>
      </c>
      <c r="H540" s="2786" t="s">
        <v>1236</v>
      </c>
      <c r="I540" s="2786" t="s">
        <v>1819</v>
      </c>
      <c r="J540" s="2786">
        <f>G540</f>
        <v>4215000</v>
      </c>
      <c r="K540" s="2786">
        <v>0</v>
      </c>
      <c r="L540" s="2812" t="s">
        <v>4529</v>
      </c>
    </row>
    <row r="541" spans="1:17" ht="30" customHeight="1" x14ac:dyDescent="0.2">
      <c r="A541" s="3456"/>
      <c r="B541" s="3459"/>
      <c r="C541" s="3576"/>
      <c r="D541" s="3819">
        <f>D539+D540</f>
        <v>1197500000</v>
      </c>
      <c r="E541" s="3820"/>
      <c r="F541" s="1914">
        <f>F539+F540</f>
        <v>79115000</v>
      </c>
      <c r="G541" s="3827" t="s">
        <v>4517</v>
      </c>
      <c r="H541" s="3828"/>
      <c r="I541" s="3828"/>
      <c r="J541" s="3828"/>
      <c r="K541" s="3829"/>
      <c r="L541" s="2812"/>
    </row>
    <row r="542" spans="1:17" ht="30" customHeight="1" x14ac:dyDescent="0.2">
      <c r="A542" s="3451"/>
      <c r="B542" s="3458"/>
      <c r="C542" s="3571"/>
      <c r="D542" s="1914"/>
      <c r="E542" s="2493"/>
      <c r="F542" s="1914"/>
      <c r="G542" s="2422"/>
      <c r="H542" s="2422"/>
      <c r="I542" s="2422" t="s">
        <v>1819</v>
      </c>
      <c r="J542" s="2422">
        <f>G542</f>
        <v>0</v>
      </c>
      <c r="K542" s="2422">
        <f>F536-J542</f>
        <v>56715000</v>
      </c>
      <c r="L542" s="2475"/>
    </row>
    <row r="543" spans="1:17" ht="30" customHeight="1" x14ac:dyDescent="0.2">
      <c r="A543" s="2503">
        <v>339</v>
      </c>
      <c r="B543" s="2469" t="s">
        <v>173</v>
      </c>
      <c r="C543" s="2445" t="s">
        <v>1378</v>
      </c>
      <c r="D543" s="2422">
        <v>200000000</v>
      </c>
      <c r="E543" s="2463">
        <v>7.0000000000000007E-2</v>
      </c>
      <c r="F543" s="2422">
        <f t="shared" si="62"/>
        <v>14000000.000000002</v>
      </c>
      <c r="G543" s="247"/>
      <c r="H543" s="247"/>
      <c r="I543" s="1441"/>
      <c r="J543" s="247"/>
      <c r="K543" s="430"/>
      <c r="L543" s="2490"/>
      <c r="M543" s="429"/>
      <c r="N543" s="429"/>
      <c r="O543" s="429"/>
      <c r="P543" s="429"/>
      <c r="Q543" s="429"/>
    </row>
    <row r="544" spans="1:17" ht="30" customHeight="1" x14ac:dyDescent="0.2">
      <c r="A544" s="3450">
        <v>340</v>
      </c>
      <c r="B544" s="3457" t="s">
        <v>68</v>
      </c>
      <c r="C544" s="3570" t="s">
        <v>1175</v>
      </c>
      <c r="D544" s="2434">
        <v>85000000</v>
      </c>
      <c r="E544" s="2463">
        <v>0.05</v>
      </c>
      <c r="F544" s="2434">
        <f>D544*E544</f>
        <v>4250000</v>
      </c>
      <c r="G544" s="2422">
        <v>4250000</v>
      </c>
      <c r="H544" s="2422" t="s">
        <v>4447</v>
      </c>
      <c r="I544" s="2470" t="s">
        <v>4455</v>
      </c>
      <c r="J544" s="2422">
        <f t="shared" ref="J544:J556" si="64">G544</f>
        <v>4250000</v>
      </c>
      <c r="K544" s="2420">
        <f>F544-J544</f>
        <v>0</v>
      </c>
      <c r="L544" s="2478" t="s">
        <v>4092</v>
      </c>
      <c r="M544" s="429"/>
      <c r="N544" s="429"/>
      <c r="O544" s="429"/>
      <c r="P544" s="429"/>
      <c r="Q544" s="429"/>
    </row>
    <row r="545" spans="1:17" ht="30" customHeight="1" x14ac:dyDescent="0.2">
      <c r="A545" s="3456"/>
      <c r="B545" s="3459"/>
      <c r="C545" s="3576"/>
      <c r="D545" s="3297">
        <v>4250000</v>
      </c>
      <c r="E545" s="3306">
        <v>0.05</v>
      </c>
      <c r="F545" s="3297">
        <f>D545*E545</f>
        <v>212500</v>
      </c>
      <c r="G545" s="3478" t="s">
        <v>4432</v>
      </c>
      <c r="H545" s="3479"/>
      <c r="I545" s="3479"/>
      <c r="J545" s="3480"/>
      <c r="K545" s="3304"/>
      <c r="L545" s="3303"/>
      <c r="M545" s="429"/>
      <c r="N545" s="429"/>
      <c r="O545" s="429"/>
      <c r="P545" s="429"/>
      <c r="Q545" s="429"/>
    </row>
    <row r="546" spans="1:17" ht="30" customHeight="1" x14ac:dyDescent="0.2">
      <c r="A546" s="3456"/>
      <c r="B546" s="3459"/>
      <c r="C546" s="3576"/>
      <c r="D546" s="3297">
        <v>18250000</v>
      </c>
      <c r="E546" s="3306">
        <v>0.05</v>
      </c>
      <c r="F546" s="3297">
        <f t="shared" ref="F546:F547" si="65">D546*E546</f>
        <v>912500</v>
      </c>
      <c r="G546" s="3478" t="s">
        <v>4964</v>
      </c>
      <c r="H546" s="3479"/>
      <c r="I546" s="3479"/>
      <c r="J546" s="3480"/>
      <c r="K546" s="3304"/>
      <c r="L546" s="3303"/>
      <c r="M546" s="429"/>
      <c r="N546" s="429"/>
      <c r="O546" s="429"/>
      <c r="P546" s="429"/>
      <c r="Q546" s="429"/>
    </row>
    <row r="547" spans="1:17" ht="30" customHeight="1" x14ac:dyDescent="0.2">
      <c r="A547" s="3456"/>
      <c r="B547" s="3459"/>
      <c r="C547" s="3576"/>
      <c r="D547" s="3297">
        <v>3500000</v>
      </c>
      <c r="E547" s="3306">
        <v>0.05</v>
      </c>
      <c r="F547" s="3297">
        <f t="shared" si="65"/>
        <v>175000</v>
      </c>
      <c r="G547" s="3478" t="s">
        <v>4965</v>
      </c>
      <c r="H547" s="3479"/>
      <c r="I547" s="3479"/>
      <c r="J547" s="3480"/>
      <c r="K547" s="3304"/>
      <c r="L547" s="3303"/>
      <c r="M547" s="429"/>
      <c r="N547" s="429"/>
      <c r="O547" s="429"/>
      <c r="P547" s="429"/>
      <c r="Q547" s="429"/>
    </row>
    <row r="548" spans="1:17" ht="30" customHeight="1" x14ac:dyDescent="0.2">
      <c r="A548" s="3451"/>
      <c r="B548" s="3458"/>
      <c r="C548" s="3571"/>
      <c r="D548" s="3312">
        <f>SUM(D544:D547)</f>
        <v>111000000</v>
      </c>
      <c r="E548" s="949">
        <v>0.05</v>
      </c>
      <c r="F548" s="3312">
        <f>D548*E548</f>
        <v>5550000</v>
      </c>
      <c r="G548" s="3478" t="s">
        <v>3451</v>
      </c>
      <c r="H548" s="3479"/>
      <c r="I548" s="3479"/>
      <c r="J548" s="3480"/>
      <c r="K548" s="3304"/>
      <c r="L548" s="3303"/>
      <c r="M548" s="429"/>
      <c r="N548" s="429"/>
      <c r="O548" s="429"/>
      <c r="P548" s="429"/>
      <c r="Q548" s="429"/>
    </row>
    <row r="549" spans="1:17" ht="30" customHeight="1" x14ac:dyDescent="0.2">
      <c r="A549" s="2425">
        <v>341</v>
      </c>
      <c r="B549" s="2428" t="s">
        <v>1429</v>
      </c>
      <c r="C549" s="2445"/>
      <c r="D549" s="2434">
        <v>150000000</v>
      </c>
      <c r="E549" s="2463">
        <f>F549/D549</f>
        <v>4.6666666666666669E-2</v>
      </c>
      <c r="F549" s="2434">
        <v>7000000</v>
      </c>
      <c r="G549" s="2434">
        <v>7000000</v>
      </c>
      <c r="H549" s="2434" t="s">
        <v>4458</v>
      </c>
      <c r="I549" s="2451" t="s">
        <v>4474</v>
      </c>
      <c r="J549" s="2434">
        <f t="shared" si="64"/>
        <v>7000000</v>
      </c>
      <c r="K549" s="2461">
        <f>G549-J549</f>
        <v>0</v>
      </c>
      <c r="L549" s="2490"/>
      <c r="M549" s="429"/>
      <c r="N549" s="429"/>
      <c r="O549" s="429"/>
      <c r="P549" s="429"/>
      <c r="Q549" s="429"/>
    </row>
    <row r="550" spans="1:17" ht="30" customHeight="1" x14ac:dyDescent="0.2">
      <c r="A550" s="2555">
        <v>342</v>
      </c>
      <c r="B550" s="2592" t="s">
        <v>72</v>
      </c>
      <c r="C550" s="385" t="s">
        <v>2493</v>
      </c>
      <c r="D550" s="2558">
        <v>70000000</v>
      </c>
      <c r="E550" s="2587">
        <v>0.05</v>
      </c>
      <c r="F550" s="2558">
        <f>D550*E550</f>
        <v>3500000</v>
      </c>
      <c r="G550" s="2434">
        <v>4960000</v>
      </c>
      <c r="H550" s="2434" t="s">
        <v>4458</v>
      </c>
      <c r="I550" s="2451" t="s">
        <v>3549</v>
      </c>
      <c r="J550" s="2434">
        <f t="shared" si="64"/>
        <v>4960000</v>
      </c>
      <c r="K550" s="2461">
        <f>F550-J550</f>
        <v>-1460000</v>
      </c>
      <c r="L550" s="2490" t="s">
        <v>4473</v>
      </c>
      <c r="M550" s="429"/>
      <c r="N550" s="429"/>
      <c r="O550" s="429"/>
      <c r="P550" s="429"/>
      <c r="Q550" s="429"/>
    </row>
    <row r="551" spans="1:17" ht="30" customHeight="1" x14ac:dyDescent="0.2">
      <c r="A551" s="1081">
        <v>343</v>
      </c>
      <c r="B551" s="22" t="s">
        <v>1437</v>
      </c>
      <c r="C551" s="2467" t="s">
        <v>1909</v>
      </c>
      <c r="D551" s="2422">
        <v>8000000</v>
      </c>
      <c r="E551" s="2463">
        <v>0.04</v>
      </c>
      <c r="F551" s="2422">
        <f>D551*E551</f>
        <v>320000</v>
      </c>
      <c r="G551" s="2422">
        <v>320000</v>
      </c>
      <c r="H551" s="2422" t="s">
        <v>4933</v>
      </c>
      <c r="I551" s="2422" t="s">
        <v>1438</v>
      </c>
      <c r="J551" s="2422">
        <f t="shared" si="64"/>
        <v>320000</v>
      </c>
      <c r="K551" s="2420">
        <f>F551-J551</f>
        <v>0</v>
      </c>
      <c r="L551" s="2460"/>
      <c r="M551" s="429"/>
      <c r="N551" s="429"/>
      <c r="O551" s="429"/>
      <c r="P551" s="429"/>
      <c r="Q551" s="429"/>
    </row>
    <row r="552" spans="1:17" ht="30" customHeight="1" x14ac:dyDescent="0.2">
      <c r="A552" s="2425">
        <v>344</v>
      </c>
      <c r="B552" s="2428" t="s">
        <v>1445</v>
      </c>
      <c r="C552" s="2445"/>
      <c r="D552" s="2440"/>
      <c r="E552" s="2443"/>
      <c r="F552" s="2440"/>
      <c r="G552" s="2434">
        <v>6500000</v>
      </c>
      <c r="H552" s="2434" t="s">
        <v>4512</v>
      </c>
      <c r="I552" s="2451" t="s">
        <v>4520</v>
      </c>
      <c r="J552" s="2434">
        <f t="shared" si="64"/>
        <v>6500000</v>
      </c>
      <c r="K552" s="2462">
        <f>F552-J552</f>
        <v>-6500000</v>
      </c>
      <c r="L552" s="2490"/>
      <c r="M552" s="429"/>
      <c r="N552" s="429"/>
      <c r="O552" s="429"/>
      <c r="P552" s="429"/>
      <c r="Q552" s="429"/>
    </row>
    <row r="553" spans="1:17" ht="30" customHeight="1" x14ac:dyDescent="0.2">
      <c r="A553" s="2425">
        <v>345</v>
      </c>
      <c r="B553" s="2428" t="s">
        <v>2206</v>
      </c>
      <c r="C553" s="2445" t="s">
        <v>1354</v>
      </c>
      <c r="D553" s="2434">
        <v>60000000</v>
      </c>
      <c r="E553" s="2463">
        <v>7.0000000000000007E-2</v>
      </c>
      <c r="F553" s="2434">
        <f>D553*E553</f>
        <v>4200000</v>
      </c>
      <c r="G553" s="2434">
        <v>4200000</v>
      </c>
      <c r="H553" s="2434" t="s">
        <v>3138</v>
      </c>
      <c r="I553" s="2451" t="s">
        <v>4268</v>
      </c>
      <c r="J553" s="2434">
        <f t="shared" si="64"/>
        <v>4200000</v>
      </c>
      <c r="K553" s="2461">
        <f>G553-J553</f>
        <v>0</v>
      </c>
      <c r="L553" s="2490"/>
      <c r="M553" s="429"/>
      <c r="N553" s="429"/>
      <c r="O553" s="429"/>
      <c r="P553" s="429"/>
      <c r="Q553" s="429"/>
    </row>
    <row r="554" spans="1:17" ht="30" customHeight="1" x14ac:dyDescent="0.2">
      <c r="A554" s="2425">
        <v>346</v>
      </c>
      <c r="B554" s="2428" t="s">
        <v>1452</v>
      </c>
      <c r="C554" s="2445" t="s">
        <v>1215</v>
      </c>
      <c r="D554" s="2434">
        <v>5000000</v>
      </c>
      <c r="E554" s="2463">
        <v>0.05</v>
      </c>
      <c r="F554" s="2434">
        <f>D554*E554</f>
        <v>250000</v>
      </c>
      <c r="G554" s="2434">
        <v>250000</v>
      </c>
      <c r="H554" s="2434" t="s">
        <v>4604</v>
      </c>
      <c r="I554" s="2451" t="s">
        <v>4124</v>
      </c>
      <c r="J554" s="2434">
        <f t="shared" si="64"/>
        <v>250000</v>
      </c>
      <c r="K554" s="2461">
        <f t="shared" ref="K554:K562" si="66">F554-J554</f>
        <v>0</v>
      </c>
      <c r="L554" s="2490"/>
      <c r="M554" s="429"/>
      <c r="N554" s="429"/>
      <c r="O554" s="429"/>
      <c r="P554" s="429"/>
      <c r="Q554" s="429"/>
    </row>
    <row r="555" spans="1:17" ht="30" customHeight="1" x14ac:dyDescent="0.2">
      <c r="A555" s="2425">
        <v>347</v>
      </c>
      <c r="B555" s="2428" t="s">
        <v>181</v>
      </c>
      <c r="C555" s="2445" t="s">
        <v>1909</v>
      </c>
      <c r="D555" s="2434">
        <v>130000000</v>
      </c>
      <c r="E555" s="2463">
        <v>0.05</v>
      </c>
      <c r="F555" s="2434">
        <f>D555*E555</f>
        <v>6500000</v>
      </c>
      <c r="G555" s="2434">
        <v>6500000</v>
      </c>
      <c r="H555" s="2434" t="s">
        <v>4933</v>
      </c>
      <c r="I555" s="2451" t="s">
        <v>4091</v>
      </c>
      <c r="J555" s="2434">
        <f t="shared" si="64"/>
        <v>6500000</v>
      </c>
      <c r="K555" s="2461">
        <f t="shared" si="66"/>
        <v>0</v>
      </c>
      <c r="L555" s="2490"/>
      <c r="M555" s="429"/>
      <c r="N555" s="429"/>
      <c r="O555" s="429"/>
      <c r="P555" s="429"/>
      <c r="Q555" s="429"/>
    </row>
    <row r="556" spans="1:17" ht="30" customHeight="1" x14ac:dyDescent="0.2">
      <c r="A556" s="2465">
        <v>348</v>
      </c>
      <c r="B556" s="22" t="s">
        <v>1480</v>
      </c>
      <c r="C556" s="2467" t="s">
        <v>1378</v>
      </c>
      <c r="D556" s="2422">
        <v>50000000</v>
      </c>
      <c r="E556" s="2463">
        <v>0.04</v>
      </c>
      <c r="F556" s="2422">
        <f>D556*E556</f>
        <v>2000000</v>
      </c>
      <c r="G556" s="2422">
        <v>2000000</v>
      </c>
      <c r="H556" s="2422" t="s">
        <v>4924</v>
      </c>
      <c r="I556" s="2451" t="s">
        <v>4045</v>
      </c>
      <c r="J556" s="2434">
        <f t="shared" si="64"/>
        <v>2000000</v>
      </c>
      <c r="K556" s="2461">
        <f t="shared" si="66"/>
        <v>0</v>
      </c>
      <c r="L556" s="2490"/>
      <c r="M556" s="429"/>
      <c r="N556" s="429"/>
      <c r="O556" s="429"/>
      <c r="P556" s="429"/>
      <c r="Q556" s="429"/>
    </row>
    <row r="557" spans="1:17" ht="30" customHeight="1" x14ac:dyDescent="0.2">
      <c r="A557" s="2511">
        <v>349</v>
      </c>
      <c r="B557" s="22" t="s">
        <v>1619</v>
      </c>
      <c r="C557" s="421"/>
      <c r="D557" s="3325" t="s">
        <v>4468</v>
      </c>
      <c r="E557" s="3340"/>
      <c r="F557" s="3341"/>
      <c r="G557" s="2434">
        <v>192000</v>
      </c>
      <c r="H557" s="2434" t="s">
        <v>4458</v>
      </c>
      <c r="I557" s="2451" t="s">
        <v>4469</v>
      </c>
      <c r="J557" s="2552">
        <f>G557</f>
        <v>192000</v>
      </c>
      <c r="K557" s="2549">
        <v>0</v>
      </c>
      <c r="L557" s="2490" t="s">
        <v>4470</v>
      </c>
      <c r="M557" s="429"/>
      <c r="N557" s="429"/>
      <c r="O557" s="429"/>
      <c r="P557" s="429"/>
      <c r="Q557" s="429"/>
    </row>
    <row r="558" spans="1:17" ht="30" customHeight="1" x14ac:dyDescent="0.2">
      <c r="A558" s="2425">
        <v>350</v>
      </c>
      <c r="B558" s="2428" t="s">
        <v>1647</v>
      </c>
      <c r="C558" s="2445"/>
      <c r="D558" s="2434">
        <v>110000000</v>
      </c>
      <c r="E558" s="3712" t="s">
        <v>1649</v>
      </c>
      <c r="F558" s="3713"/>
      <c r="G558" s="2434"/>
      <c r="H558" s="2434"/>
      <c r="I558" s="2451" t="s">
        <v>3605</v>
      </c>
      <c r="J558" s="2434">
        <f t="shared" ref="J558:J564" si="67">G558</f>
        <v>0</v>
      </c>
      <c r="K558" s="2462">
        <f t="shared" si="66"/>
        <v>0</v>
      </c>
      <c r="L558" s="2490"/>
      <c r="M558" s="429"/>
      <c r="N558" s="429"/>
      <c r="O558" s="429"/>
      <c r="P558" s="429"/>
      <c r="Q558" s="429"/>
    </row>
    <row r="559" spans="1:17" ht="30" customHeight="1" x14ac:dyDescent="0.2">
      <c r="A559" s="2465"/>
      <c r="B559" s="22" t="s">
        <v>1651</v>
      </c>
      <c r="C559" s="2467" t="s">
        <v>1215</v>
      </c>
      <c r="D559" s="2422">
        <v>680000000</v>
      </c>
      <c r="E559" s="2463">
        <v>7.0000000000000007E-2</v>
      </c>
      <c r="F559" s="2422">
        <f t="shared" ref="F559:F565" si="68">D559*E559</f>
        <v>47600000.000000007</v>
      </c>
      <c r="G559" s="2422">
        <v>47600000</v>
      </c>
      <c r="H559" s="2422" t="s">
        <v>4546</v>
      </c>
      <c r="I559" s="2422" t="s">
        <v>2591</v>
      </c>
      <c r="J559" s="2422">
        <f t="shared" si="67"/>
        <v>47600000</v>
      </c>
      <c r="K559" s="2461">
        <f t="shared" si="66"/>
        <v>0</v>
      </c>
      <c r="L559" s="2478"/>
      <c r="M559" s="429"/>
      <c r="N559" s="429"/>
      <c r="O559" s="429"/>
      <c r="P559" s="429"/>
      <c r="Q559" s="429"/>
    </row>
    <row r="560" spans="1:17" ht="30" customHeight="1" x14ac:dyDescent="0.2">
      <c r="A560" s="2425">
        <v>352</v>
      </c>
      <c r="B560" s="2428" t="s">
        <v>1654</v>
      </c>
      <c r="C560" s="2445" t="s">
        <v>1112</v>
      </c>
      <c r="D560" s="2434">
        <v>50000000</v>
      </c>
      <c r="E560" s="2437">
        <v>7.0000000000000007E-2</v>
      </c>
      <c r="F560" s="2434">
        <f t="shared" si="68"/>
        <v>3500000.0000000005</v>
      </c>
      <c r="G560" s="2434">
        <v>3500000</v>
      </c>
      <c r="H560" s="2434" t="s">
        <v>4447</v>
      </c>
      <c r="I560" s="24" t="s">
        <v>3653</v>
      </c>
      <c r="J560" s="2434">
        <f t="shared" si="67"/>
        <v>3500000</v>
      </c>
      <c r="K560" s="2461">
        <f t="shared" si="66"/>
        <v>0</v>
      </c>
      <c r="L560" s="2490"/>
      <c r="M560" s="429"/>
      <c r="N560" s="429"/>
      <c r="O560" s="429"/>
      <c r="P560" s="429"/>
      <c r="Q560" s="429"/>
    </row>
    <row r="561" spans="1:17" ht="30" customHeight="1" x14ac:dyDescent="0.2">
      <c r="A561" s="3693">
        <v>353</v>
      </c>
      <c r="B561" s="3687" t="s">
        <v>1658</v>
      </c>
      <c r="C561" s="2467" t="s">
        <v>1215</v>
      </c>
      <c r="D561" s="2434">
        <v>50000000</v>
      </c>
      <c r="E561" s="2463">
        <v>0.05</v>
      </c>
      <c r="F561" s="2434">
        <f t="shared" si="68"/>
        <v>2500000</v>
      </c>
      <c r="G561" s="2434">
        <v>2500000</v>
      </c>
      <c r="H561" s="2434" t="s">
        <v>1236</v>
      </c>
      <c r="I561" s="2451" t="s">
        <v>3856</v>
      </c>
      <c r="J561" s="2434">
        <f t="shared" si="67"/>
        <v>2500000</v>
      </c>
      <c r="K561" s="2461">
        <f t="shared" si="66"/>
        <v>0</v>
      </c>
      <c r="L561" s="2490"/>
      <c r="M561" s="429"/>
      <c r="N561" s="429"/>
      <c r="O561" s="429"/>
      <c r="P561" s="429"/>
      <c r="Q561" s="429"/>
    </row>
    <row r="562" spans="1:17" ht="30" customHeight="1" x14ac:dyDescent="0.2">
      <c r="A562" s="3693"/>
      <c r="B562" s="3687"/>
      <c r="C562" s="2467" t="s">
        <v>1354</v>
      </c>
      <c r="D562" s="2434">
        <v>20000000</v>
      </c>
      <c r="E562" s="2463">
        <v>0.05</v>
      </c>
      <c r="F562" s="2434">
        <f t="shared" si="68"/>
        <v>1000000</v>
      </c>
      <c r="G562" s="1508">
        <v>1000000</v>
      </c>
      <c r="H562" s="1508" t="s">
        <v>3138</v>
      </c>
      <c r="I562" s="1508" t="s">
        <v>3856</v>
      </c>
      <c r="J562" s="1508">
        <f t="shared" si="67"/>
        <v>1000000</v>
      </c>
      <c r="K562" s="2461">
        <f t="shared" si="66"/>
        <v>0</v>
      </c>
      <c r="L562" s="2490"/>
      <c r="M562" s="429"/>
      <c r="N562" s="429"/>
      <c r="O562" s="429"/>
      <c r="P562" s="429"/>
      <c r="Q562" s="429"/>
    </row>
    <row r="563" spans="1:17" ht="30" customHeight="1" x14ac:dyDescent="0.2">
      <c r="A563" s="2425">
        <v>355</v>
      </c>
      <c r="B563" s="2428" t="s">
        <v>1675</v>
      </c>
      <c r="C563" s="2445" t="s">
        <v>2778</v>
      </c>
      <c r="D563" s="2434">
        <v>115000000</v>
      </c>
      <c r="E563" s="2463">
        <v>0.05</v>
      </c>
      <c r="F563" s="2434">
        <f t="shared" si="68"/>
        <v>5750000</v>
      </c>
      <c r="G563" s="2434">
        <v>5750000</v>
      </c>
      <c r="H563" s="2434" t="s">
        <v>4480</v>
      </c>
      <c r="I563" s="516" t="s">
        <v>3547</v>
      </c>
      <c r="J563" s="2434">
        <f t="shared" si="67"/>
        <v>5750000</v>
      </c>
      <c r="K563" s="2461">
        <f>F563-J563</f>
        <v>0</v>
      </c>
      <c r="L563" s="2490"/>
      <c r="M563" s="429"/>
      <c r="N563" s="429"/>
      <c r="O563" s="429"/>
      <c r="P563" s="429"/>
      <c r="Q563" s="429"/>
    </row>
    <row r="564" spans="1:17" ht="30" customHeight="1" x14ac:dyDescent="0.2">
      <c r="A564" s="3450">
        <v>356</v>
      </c>
      <c r="B564" s="3457" t="s">
        <v>1683</v>
      </c>
      <c r="C564" s="3570"/>
      <c r="D564" s="2434">
        <v>60000000</v>
      </c>
      <c r="E564" s="2463">
        <v>0.04</v>
      </c>
      <c r="F564" s="2434">
        <f t="shared" si="68"/>
        <v>2400000</v>
      </c>
      <c r="G564" s="3442">
        <v>2800000</v>
      </c>
      <c r="H564" s="3442" t="s">
        <v>4480</v>
      </c>
      <c r="I564" s="3703" t="s">
        <v>4063</v>
      </c>
      <c r="J564" s="3442">
        <f t="shared" si="67"/>
        <v>2800000</v>
      </c>
      <c r="K564" s="3625">
        <f>(F564+F565)-J564</f>
        <v>0</v>
      </c>
      <c r="L564" s="3625"/>
      <c r="M564" s="429"/>
      <c r="N564" s="429"/>
      <c r="O564" s="429"/>
      <c r="P564" s="429"/>
      <c r="Q564" s="429"/>
    </row>
    <row r="565" spans="1:17" ht="30" customHeight="1" x14ac:dyDescent="0.2">
      <c r="A565" s="3451"/>
      <c r="B565" s="3458"/>
      <c r="C565" s="3571"/>
      <c r="D565" s="2434">
        <v>10000000</v>
      </c>
      <c r="E565" s="2463">
        <v>0.04</v>
      </c>
      <c r="F565" s="2434">
        <f t="shared" si="68"/>
        <v>400000</v>
      </c>
      <c r="G565" s="3443"/>
      <c r="H565" s="3443"/>
      <c r="I565" s="3704"/>
      <c r="J565" s="3443"/>
      <c r="K565" s="3626"/>
      <c r="L565" s="3626"/>
      <c r="M565" s="429"/>
      <c r="N565" s="429"/>
      <c r="O565" s="429"/>
      <c r="P565" s="429"/>
      <c r="Q565" s="429"/>
    </row>
    <row r="566" spans="1:17" ht="30" customHeight="1" x14ac:dyDescent="0.2">
      <c r="A566" s="2425">
        <v>357</v>
      </c>
      <c r="B566" s="2428" t="s">
        <v>1685</v>
      </c>
      <c r="C566" s="2445"/>
      <c r="D566" s="2434">
        <v>70000000</v>
      </c>
      <c r="E566" s="44"/>
      <c r="F566" s="2440"/>
      <c r="G566" s="2434"/>
      <c r="H566" s="2434"/>
      <c r="I566" s="516"/>
      <c r="J566" s="2434"/>
      <c r="K566" s="2462"/>
      <c r="L566" s="2490"/>
      <c r="M566" s="429"/>
      <c r="N566" s="429"/>
      <c r="O566" s="429"/>
      <c r="P566" s="429"/>
      <c r="Q566" s="429"/>
    </row>
    <row r="567" spans="1:17" ht="30" customHeight="1" x14ac:dyDescent="0.2">
      <c r="A567" s="1081">
        <v>358</v>
      </c>
      <c r="B567" s="2466" t="s">
        <v>1690</v>
      </c>
      <c r="C567" s="2467"/>
      <c r="D567" s="2450"/>
      <c r="E567" s="44"/>
      <c r="F567" s="2450"/>
      <c r="G567" s="2422"/>
      <c r="H567" s="2422"/>
      <c r="I567" s="1082" t="s">
        <v>1691</v>
      </c>
      <c r="J567" s="2422">
        <f>G567</f>
        <v>0</v>
      </c>
      <c r="K567" s="1083">
        <f>F567-J567</f>
        <v>0</v>
      </c>
      <c r="L567" s="2490" t="s">
        <v>4272</v>
      </c>
      <c r="M567" s="429"/>
      <c r="N567" s="429"/>
      <c r="O567" s="429"/>
      <c r="P567" s="429"/>
      <c r="Q567" s="429"/>
    </row>
    <row r="568" spans="1:17" ht="30" customHeight="1" x14ac:dyDescent="0.2">
      <c r="A568" s="3450">
        <v>359</v>
      </c>
      <c r="B568" s="3457" t="s">
        <v>1692</v>
      </c>
      <c r="C568" s="3570"/>
      <c r="D568" s="3505"/>
      <c r="E568" s="3507"/>
      <c r="F568" s="3505"/>
      <c r="G568" s="2434"/>
      <c r="H568" s="2434"/>
      <c r="I568" s="516"/>
      <c r="J568" s="3442">
        <f>G568+G569</f>
        <v>0</v>
      </c>
      <c r="K568" s="3654">
        <f>F568-J568</f>
        <v>0</v>
      </c>
      <c r="L568" s="3625"/>
      <c r="M568" s="429"/>
      <c r="N568" s="429"/>
      <c r="O568" s="429"/>
      <c r="P568" s="429"/>
      <c r="Q568" s="429"/>
    </row>
    <row r="569" spans="1:17" ht="30" customHeight="1" x14ac:dyDescent="0.2">
      <c r="A569" s="3451"/>
      <c r="B569" s="3458"/>
      <c r="C569" s="3571"/>
      <c r="D569" s="3506"/>
      <c r="E569" s="3508"/>
      <c r="F569" s="3506"/>
      <c r="G569" s="2434"/>
      <c r="H569" s="2434"/>
      <c r="I569" s="516"/>
      <c r="J569" s="3443"/>
      <c r="K569" s="3655"/>
      <c r="L569" s="3626"/>
      <c r="M569" s="429"/>
      <c r="N569" s="429"/>
      <c r="O569" s="429"/>
      <c r="P569" s="429"/>
      <c r="Q569" s="429"/>
    </row>
    <row r="570" spans="1:17" ht="30" customHeight="1" x14ac:dyDescent="0.2">
      <c r="A570" s="3693">
        <v>360</v>
      </c>
      <c r="B570" s="3687" t="s">
        <v>1707</v>
      </c>
      <c r="C570" s="3686" t="s">
        <v>916</v>
      </c>
      <c r="D570" s="2552">
        <v>290000000</v>
      </c>
      <c r="E570" s="2587">
        <v>0.05</v>
      </c>
      <c r="F570" s="2552">
        <f>D570*E570</f>
        <v>14500000</v>
      </c>
      <c r="G570" s="2721"/>
      <c r="H570" s="2721"/>
      <c r="I570" s="2721"/>
      <c r="J570" s="3575">
        <f>G570+G571</f>
        <v>0</v>
      </c>
      <c r="K570" s="3329">
        <f>(F570+F571)-J570</f>
        <v>27100000</v>
      </c>
      <c r="L570" s="3702" t="s">
        <v>4438</v>
      </c>
      <c r="M570" s="429"/>
      <c r="N570" s="429"/>
      <c r="O570" s="429"/>
      <c r="P570" s="429"/>
      <c r="Q570" s="429"/>
    </row>
    <row r="571" spans="1:17" ht="30" customHeight="1" x14ac:dyDescent="0.2">
      <c r="A571" s="3693"/>
      <c r="B571" s="3687"/>
      <c r="C571" s="3686"/>
      <c r="D571" s="2552">
        <v>210000000</v>
      </c>
      <c r="E571" s="2587">
        <v>0.06</v>
      </c>
      <c r="F571" s="2552">
        <f>D571*E571</f>
        <v>12600000</v>
      </c>
      <c r="G571" s="2721"/>
      <c r="H571" s="2721"/>
      <c r="I571" s="2721"/>
      <c r="J571" s="3575"/>
      <c r="K571" s="3329"/>
      <c r="L571" s="3702"/>
      <c r="M571" s="429"/>
      <c r="N571" s="429"/>
      <c r="O571" s="429"/>
      <c r="P571" s="429"/>
      <c r="Q571" s="429"/>
    </row>
    <row r="572" spans="1:17" ht="30" customHeight="1" x14ac:dyDescent="0.2">
      <c r="A572" s="3693"/>
      <c r="B572" s="3687"/>
      <c r="C572" s="3686"/>
      <c r="D572" s="2552">
        <v>150000000</v>
      </c>
      <c r="E572" s="2587"/>
      <c r="F572" s="2552"/>
      <c r="G572" s="2721"/>
      <c r="H572" s="2721"/>
      <c r="I572" s="2721"/>
      <c r="J572" s="2552"/>
      <c r="K572" s="2549"/>
      <c r="L572" s="2603" t="s">
        <v>4439</v>
      </c>
      <c r="M572" s="429"/>
      <c r="N572" s="429"/>
      <c r="O572" s="429"/>
      <c r="P572" s="429"/>
      <c r="Q572" s="429"/>
    </row>
    <row r="573" spans="1:17" ht="30" customHeight="1" x14ac:dyDescent="0.2">
      <c r="A573" s="3450">
        <v>361</v>
      </c>
      <c r="B573" s="3457" t="s">
        <v>1705</v>
      </c>
      <c r="C573" s="3570"/>
      <c r="D573" s="3442">
        <v>3045000000</v>
      </c>
      <c r="E573" s="3444"/>
      <c r="F573" s="3442">
        <v>95800000</v>
      </c>
      <c r="G573" s="2514">
        <v>39000000</v>
      </c>
      <c r="H573" s="3325" t="s">
        <v>4320</v>
      </c>
      <c r="I573" s="3341"/>
      <c r="J573" s="3442">
        <f>G573+G574++G575+G576+G577+G578+G579</f>
        <v>95800000</v>
      </c>
      <c r="K573" s="3625">
        <f>F573-J573</f>
        <v>0</v>
      </c>
      <c r="L573" s="2477"/>
      <c r="M573" s="429"/>
      <c r="N573" s="429"/>
      <c r="O573" s="429"/>
      <c r="P573" s="429"/>
      <c r="Q573" s="429"/>
    </row>
    <row r="574" spans="1:17" ht="30" customHeight="1" x14ac:dyDescent="0.2">
      <c r="A574" s="3456"/>
      <c r="B574" s="3459"/>
      <c r="C574" s="3576"/>
      <c r="D574" s="3461"/>
      <c r="E574" s="3474"/>
      <c r="F574" s="3461"/>
      <c r="G574" s="2552">
        <v>1000000</v>
      </c>
      <c r="H574" s="2552" t="s">
        <v>4458</v>
      </c>
      <c r="I574" s="2552" t="s">
        <v>2598</v>
      </c>
      <c r="J574" s="3461"/>
      <c r="K574" s="3696"/>
      <c r="L574" s="2489"/>
      <c r="M574" s="429"/>
      <c r="N574" s="429"/>
      <c r="O574" s="429"/>
      <c r="P574" s="429"/>
      <c r="Q574" s="429"/>
    </row>
    <row r="575" spans="1:17" ht="30" customHeight="1" x14ac:dyDescent="0.2">
      <c r="A575" s="3456"/>
      <c r="B575" s="3459"/>
      <c r="C575" s="3576"/>
      <c r="D575" s="3461"/>
      <c r="E575" s="3474"/>
      <c r="F575" s="3461"/>
      <c r="G575" s="2558">
        <v>10000000</v>
      </c>
      <c r="H575" s="2558" t="s">
        <v>1236</v>
      </c>
      <c r="I575" s="516" t="s">
        <v>2421</v>
      </c>
      <c r="J575" s="3461"/>
      <c r="K575" s="3696"/>
      <c r="L575" s="2815" t="s">
        <v>2500</v>
      </c>
      <c r="M575" s="429"/>
      <c r="N575" s="429"/>
      <c r="O575" s="429"/>
      <c r="P575" s="429"/>
      <c r="Q575" s="429"/>
    </row>
    <row r="576" spans="1:17" ht="30" customHeight="1" x14ac:dyDescent="0.2">
      <c r="A576" s="3456"/>
      <c r="B576" s="3459"/>
      <c r="C576" s="3576"/>
      <c r="D576" s="3461"/>
      <c r="E576" s="3474"/>
      <c r="F576" s="3461"/>
      <c r="G576" s="2434">
        <v>10000000</v>
      </c>
      <c r="H576" s="2434" t="s">
        <v>1236</v>
      </c>
      <c r="I576" s="516" t="s">
        <v>2421</v>
      </c>
      <c r="J576" s="3461"/>
      <c r="K576" s="3696"/>
      <c r="L576" s="2815" t="s">
        <v>2500</v>
      </c>
      <c r="M576" s="429"/>
      <c r="N576" s="429"/>
      <c r="O576" s="429"/>
      <c r="P576" s="429"/>
      <c r="Q576" s="429"/>
    </row>
    <row r="577" spans="1:17" ht="30" customHeight="1" x14ac:dyDescent="0.2">
      <c r="A577" s="3456"/>
      <c r="B577" s="3459"/>
      <c r="C577" s="3576"/>
      <c r="D577" s="3461"/>
      <c r="E577" s="3474"/>
      <c r="F577" s="3461"/>
      <c r="G577" s="2819">
        <v>5000000</v>
      </c>
      <c r="H577" s="2819" t="s">
        <v>4579</v>
      </c>
      <c r="I577" s="2819" t="s">
        <v>2598</v>
      </c>
      <c r="J577" s="3461"/>
      <c r="K577" s="3696"/>
      <c r="L577" s="898"/>
      <c r="M577" s="429"/>
      <c r="N577" s="429"/>
      <c r="O577" s="429"/>
      <c r="P577" s="429"/>
      <c r="Q577" s="429"/>
    </row>
    <row r="578" spans="1:17" ht="30" customHeight="1" x14ac:dyDescent="0.2">
      <c r="A578" s="3456"/>
      <c r="B578" s="3459"/>
      <c r="C578" s="3576"/>
      <c r="D578" s="3461"/>
      <c r="E578" s="3474"/>
      <c r="F578" s="3461"/>
      <c r="G578" s="2434">
        <v>10800000</v>
      </c>
      <c r="H578" s="2434" t="s">
        <v>4604</v>
      </c>
      <c r="I578" s="516" t="s">
        <v>1706</v>
      </c>
      <c r="J578" s="3461"/>
      <c r="K578" s="3696"/>
      <c r="L578" s="3071" t="s">
        <v>4786</v>
      </c>
      <c r="M578" s="429"/>
      <c r="N578" s="429"/>
      <c r="O578" s="429"/>
      <c r="P578" s="429"/>
      <c r="Q578" s="429"/>
    </row>
    <row r="579" spans="1:17" ht="30" customHeight="1" x14ac:dyDescent="0.2">
      <c r="A579" s="3456"/>
      <c r="B579" s="3459"/>
      <c r="C579" s="3576"/>
      <c r="D579" s="3461"/>
      <c r="E579" s="3474"/>
      <c r="F579" s="3461"/>
      <c r="G579" s="2434">
        <v>20000000</v>
      </c>
      <c r="H579" s="2434" t="s">
        <v>1047</v>
      </c>
      <c r="I579" s="516" t="s">
        <v>1706</v>
      </c>
      <c r="J579" s="3461"/>
      <c r="K579" s="3696"/>
      <c r="L579" s="3071" t="s">
        <v>4787</v>
      </c>
      <c r="M579" s="429"/>
      <c r="N579" s="429"/>
      <c r="O579" s="429"/>
      <c r="P579" s="429"/>
      <c r="Q579" s="429"/>
    </row>
    <row r="580" spans="1:17" ht="30" customHeight="1" x14ac:dyDescent="0.2">
      <c r="A580" s="3456"/>
      <c r="B580" s="3459"/>
      <c r="C580" s="3576"/>
      <c r="D580" s="3461"/>
      <c r="E580" s="3474"/>
      <c r="F580" s="3461"/>
      <c r="G580" s="2434"/>
      <c r="H580" s="2434"/>
      <c r="I580" s="516"/>
      <c r="J580" s="3461"/>
      <c r="K580" s="3696"/>
      <c r="L580" s="898"/>
      <c r="M580" s="429"/>
      <c r="N580" s="429"/>
      <c r="O580" s="429"/>
      <c r="P580" s="429"/>
      <c r="Q580" s="429"/>
    </row>
    <row r="581" spans="1:17" ht="30" customHeight="1" x14ac:dyDescent="0.2">
      <c r="A581" s="3456"/>
      <c r="B581" s="3459"/>
      <c r="C581" s="3576"/>
      <c r="D581" s="3461"/>
      <c r="E581" s="3474"/>
      <c r="F581" s="3461"/>
      <c r="G581" s="2434"/>
      <c r="H581" s="2434"/>
      <c r="I581" s="516"/>
      <c r="J581" s="3461"/>
      <c r="K581" s="3696"/>
      <c r="L581" s="898"/>
      <c r="M581" s="429"/>
      <c r="N581" s="429"/>
      <c r="O581" s="429"/>
      <c r="P581" s="429"/>
      <c r="Q581" s="429"/>
    </row>
    <row r="582" spans="1:17" ht="30" customHeight="1" x14ac:dyDescent="0.2">
      <c r="A582" s="3451"/>
      <c r="B582" s="3458"/>
      <c r="C582" s="3571"/>
      <c r="D582" s="3443"/>
      <c r="E582" s="3445"/>
      <c r="F582" s="3443"/>
      <c r="G582" s="2434"/>
      <c r="H582" s="2434"/>
      <c r="I582" s="516"/>
      <c r="J582" s="3443"/>
      <c r="K582" s="3626"/>
      <c r="L582" s="951"/>
      <c r="M582" s="429"/>
      <c r="N582" s="429"/>
      <c r="O582" s="429"/>
      <c r="P582" s="429"/>
      <c r="Q582" s="429"/>
    </row>
    <row r="583" spans="1:17" ht="30" customHeight="1" x14ac:dyDescent="0.2">
      <c r="A583" s="3450"/>
      <c r="B583" s="3457" t="s">
        <v>4321</v>
      </c>
      <c r="C583" s="3570"/>
      <c r="D583" s="3442">
        <v>30000000</v>
      </c>
      <c r="E583" s="3444">
        <v>6.5000000000000002E-2</v>
      </c>
      <c r="F583" s="3442">
        <f>D583*E583</f>
        <v>1950000</v>
      </c>
      <c r="G583" s="3442">
        <v>1950000</v>
      </c>
      <c r="H583" s="3442" t="s">
        <v>2604</v>
      </c>
      <c r="I583" s="3442" t="s">
        <v>2499</v>
      </c>
      <c r="J583" s="3442">
        <f>G583</f>
        <v>1950000</v>
      </c>
      <c r="K583" s="3625">
        <f>F583-J583</f>
        <v>0</v>
      </c>
      <c r="L583" s="3168" t="s">
        <v>4322</v>
      </c>
      <c r="M583" s="3168"/>
      <c r="N583" s="3168"/>
      <c r="O583" s="3168"/>
      <c r="P583" s="429"/>
      <c r="Q583" s="429"/>
    </row>
    <row r="584" spans="1:17" ht="30" customHeight="1" x14ac:dyDescent="0.2">
      <c r="A584" s="3456"/>
      <c r="B584" s="3459"/>
      <c r="C584" s="3576"/>
      <c r="D584" s="3461"/>
      <c r="E584" s="3474"/>
      <c r="F584" s="3461"/>
      <c r="G584" s="3461"/>
      <c r="H584" s="3461"/>
      <c r="I584" s="3461"/>
      <c r="J584" s="3461"/>
      <c r="K584" s="3696"/>
      <c r="L584" s="3168" t="s">
        <v>4323</v>
      </c>
      <c r="M584" s="3168"/>
      <c r="N584" s="3168"/>
      <c r="O584" s="3168"/>
      <c r="P584" s="429"/>
      <c r="Q584" s="429"/>
    </row>
    <row r="585" spans="1:17" ht="30" customHeight="1" x14ac:dyDescent="0.2">
      <c r="A585" s="3451"/>
      <c r="B585" s="3458"/>
      <c r="C585" s="3571"/>
      <c r="D585" s="3443"/>
      <c r="E585" s="3445"/>
      <c r="F585" s="3443"/>
      <c r="G585" s="3443"/>
      <c r="H585" s="3443"/>
      <c r="I585" s="3443"/>
      <c r="J585" s="3443"/>
      <c r="K585" s="3626"/>
      <c r="L585" s="3168" t="s">
        <v>4324</v>
      </c>
      <c r="M585" s="3168"/>
      <c r="N585" s="3168"/>
      <c r="O585" s="3168"/>
      <c r="P585" s="429"/>
      <c r="Q585" s="429"/>
    </row>
    <row r="586" spans="1:17" ht="30" customHeight="1" x14ac:dyDescent="0.2">
      <c r="A586" s="2465">
        <v>362</v>
      </c>
      <c r="B586" s="22" t="s">
        <v>1712</v>
      </c>
      <c r="C586" s="2467" t="s">
        <v>1746</v>
      </c>
      <c r="D586" s="2434">
        <v>360000000</v>
      </c>
      <c r="E586" s="2463">
        <v>4.4999999999999998E-2</v>
      </c>
      <c r="F586" s="2434">
        <v>16500000</v>
      </c>
      <c r="G586" s="2434">
        <v>16500000</v>
      </c>
      <c r="H586" s="2434" t="s">
        <v>1236</v>
      </c>
      <c r="I586" s="516" t="s">
        <v>1713</v>
      </c>
      <c r="J586" s="2434">
        <f t="shared" ref="J586:J599" si="69">G586</f>
        <v>16500000</v>
      </c>
      <c r="K586" s="2461">
        <f t="shared" ref="K586:K599" si="70">F586-J586</f>
        <v>0</v>
      </c>
      <c r="L586" s="3168" t="s">
        <v>3587</v>
      </c>
      <c r="M586" s="3168"/>
      <c r="N586" s="3168"/>
      <c r="O586" s="3168"/>
      <c r="P586" s="429"/>
      <c r="Q586" s="429"/>
    </row>
    <row r="587" spans="1:17" ht="30" customHeight="1" x14ac:dyDescent="0.2">
      <c r="A587" s="2425">
        <v>363</v>
      </c>
      <c r="B587" s="2428" t="s">
        <v>1734</v>
      </c>
      <c r="C587" s="2445"/>
      <c r="D587" s="2440"/>
      <c r="E587" s="44"/>
      <c r="F587" s="2440"/>
      <c r="G587" s="2434">
        <v>1400000</v>
      </c>
      <c r="H587" s="2434" t="s">
        <v>4512</v>
      </c>
      <c r="I587" s="516" t="s">
        <v>1714</v>
      </c>
      <c r="J587" s="2434">
        <f t="shared" si="69"/>
        <v>1400000</v>
      </c>
      <c r="K587" s="2461">
        <f t="shared" si="70"/>
        <v>-1400000</v>
      </c>
      <c r="L587" s="2490"/>
      <c r="M587" s="429"/>
      <c r="N587" s="429"/>
      <c r="O587" s="429"/>
      <c r="P587" s="429"/>
      <c r="Q587" s="429"/>
    </row>
    <row r="588" spans="1:17" ht="30" customHeight="1" x14ac:dyDescent="0.2">
      <c r="A588" s="2425">
        <v>364</v>
      </c>
      <c r="B588" s="2428" t="s">
        <v>1730</v>
      </c>
      <c r="C588" s="2445"/>
      <c r="D588" s="2440"/>
      <c r="E588" s="44"/>
      <c r="F588" s="2440"/>
      <c r="G588" s="2434"/>
      <c r="H588" s="2434"/>
      <c r="I588" s="516" t="s">
        <v>4180</v>
      </c>
      <c r="J588" s="2434">
        <f t="shared" si="69"/>
        <v>0</v>
      </c>
      <c r="K588" s="2462">
        <f t="shared" si="70"/>
        <v>0</v>
      </c>
      <c r="L588" s="2490"/>
      <c r="M588" s="429"/>
      <c r="N588" s="429"/>
      <c r="O588" s="429"/>
      <c r="P588" s="429"/>
      <c r="Q588" s="429"/>
    </row>
    <row r="589" spans="1:17" ht="30" customHeight="1" x14ac:dyDescent="0.2">
      <c r="A589" s="2465">
        <v>365</v>
      </c>
      <c r="B589" s="2466" t="s">
        <v>1732</v>
      </c>
      <c r="C589" s="2467" t="s">
        <v>1817</v>
      </c>
      <c r="D589" s="2434">
        <v>250000000</v>
      </c>
      <c r="E589" s="2463">
        <v>0.05</v>
      </c>
      <c r="F589" s="2434">
        <f>D589*E589</f>
        <v>12500000</v>
      </c>
      <c r="G589" s="2422">
        <v>12500000</v>
      </c>
      <c r="H589" s="2422" t="s">
        <v>4554</v>
      </c>
      <c r="I589" s="2422" t="s">
        <v>2942</v>
      </c>
      <c r="J589" s="2422">
        <f t="shared" si="69"/>
        <v>12500000</v>
      </c>
      <c r="K589" s="2461">
        <f t="shared" si="70"/>
        <v>0</v>
      </c>
      <c r="L589" s="2478"/>
      <c r="M589" s="429"/>
      <c r="N589" s="429"/>
      <c r="O589" s="429"/>
      <c r="P589" s="429"/>
      <c r="Q589" s="429"/>
    </row>
    <row r="590" spans="1:17" ht="30" customHeight="1" x14ac:dyDescent="0.2">
      <c r="A590" s="3450">
        <v>366</v>
      </c>
      <c r="B590" s="3457" t="s">
        <v>4846</v>
      </c>
      <c r="C590" s="3570" t="s">
        <v>1138</v>
      </c>
      <c r="D590" s="3841">
        <v>70000000</v>
      </c>
      <c r="E590" s="3444">
        <v>6.3E-2</v>
      </c>
      <c r="F590" s="3442">
        <v>4400000</v>
      </c>
      <c r="G590" s="2434">
        <v>4400000</v>
      </c>
      <c r="H590" s="2434" t="s">
        <v>4458</v>
      </c>
      <c r="I590" s="516" t="s">
        <v>3911</v>
      </c>
      <c r="J590" s="2434">
        <f t="shared" si="69"/>
        <v>4400000</v>
      </c>
      <c r="K590" s="2461">
        <f t="shared" si="70"/>
        <v>0</v>
      </c>
      <c r="L590" s="2490" t="s">
        <v>4092</v>
      </c>
      <c r="M590" s="429"/>
      <c r="N590" s="429"/>
      <c r="O590" s="429"/>
      <c r="P590" s="429"/>
      <c r="Q590" s="429"/>
    </row>
    <row r="591" spans="1:17" ht="30" customHeight="1" x14ac:dyDescent="0.2">
      <c r="A591" s="3456"/>
      <c r="B591" s="3459"/>
      <c r="C591" s="3576"/>
      <c r="D591" s="3842"/>
      <c r="E591" s="3445"/>
      <c r="F591" s="3443"/>
      <c r="G591" s="3274">
        <v>4400000</v>
      </c>
      <c r="H591" s="3274" t="s">
        <v>4942</v>
      </c>
      <c r="I591" s="516" t="s">
        <v>4945</v>
      </c>
      <c r="J591" s="3274">
        <f t="shared" si="69"/>
        <v>4400000</v>
      </c>
      <c r="K591" s="3278">
        <f>F590-J591</f>
        <v>0</v>
      </c>
      <c r="L591" s="3280" t="s">
        <v>4592</v>
      </c>
      <c r="M591" s="429"/>
      <c r="N591" s="429"/>
      <c r="O591" s="429"/>
      <c r="P591" s="429"/>
      <c r="Q591" s="429"/>
    </row>
    <row r="592" spans="1:17" ht="30" customHeight="1" x14ac:dyDescent="0.2">
      <c r="A592" s="3456"/>
      <c r="B592" s="3459"/>
      <c r="C592" s="3576"/>
      <c r="D592" s="3312">
        <v>96900000</v>
      </c>
      <c r="E592" s="3298"/>
      <c r="F592" s="3297"/>
      <c r="G592" s="3297"/>
      <c r="H592" s="3297"/>
      <c r="I592" s="516"/>
      <c r="J592" s="3297"/>
      <c r="K592" s="3304"/>
      <c r="L592" s="3315" t="s">
        <v>4960</v>
      </c>
      <c r="M592" s="429"/>
      <c r="N592" s="429"/>
      <c r="O592" s="429"/>
      <c r="P592" s="429"/>
      <c r="Q592" s="429"/>
    </row>
    <row r="593" spans="1:17" ht="30" customHeight="1" x14ac:dyDescent="0.2">
      <c r="A593" s="3456"/>
      <c r="B593" s="3459"/>
      <c r="C593" s="3576"/>
      <c r="D593" s="3171">
        <v>7100000</v>
      </c>
      <c r="E593" s="3306"/>
      <c r="F593" s="3297"/>
      <c r="G593" s="3151"/>
      <c r="H593" s="3151"/>
      <c r="I593" s="516"/>
      <c r="J593" s="3151"/>
      <c r="K593" s="3157"/>
      <c r="L593" s="3315" t="s">
        <v>4847</v>
      </c>
      <c r="M593" s="429"/>
      <c r="N593" s="429"/>
      <c r="O593" s="429"/>
      <c r="P593" s="429"/>
      <c r="Q593" s="429"/>
    </row>
    <row r="594" spans="1:17" ht="30" customHeight="1" x14ac:dyDescent="0.2">
      <c r="A594" s="3456"/>
      <c r="B594" s="3459"/>
      <c r="C594" s="3576"/>
      <c r="D594" s="3171">
        <v>3000000</v>
      </c>
      <c r="E594" s="3158"/>
      <c r="F594" s="3151"/>
      <c r="G594" s="3151"/>
      <c r="H594" s="3151"/>
      <c r="I594" s="516"/>
      <c r="J594" s="3151"/>
      <c r="K594" s="3157"/>
      <c r="L594" s="3315" t="s">
        <v>4848</v>
      </c>
      <c r="M594" s="429"/>
      <c r="N594" s="429"/>
      <c r="O594" s="429"/>
      <c r="P594" s="429"/>
      <c r="Q594" s="429"/>
    </row>
    <row r="595" spans="1:17" ht="30" customHeight="1" x14ac:dyDescent="0.2">
      <c r="A595" s="3456"/>
      <c r="B595" s="3459"/>
      <c r="C595" s="3576"/>
      <c r="D595" s="3171">
        <v>10000000</v>
      </c>
      <c r="E595" s="3158"/>
      <c r="F595" s="3151"/>
      <c r="G595" s="3151"/>
      <c r="H595" s="3151"/>
      <c r="I595" s="516"/>
      <c r="J595" s="3151"/>
      <c r="K595" s="3157"/>
      <c r="L595" s="3315" t="s">
        <v>4850</v>
      </c>
      <c r="M595" s="429"/>
      <c r="N595" s="429"/>
      <c r="O595" s="429"/>
      <c r="P595" s="429"/>
      <c r="Q595" s="429"/>
    </row>
    <row r="596" spans="1:17" ht="30" customHeight="1" x14ac:dyDescent="0.2">
      <c r="A596" s="3456"/>
      <c r="B596" s="3459"/>
      <c r="C596" s="3576"/>
      <c r="D596" s="3171">
        <v>10000000</v>
      </c>
      <c r="E596" s="3158"/>
      <c r="F596" s="3151"/>
      <c r="G596" s="3151"/>
      <c r="H596" s="3151"/>
      <c r="I596" s="516"/>
      <c r="J596" s="3151"/>
      <c r="K596" s="3157"/>
      <c r="L596" s="3315" t="s">
        <v>4849</v>
      </c>
      <c r="M596" s="429"/>
      <c r="N596" s="429"/>
      <c r="O596" s="429"/>
      <c r="P596" s="429"/>
      <c r="Q596" s="429"/>
    </row>
    <row r="597" spans="1:17" ht="30" customHeight="1" x14ac:dyDescent="0.2">
      <c r="A597" s="3456"/>
      <c r="B597" s="3459"/>
      <c r="C597" s="3576"/>
      <c r="D597" s="3171">
        <v>8000000</v>
      </c>
      <c r="E597" s="3158"/>
      <c r="F597" s="3151"/>
      <c r="G597" s="3151"/>
      <c r="H597" s="3151"/>
      <c r="I597" s="516"/>
      <c r="J597" s="3151"/>
      <c r="K597" s="3157"/>
      <c r="L597" s="3315" t="s">
        <v>4851</v>
      </c>
      <c r="M597" s="429"/>
      <c r="N597" s="429"/>
      <c r="O597" s="429"/>
      <c r="P597" s="429"/>
      <c r="Q597" s="429"/>
    </row>
    <row r="598" spans="1:17" ht="30" customHeight="1" x14ac:dyDescent="0.2">
      <c r="A598" s="3451"/>
      <c r="B598" s="3458"/>
      <c r="C598" s="3571"/>
      <c r="D598" s="3312">
        <f>SUM(D590:D597)</f>
        <v>205000000</v>
      </c>
      <c r="E598" s="2980"/>
      <c r="F598" s="2970"/>
      <c r="G598" s="2970"/>
      <c r="H598" s="2970"/>
      <c r="I598" s="516"/>
      <c r="J598" s="2970"/>
      <c r="K598" s="2979"/>
      <c r="L598" s="3168" t="s">
        <v>4852</v>
      </c>
      <c r="M598" s="429"/>
      <c r="N598" s="429"/>
      <c r="O598" s="429"/>
      <c r="P598" s="429"/>
      <c r="Q598" s="429"/>
    </row>
    <row r="599" spans="1:17" ht="30" customHeight="1" x14ac:dyDescent="0.2">
      <c r="A599" s="2425">
        <v>367</v>
      </c>
      <c r="B599" s="2428" t="s">
        <v>1760</v>
      </c>
      <c r="C599" s="2445"/>
      <c r="D599" s="2434">
        <v>25000000</v>
      </c>
      <c r="E599" s="2463">
        <v>0.05</v>
      </c>
      <c r="F599" s="2434">
        <f>D599*E599</f>
        <v>1250000</v>
      </c>
      <c r="G599" s="2434">
        <v>1250000</v>
      </c>
      <c r="H599" s="2434" t="s">
        <v>1236</v>
      </c>
      <c r="I599" s="516" t="s">
        <v>4191</v>
      </c>
      <c r="J599" s="2434">
        <f t="shared" si="69"/>
        <v>1250000</v>
      </c>
      <c r="K599" s="2461">
        <f t="shared" si="70"/>
        <v>0</v>
      </c>
      <c r="L599" s="2490"/>
      <c r="M599" s="429"/>
      <c r="N599" s="429"/>
      <c r="O599" s="429"/>
      <c r="P599" s="429"/>
      <c r="Q599" s="429"/>
    </row>
    <row r="600" spans="1:17" ht="30" customHeight="1" x14ac:dyDescent="0.2">
      <c r="A600" s="3693">
        <v>368</v>
      </c>
      <c r="B600" s="3687" t="s">
        <v>1905</v>
      </c>
      <c r="C600" s="3686" t="s">
        <v>401</v>
      </c>
      <c r="D600" s="3016">
        <v>800000000</v>
      </c>
      <c r="E600" s="3033">
        <v>7.0000000000000007E-2</v>
      </c>
      <c r="F600" s="3016">
        <f>D600*E600</f>
        <v>56000000.000000007</v>
      </c>
      <c r="G600" s="3016">
        <v>38000000</v>
      </c>
      <c r="H600" s="43" t="s">
        <v>4447</v>
      </c>
      <c r="I600" s="1082" t="s">
        <v>2713</v>
      </c>
      <c r="J600" s="3016">
        <f>G600</f>
        <v>38000000</v>
      </c>
      <c r="K600" s="3014">
        <f>F600-J600</f>
        <v>18000000.000000007</v>
      </c>
      <c r="L600" s="3620" t="s">
        <v>4801</v>
      </c>
      <c r="M600" s="429"/>
      <c r="N600" s="429"/>
      <c r="O600" s="429"/>
      <c r="P600" s="429"/>
      <c r="Q600" s="429"/>
    </row>
    <row r="601" spans="1:17" ht="30" customHeight="1" x14ac:dyDescent="0.2">
      <c r="A601" s="3693"/>
      <c r="B601" s="3687"/>
      <c r="C601" s="3686"/>
      <c r="D601" s="948">
        <v>818000000</v>
      </c>
      <c r="E601" s="2929">
        <v>7.0000000000000007E-2</v>
      </c>
      <c r="F601" s="948">
        <f>D601*E601</f>
        <v>57260000.000000007</v>
      </c>
      <c r="G601" s="3020"/>
      <c r="H601" s="3028"/>
      <c r="I601" s="3034"/>
      <c r="J601" s="3020"/>
      <c r="K601" s="3031"/>
      <c r="L601" s="3621"/>
      <c r="M601" s="429"/>
      <c r="N601" s="429"/>
      <c r="O601" s="429"/>
      <c r="P601" s="429"/>
      <c r="Q601" s="429"/>
    </row>
    <row r="602" spans="1:17" ht="30" customHeight="1" x14ac:dyDescent="0.2">
      <c r="A602" s="3450">
        <v>369</v>
      </c>
      <c r="B602" s="3457" t="s">
        <v>1771</v>
      </c>
      <c r="C602" s="3570" t="s">
        <v>1746</v>
      </c>
      <c r="D602" s="2434">
        <v>250000000</v>
      </c>
      <c r="E602" s="2437">
        <v>0.05</v>
      </c>
      <c r="F602" s="2434">
        <f t="shared" ref="F602:F607" si="71">D602*E602</f>
        <v>12500000</v>
      </c>
      <c r="G602" s="3442">
        <v>27800000</v>
      </c>
      <c r="H602" s="3442" t="s">
        <v>4536</v>
      </c>
      <c r="I602" s="3442" t="s">
        <v>4537</v>
      </c>
      <c r="J602" s="3442">
        <f>G602</f>
        <v>27800000</v>
      </c>
      <c r="K602" s="3442">
        <f>(F602+F603+F604+F605)-J602</f>
        <v>0</v>
      </c>
      <c r="L602" s="2490"/>
      <c r="M602" s="429"/>
      <c r="N602" s="429"/>
      <c r="O602" s="429"/>
      <c r="P602" s="429"/>
      <c r="Q602" s="429"/>
    </row>
    <row r="603" spans="1:17" ht="30" customHeight="1" x14ac:dyDescent="0.2">
      <c r="A603" s="3456"/>
      <c r="B603" s="3459"/>
      <c r="C603" s="3576"/>
      <c r="D603" s="2434">
        <v>150000000</v>
      </c>
      <c r="E603" s="2437">
        <v>0.06</v>
      </c>
      <c r="F603" s="2434">
        <f t="shared" si="71"/>
        <v>9000000</v>
      </c>
      <c r="G603" s="3461"/>
      <c r="H603" s="3461"/>
      <c r="I603" s="3461"/>
      <c r="J603" s="3461"/>
      <c r="K603" s="3461"/>
      <c r="L603" s="2477" t="s">
        <v>4022</v>
      </c>
      <c r="M603" s="429"/>
      <c r="N603" s="429"/>
      <c r="O603" s="429"/>
      <c r="P603" s="429"/>
      <c r="Q603" s="429"/>
    </row>
    <row r="604" spans="1:17" ht="30" customHeight="1" x14ac:dyDescent="0.2">
      <c r="A604" s="3456"/>
      <c r="B604" s="3459"/>
      <c r="C604" s="3576"/>
      <c r="D604" s="2434">
        <v>50000000</v>
      </c>
      <c r="E604" s="2437">
        <v>0.06</v>
      </c>
      <c r="F604" s="2434">
        <f t="shared" si="71"/>
        <v>3000000</v>
      </c>
      <c r="G604" s="3461"/>
      <c r="H604" s="3461"/>
      <c r="I604" s="3461"/>
      <c r="J604" s="3461"/>
      <c r="K604" s="3461"/>
      <c r="L604" s="2477" t="s">
        <v>4023</v>
      </c>
      <c r="M604" s="429"/>
      <c r="N604" s="429"/>
      <c r="O604" s="429"/>
      <c r="P604" s="429"/>
      <c r="Q604" s="429"/>
    </row>
    <row r="605" spans="1:17" ht="30" customHeight="1" x14ac:dyDescent="0.2">
      <c r="A605" s="3451"/>
      <c r="B605" s="3458"/>
      <c r="C605" s="3571"/>
      <c r="D605" s="2434">
        <v>55000000</v>
      </c>
      <c r="E605" s="2437">
        <v>0.06</v>
      </c>
      <c r="F605" s="2434">
        <f t="shared" si="71"/>
        <v>3300000</v>
      </c>
      <c r="G605" s="3443"/>
      <c r="H605" s="3443"/>
      <c r="I605" s="3443"/>
      <c r="J605" s="3443"/>
      <c r="K605" s="3443"/>
      <c r="L605" s="2477"/>
      <c r="M605" s="429"/>
      <c r="N605" s="429"/>
      <c r="O605" s="429"/>
      <c r="P605" s="429"/>
      <c r="Q605" s="429"/>
    </row>
    <row r="606" spans="1:17" ht="30" customHeight="1" x14ac:dyDescent="0.2">
      <c r="A606" s="2423">
        <v>370</v>
      </c>
      <c r="B606" s="2468" t="s">
        <v>1795</v>
      </c>
      <c r="C606" s="2445" t="s">
        <v>3458</v>
      </c>
      <c r="D606" s="2434">
        <v>200000000</v>
      </c>
      <c r="E606" s="2463">
        <v>0.05</v>
      </c>
      <c r="F606" s="2434">
        <f t="shared" si="71"/>
        <v>10000000</v>
      </c>
      <c r="G606" s="2434">
        <v>10000000</v>
      </c>
      <c r="H606" s="2434" t="s">
        <v>4512</v>
      </c>
      <c r="I606" s="516" t="s">
        <v>4521</v>
      </c>
      <c r="J606" s="2434">
        <f t="shared" ref="J606:J617" si="72">G606</f>
        <v>10000000</v>
      </c>
      <c r="K606" s="2461">
        <f>F606-J606</f>
        <v>0</v>
      </c>
      <c r="L606" s="3314" t="s">
        <v>4092</v>
      </c>
      <c r="M606" s="429"/>
      <c r="N606" s="429"/>
      <c r="O606" s="429"/>
      <c r="P606" s="429"/>
      <c r="Q606" s="429"/>
    </row>
    <row r="607" spans="1:17" ht="30" customHeight="1" x14ac:dyDescent="0.2">
      <c r="A607" s="3450">
        <v>371</v>
      </c>
      <c r="B607" s="3457" t="s">
        <v>1797</v>
      </c>
      <c r="C607" s="3570" t="s">
        <v>971</v>
      </c>
      <c r="D607" s="3442">
        <v>50000000</v>
      </c>
      <c r="E607" s="3444">
        <v>0.04</v>
      </c>
      <c r="F607" s="3442">
        <f t="shared" si="71"/>
        <v>2000000</v>
      </c>
      <c r="G607" s="2552">
        <v>2000000</v>
      </c>
      <c r="H607" s="2552" t="s">
        <v>4458</v>
      </c>
      <c r="I607" s="1082" t="s">
        <v>1819</v>
      </c>
      <c r="J607" s="2552">
        <f t="shared" si="72"/>
        <v>2000000</v>
      </c>
      <c r="K607" s="2549">
        <f>F607-J607</f>
        <v>0</v>
      </c>
      <c r="L607" s="2490" t="s">
        <v>4092</v>
      </c>
      <c r="M607" s="429"/>
      <c r="N607" s="429"/>
      <c r="O607" s="429"/>
      <c r="P607" s="429"/>
      <c r="Q607" s="429"/>
    </row>
    <row r="608" spans="1:17" ht="30" customHeight="1" x14ac:dyDescent="0.2">
      <c r="A608" s="3456"/>
      <c r="B608" s="3458"/>
      <c r="C608" s="3571"/>
      <c r="D608" s="3443"/>
      <c r="E608" s="3445"/>
      <c r="F608" s="3443"/>
      <c r="G608" s="3274">
        <v>2000000</v>
      </c>
      <c r="H608" s="3274" t="s">
        <v>4942</v>
      </c>
      <c r="I608" s="516" t="s">
        <v>1819</v>
      </c>
      <c r="J608" s="3274">
        <f>G608</f>
        <v>2000000</v>
      </c>
      <c r="K608" s="3278">
        <f>F607-J608</f>
        <v>0</v>
      </c>
      <c r="L608" s="3280" t="s">
        <v>4592</v>
      </c>
      <c r="M608" s="429"/>
      <c r="N608" s="429"/>
      <c r="O608" s="429"/>
      <c r="P608" s="429"/>
      <c r="Q608" s="429"/>
    </row>
    <row r="609" spans="1:17" ht="30" customHeight="1" x14ac:dyDescent="0.2">
      <c r="A609" s="2425">
        <v>372</v>
      </c>
      <c r="B609" s="2428" t="s">
        <v>1805</v>
      </c>
      <c r="C609" s="2445"/>
      <c r="D609" s="2440"/>
      <c r="E609" s="44"/>
      <c r="F609" s="2440"/>
      <c r="G609" s="2434"/>
      <c r="H609" s="2434"/>
      <c r="I609" s="516"/>
      <c r="J609" s="2434">
        <f t="shared" si="72"/>
        <v>0</v>
      </c>
      <c r="K609" s="2462"/>
      <c r="L609" s="2490"/>
      <c r="M609" s="429"/>
      <c r="N609" s="429"/>
      <c r="O609" s="429"/>
      <c r="P609" s="429"/>
      <c r="Q609" s="429"/>
    </row>
    <row r="610" spans="1:17" ht="30" customHeight="1" x14ac:dyDescent="0.2">
      <c r="A610" s="3450"/>
      <c r="B610" s="3457" t="s">
        <v>1824</v>
      </c>
      <c r="C610" s="3570" t="s">
        <v>1817</v>
      </c>
      <c r="D610" s="2422">
        <v>20000000</v>
      </c>
      <c r="E610" s="2463">
        <v>0.05</v>
      </c>
      <c r="F610" s="2422">
        <f>D610*E610</f>
        <v>1000000</v>
      </c>
      <c r="G610" s="2422">
        <v>1000000</v>
      </c>
      <c r="H610" s="2422" t="s">
        <v>4554</v>
      </c>
      <c r="I610" s="2422" t="s">
        <v>3622</v>
      </c>
      <c r="J610" s="2422">
        <f t="shared" si="72"/>
        <v>1000000</v>
      </c>
      <c r="K610" s="2420">
        <f>F610-J610</f>
        <v>0</v>
      </c>
      <c r="L610" s="2490"/>
      <c r="M610" s="429"/>
      <c r="N610" s="429"/>
      <c r="O610" s="429"/>
      <c r="P610" s="429"/>
      <c r="Q610" s="429"/>
    </row>
    <row r="611" spans="1:17" ht="30" customHeight="1" x14ac:dyDescent="0.2">
      <c r="A611" s="3451"/>
      <c r="B611" s="3458"/>
      <c r="C611" s="3571"/>
      <c r="D611" s="2540">
        <v>10000000</v>
      </c>
      <c r="E611" s="2898">
        <v>0.05</v>
      </c>
      <c r="F611" s="2894">
        <f>D611*E611</f>
        <v>500000</v>
      </c>
      <c r="G611" s="2540"/>
      <c r="H611" s="2540"/>
      <c r="I611" s="2541"/>
      <c r="J611" s="2540"/>
      <c r="K611" s="2542"/>
      <c r="L611" s="2545" t="s">
        <v>4428</v>
      </c>
      <c r="M611" s="429"/>
      <c r="N611" s="429"/>
      <c r="O611" s="429"/>
      <c r="P611" s="429"/>
      <c r="Q611" s="429"/>
    </row>
    <row r="612" spans="1:17" ht="30" customHeight="1" x14ac:dyDescent="0.2">
      <c r="A612" s="2425">
        <v>374</v>
      </c>
      <c r="B612" s="2428" t="s">
        <v>1826</v>
      </c>
      <c r="C612" s="2445"/>
      <c r="D612" s="2440"/>
      <c r="E612" s="2443"/>
      <c r="F612" s="2440"/>
      <c r="G612" s="2434"/>
      <c r="H612" s="2434"/>
      <c r="I612" s="516"/>
      <c r="J612" s="2434">
        <f t="shared" si="72"/>
        <v>0</v>
      </c>
      <c r="K612" s="2462">
        <f t="shared" ref="K612:K618" si="73">F612-J612</f>
        <v>0</v>
      </c>
      <c r="L612" s="2490"/>
      <c r="M612" s="429"/>
      <c r="N612" s="429"/>
      <c r="O612" s="429"/>
      <c r="P612" s="429"/>
      <c r="Q612" s="429"/>
    </row>
    <row r="613" spans="1:17" ht="30" customHeight="1" x14ac:dyDescent="0.2">
      <c r="A613" s="3450">
        <v>375</v>
      </c>
      <c r="B613" s="3513" t="s">
        <v>1834</v>
      </c>
      <c r="C613" s="3570"/>
      <c r="D613" s="3442">
        <v>900000000</v>
      </c>
      <c r="E613" s="3444">
        <v>7.0000000000000007E-2</v>
      </c>
      <c r="F613" s="3442">
        <f>D613*E613</f>
        <v>63000000.000000007</v>
      </c>
      <c r="G613" s="2434">
        <v>50000000</v>
      </c>
      <c r="H613" s="2434" t="s">
        <v>4546</v>
      </c>
      <c r="I613" s="516" t="s">
        <v>4555</v>
      </c>
      <c r="J613" s="3442">
        <f>G613+G614</f>
        <v>63000000</v>
      </c>
      <c r="K613" s="3625">
        <f t="shared" si="73"/>
        <v>0</v>
      </c>
      <c r="L613" s="3036" t="s">
        <v>4768</v>
      </c>
      <c r="M613" s="429"/>
      <c r="N613" s="429"/>
      <c r="O613" s="429"/>
      <c r="P613" s="429"/>
      <c r="Q613" s="429"/>
    </row>
    <row r="614" spans="1:17" ht="30" customHeight="1" x14ac:dyDescent="0.2">
      <c r="A614" s="3451"/>
      <c r="B614" s="3514"/>
      <c r="C614" s="3571"/>
      <c r="D614" s="3443"/>
      <c r="E614" s="3445"/>
      <c r="F614" s="3443"/>
      <c r="G614" s="2824">
        <v>13000000</v>
      </c>
      <c r="H614" s="2824" t="s">
        <v>4554</v>
      </c>
      <c r="I614" s="516" t="s">
        <v>4555</v>
      </c>
      <c r="J614" s="3443"/>
      <c r="K614" s="3626"/>
      <c r="L614" s="2831"/>
      <c r="M614" s="429"/>
      <c r="N614" s="429"/>
      <c r="O614" s="429"/>
      <c r="P614" s="429"/>
      <c r="Q614" s="429"/>
    </row>
    <row r="615" spans="1:17" ht="30" customHeight="1" x14ac:dyDescent="0.2">
      <c r="A615" s="2425">
        <v>376</v>
      </c>
      <c r="B615" s="2428" t="s">
        <v>3718</v>
      </c>
      <c r="C615" s="2445" t="s">
        <v>265</v>
      </c>
      <c r="D615" s="2434">
        <v>50000000</v>
      </c>
      <c r="E615" s="2463">
        <v>0.06</v>
      </c>
      <c r="F615" s="2434">
        <f>D615*E615</f>
        <v>3000000</v>
      </c>
      <c r="G615" s="2434">
        <v>3000000</v>
      </c>
      <c r="H615" s="2434" t="s">
        <v>4604</v>
      </c>
      <c r="I615" s="516" t="s">
        <v>1842</v>
      </c>
      <c r="J615" s="2434">
        <f t="shared" si="72"/>
        <v>3000000</v>
      </c>
      <c r="K615" s="2461">
        <f t="shared" si="73"/>
        <v>0</v>
      </c>
      <c r="L615" s="2490"/>
      <c r="M615" s="429"/>
      <c r="N615" s="429"/>
      <c r="O615" s="429"/>
      <c r="P615" s="429"/>
      <c r="Q615" s="429"/>
    </row>
    <row r="616" spans="1:17" ht="30" customHeight="1" x14ac:dyDescent="0.2">
      <c r="A616" s="2425">
        <v>377</v>
      </c>
      <c r="B616" s="2428" t="s">
        <v>1855</v>
      </c>
      <c r="C616" s="2445" t="s">
        <v>1746</v>
      </c>
      <c r="D616" s="2434">
        <v>153000000</v>
      </c>
      <c r="E616" s="2463">
        <v>7.0000000000000007E-2</v>
      </c>
      <c r="F616" s="2434">
        <f>D616*E616</f>
        <v>10710000.000000002</v>
      </c>
      <c r="G616" s="2434">
        <v>10710000</v>
      </c>
      <c r="H616" s="2434" t="s">
        <v>4579</v>
      </c>
      <c r="I616" s="516" t="s">
        <v>2072</v>
      </c>
      <c r="J616" s="2434">
        <f t="shared" si="72"/>
        <v>10710000</v>
      </c>
      <c r="K616" s="2461">
        <f t="shared" si="73"/>
        <v>0</v>
      </c>
      <c r="L616" s="2490"/>
      <c r="M616" s="429"/>
      <c r="N616" s="429"/>
      <c r="O616" s="429"/>
      <c r="P616" s="429"/>
      <c r="Q616" s="429"/>
    </row>
    <row r="617" spans="1:17" ht="30" customHeight="1" x14ac:dyDescent="0.2">
      <c r="A617" s="2425">
        <v>378</v>
      </c>
      <c r="B617" s="2428" t="s">
        <v>1902</v>
      </c>
      <c r="C617" s="2445" t="s">
        <v>916</v>
      </c>
      <c r="D617" s="2434">
        <v>300000000</v>
      </c>
      <c r="E617" s="2463">
        <v>5.0999999999999997E-2</v>
      </c>
      <c r="F617" s="2434">
        <v>15500000</v>
      </c>
      <c r="G617" s="2434">
        <v>15500000</v>
      </c>
      <c r="H617" s="2434" t="s">
        <v>4480</v>
      </c>
      <c r="I617" s="516" t="s">
        <v>3197</v>
      </c>
      <c r="J617" s="2434">
        <f t="shared" si="72"/>
        <v>15500000</v>
      </c>
      <c r="K617" s="2461">
        <f t="shared" si="73"/>
        <v>0</v>
      </c>
      <c r="L617" s="2490"/>
      <c r="M617" s="429"/>
      <c r="N617" s="429"/>
      <c r="O617" s="429"/>
      <c r="P617" s="429"/>
      <c r="Q617" s="429"/>
    </row>
    <row r="618" spans="1:17" ht="30" customHeight="1" x14ac:dyDescent="0.2">
      <c r="A618" s="3450">
        <v>379</v>
      </c>
      <c r="B618" s="3457" t="s">
        <v>1861</v>
      </c>
      <c r="C618" s="3570" t="s">
        <v>380</v>
      </c>
      <c r="D618" s="3442">
        <v>50000000</v>
      </c>
      <c r="E618" s="3444">
        <v>0.04</v>
      </c>
      <c r="F618" s="3442">
        <f>D618*E618</f>
        <v>2000000</v>
      </c>
      <c r="G618" s="3442">
        <v>2000000</v>
      </c>
      <c r="H618" s="3442" t="s">
        <v>4579</v>
      </c>
      <c r="I618" s="3703" t="s">
        <v>4582</v>
      </c>
      <c r="J618" s="3442">
        <f>G618+G619</f>
        <v>2000000</v>
      </c>
      <c r="K618" s="3625">
        <f t="shared" si="73"/>
        <v>0</v>
      </c>
      <c r="L618" s="3625"/>
      <c r="M618" s="429"/>
      <c r="N618" s="429"/>
      <c r="O618" s="429"/>
      <c r="P618" s="429"/>
      <c r="Q618" s="429"/>
    </row>
    <row r="619" spans="1:17" ht="30" customHeight="1" x14ac:dyDescent="0.2">
      <c r="A619" s="3451"/>
      <c r="B619" s="3458"/>
      <c r="C619" s="3571"/>
      <c r="D619" s="3443"/>
      <c r="E619" s="3445"/>
      <c r="F619" s="3443"/>
      <c r="G619" s="3443"/>
      <c r="H619" s="3443"/>
      <c r="I619" s="3704"/>
      <c r="J619" s="3443"/>
      <c r="K619" s="3626"/>
      <c r="L619" s="3626"/>
      <c r="M619" s="429"/>
      <c r="N619" s="429"/>
      <c r="O619" s="429"/>
      <c r="P619" s="429"/>
      <c r="Q619" s="429"/>
    </row>
    <row r="620" spans="1:17" ht="30" customHeight="1" x14ac:dyDescent="0.2">
      <c r="A620" s="3450">
        <v>380</v>
      </c>
      <c r="B620" s="3457" t="s">
        <v>1907</v>
      </c>
      <c r="C620" s="3570" t="s">
        <v>1131</v>
      </c>
      <c r="D620" s="3442">
        <v>10000000</v>
      </c>
      <c r="E620" s="3444">
        <v>0.05</v>
      </c>
      <c r="F620" s="3442">
        <f>D620*E620</f>
        <v>500000</v>
      </c>
      <c r="G620" s="2900">
        <v>370000</v>
      </c>
      <c r="H620" s="3442" t="s">
        <v>4630</v>
      </c>
      <c r="I620" s="3703" t="s">
        <v>4661</v>
      </c>
      <c r="J620" s="2434">
        <f>G620</f>
        <v>370000</v>
      </c>
      <c r="K620" s="2461">
        <v>0</v>
      </c>
      <c r="L620" s="3620" t="s">
        <v>1398</v>
      </c>
      <c r="M620" s="429"/>
      <c r="N620" s="429"/>
      <c r="O620" s="429"/>
      <c r="P620" s="429"/>
      <c r="Q620" s="429"/>
    </row>
    <row r="621" spans="1:17" ht="30" customHeight="1" x14ac:dyDescent="0.2">
      <c r="A621" s="3451"/>
      <c r="B621" s="3458"/>
      <c r="C621" s="3571"/>
      <c r="D621" s="3443"/>
      <c r="E621" s="3445"/>
      <c r="F621" s="3443"/>
      <c r="G621" s="2900">
        <v>10000000</v>
      </c>
      <c r="H621" s="3443"/>
      <c r="I621" s="3704"/>
      <c r="J621" s="2434">
        <f>G621</f>
        <v>10000000</v>
      </c>
      <c r="K621" s="2461">
        <v>0</v>
      </c>
      <c r="L621" s="3621"/>
      <c r="M621" s="429"/>
      <c r="N621" s="429"/>
      <c r="O621" s="429"/>
      <c r="P621" s="429"/>
      <c r="Q621" s="429"/>
    </row>
    <row r="622" spans="1:17" ht="30" customHeight="1" x14ac:dyDescent="0.2">
      <c r="A622" s="2425">
        <v>381</v>
      </c>
      <c r="B622" s="2428" t="s">
        <v>1910</v>
      </c>
      <c r="C622" s="2445" t="s">
        <v>916</v>
      </c>
      <c r="D622" s="2434">
        <v>50000000</v>
      </c>
      <c r="E622" s="2463">
        <v>0.05</v>
      </c>
      <c r="F622" s="2434">
        <f>D622*E622</f>
        <v>2500000</v>
      </c>
      <c r="G622" s="2434">
        <v>2500000</v>
      </c>
      <c r="H622" s="2434" t="s">
        <v>4458</v>
      </c>
      <c r="I622" s="516" t="s">
        <v>3652</v>
      </c>
      <c r="J622" s="2434">
        <f>G622</f>
        <v>2500000</v>
      </c>
      <c r="K622" s="2461">
        <f>F622-J622</f>
        <v>0</v>
      </c>
      <c r="L622" s="2490"/>
      <c r="M622" s="429"/>
      <c r="N622" s="429"/>
      <c r="O622" s="429"/>
      <c r="P622" s="429"/>
      <c r="Q622" s="429"/>
    </row>
    <row r="623" spans="1:17" ht="30" customHeight="1" x14ac:dyDescent="0.2">
      <c r="A623" s="2425">
        <v>382</v>
      </c>
      <c r="B623" s="2428" t="s">
        <v>1925</v>
      </c>
      <c r="C623" s="2445" t="s">
        <v>265</v>
      </c>
      <c r="D623" s="2434">
        <v>150000000</v>
      </c>
      <c r="E623" s="2463"/>
      <c r="F623" s="2434"/>
      <c r="G623" s="2434"/>
      <c r="H623" s="2434"/>
      <c r="I623" s="516"/>
      <c r="J623" s="2434"/>
      <c r="K623" s="2461"/>
      <c r="L623" s="2490"/>
      <c r="M623" s="429"/>
      <c r="N623" s="429"/>
      <c r="O623" s="429"/>
      <c r="P623" s="429"/>
      <c r="Q623" s="429"/>
    </row>
    <row r="624" spans="1:17" ht="30" customHeight="1" x14ac:dyDescent="0.2">
      <c r="A624" s="2425">
        <v>383</v>
      </c>
      <c r="B624" s="2428" t="s">
        <v>1936</v>
      </c>
      <c r="C624" s="2445" t="s">
        <v>265</v>
      </c>
      <c r="D624" s="2434">
        <v>10000000</v>
      </c>
      <c r="E624" s="2463">
        <v>7.0000000000000007E-2</v>
      </c>
      <c r="F624" s="2434">
        <f t="shared" ref="F624:F637" si="74">D624*E624</f>
        <v>700000.00000000012</v>
      </c>
      <c r="G624" s="2434">
        <v>700000</v>
      </c>
      <c r="H624" s="2434" t="s">
        <v>4604</v>
      </c>
      <c r="I624" s="516" t="s">
        <v>3063</v>
      </c>
      <c r="J624" s="2434">
        <f>G624</f>
        <v>700000</v>
      </c>
      <c r="K624" s="2461">
        <f>F624-J624</f>
        <v>0</v>
      </c>
      <c r="L624" s="2490"/>
      <c r="M624" s="429"/>
      <c r="N624" s="429"/>
      <c r="O624" s="429"/>
      <c r="P624" s="429"/>
      <c r="Q624" s="429"/>
    </row>
    <row r="625" spans="1:17" ht="30" customHeight="1" x14ac:dyDescent="0.2">
      <c r="A625" s="670">
        <v>384</v>
      </c>
      <c r="B625" s="2428" t="s">
        <v>1981</v>
      </c>
      <c r="C625" s="2445" t="s">
        <v>265</v>
      </c>
      <c r="D625" s="2434">
        <v>150000000</v>
      </c>
      <c r="E625" s="2463">
        <v>7.0000000000000007E-2</v>
      </c>
      <c r="F625" s="2434">
        <f t="shared" si="74"/>
        <v>10500000.000000002</v>
      </c>
      <c r="G625" s="2434">
        <v>10500000</v>
      </c>
      <c r="H625" s="2434" t="s">
        <v>4630</v>
      </c>
      <c r="I625" s="516" t="s">
        <v>2080</v>
      </c>
      <c r="J625" s="2434">
        <f>G625</f>
        <v>10500000</v>
      </c>
      <c r="K625" s="2461">
        <f>F625-J625</f>
        <v>0</v>
      </c>
      <c r="L625" s="2490"/>
      <c r="M625" s="429"/>
      <c r="N625" s="429"/>
      <c r="O625" s="429"/>
      <c r="P625" s="429"/>
      <c r="Q625" s="429"/>
    </row>
    <row r="626" spans="1:17" ht="30" customHeight="1" x14ac:dyDescent="0.2">
      <c r="A626" s="2425">
        <v>385</v>
      </c>
      <c r="B626" s="2428" t="s">
        <v>1997</v>
      </c>
      <c r="C626" s="2445" t="s">
        <v>379</v>
      </c>
      <c r="D626" s="2434">
        <v>12000000</v>
      </c>
      <c r="E626" s="2463">
        <v>0.05</v>
      </c>
      <c r="F626" s="2434">
        <f t="shared" si="74"/>
        <v>600000</v>
      </c>
      <c r="G626" s="2434">
        <v>600000</v>
      </c>
      <c r="H626" s="2434" t="s">
        <v>4604</v>
      </c>
      <c r="I626" s="516" t="s">
        <v>2989</v>
      </c>
      <c r="J626" s="2434">
        <f>G626</f>
        <v>600000</v>
      </c>
      <c r="K626" s="2461">
        <f>F626-J626</f>
        <v>0</v>
      </c>
      <c r="L626" s="2490" t="s">
        <v>1998</v>
      </c>
      <c r="M626" s="429"/>
      <c r="N626" s="429"/>
      <c r="O626" s="429"/>
      <c r="P626" s="429"/>
      <c r="Q626" s="429"/>
    </row>
    <row r="627" spans="1:17" ht="30" customHeight="1" x14ac:dyDescent="0.2">
      <c r="A627" s="3450">
        <v>386</v>
      </c>
      <c r="B627" s="3457" t="s">
        <v>3227</v>
      </c>
      <c r="C627" s="3570" t="s">
        <v>1378</v>
      </c>
      <c r="D627" s="2433">
        <v>200000000</v>
      </c>
      <c r="E627" s="2435">
        <v>7.0000000000000007E-2</v>
      </c>
      <c r="F627" s="2433">
        <f t="shared" si="74"/>
        <v>14000000.000000002</v>
      </c>
      <c r="G627" s="2434">
        <v>14000000</v>
      </c>
      <c r="H627" s="3442" t="s">
        <v>4630</v>
      </c>
      <c r="I627" s="3703" t="s">
        <v>2063</v>
      </c>
      <c r="J627" s="2433">
        <f>G627</f>
        <v>14000000</v>
      </c>
      <c r="K627" s="2460">
        <f>F627-J627</f>
        <v>0</v>
      </c>
      <c r="L627" s="2460"/>
      <c r="M627" s="429"/>
      <c r="N627" s="429"/>
      <c r="O627" s="429"/>
      <c r="P627" s="429"/>
      <c r="Q627" s="429"/>
    </row>
    <row r="628" spans="1:17" ht="30" customHeight="1" x14ac:dyDescent="0.2">
      <c r="A628" s="3456"/>
      <c r="B628" s="3459"/>
      <c r="C628" s="3576"/>
      <c r="D628" s="3521" t="s">
        <v>4629</v>
      </c>
      <c r="E628" s="3613"/>
      <c r="F628" s="3522"/>
      <c r="G628" s="2877">
        <v>6000000</v>
      </c>
      <c r="H628" s="3443"/>
      <c r="I628" s="3704"/>
      <c r="J628" s="3442">
        <f>G628+G629+G630</f>
        <v>110000000</v>
      </c>
      <c r="K628" s="3625">
        <f>110000000-J628</f>
        <v>0</v>
      </c>
      <c r="L628" s="2884"/>
      <c r="M628" s="429"/>
      <c r="N628" s="429"/>
      <c r="O628" s="429"/>
      <c r="P628" s="429"/>
      <c r="Q628" s="429"/>
    </row>
    <row r="629" spans="1:17" ht="30" customHeight="1" x14ac:dyDescent="0.2">
      <c r="A629" s="3456"/>
      <c r="B629" s="3459"/>
      <c r="C629" s="3576"/>
      <c r="D629" s="3691"/>
      <c r="E629" s="3355"/>
      <c r="F629" s="3692"/>
      <c r="G629" s="2877">
        <v>100000000</v>
      </c>
      <c r="H629" s="2877" t="s">
        <v>4003</v>
      </c>
      <c r="I629" s="516" t="s">
        <v>2063</v>
      </c>
      <c r="J629" s="3461"/>
      <c r="K629" s="3696"/>
      <c r="L629" s="2884"/>
      <c r="M629" s="429"/>
      <c r="N629" s="429"/>
      <c r="O629" s="429"/>
      <c r="P629" s="429"/>
      <c r="Q629" s="429"/>
    </row>
    <row r="630" spans="1:17" ht="30" customHeight="1" x14ac:dyDescent="0.2">
      <c r="A630" s="3451"/>
      <c r="B630" s="3459"/>
      <c r="C630" s="3576"/>
      <c r="D630" s="3523"/>
      <c r="E630" s="3614"/>
      <c r="F630" s="3524"/>
      <c r="G630" s="2877">
        <v>4000000</v>
      </c>
      <c r="H630" s="2877" t="s">
        <v>4003</v>
      </c>
      <c r="I630" s="516" t="s">
        <v>4631</v>
      </c>
      <c r="J630" s="3443"/>
      <c r="K630" s="3626"/>
      <c r="L630" s="2884"/>
      <c r="M630" s="429"/>
      <c r="N630" s="429"/>
      <c r="O630" s="429"/>
      <c r="P630" s="429"/>
      <c r="Q630" s="429"/>
    </row>
    <row r="631" spans="1:17" ht="30" customHeight="1" x14ac:dyDescent="0.2">
      <c r="A631" s="2990"/>
      <c r="B631" s="3458"/>
      <c r="C631" s="3571"/>
      <c r="D631" s="3325" t="s">
        <v>4763</v>
      </c>
      <c r="E631" s="3340"/>
      <c r="F631" s="3341"/>
      <c r="G631" s="2988">
        <v>15000000</v>
      </c>
      <c r="H631" s="2988" t="s">
        <v>4756</v>
      </c>
      <c r="I631" s="516" t="s">
        <v>4762</v>
      </c>
      <c r="J631" s="2988">
        <f>G631</f>
        <v>15000000</v>
      </c>
      <c r="K631" s="2997"/>
      <c r="L631" s="2996"/>
      <c r="M631" s="429"/>
      <c r="N631" s="429"/>
      <c r="O631" s="429"/>
      <c r="P631" s="429"/>
      <c r="Q631" s="429"/>
    </row>
    <row r="632" spans="1:17" ht="30" customHeight="1" x14ac:dyDescent="0.2">
      <c r="A632" s="2871"/>
      <c r="B632" s="2873" t="s">
        <v>3227</v>
      </c>
      <c r="C632" s="3095" t="s">
        <v>3437</v>
      </c>
      <c r="D632" s="2876">
        <v>100000000</v>
      </c>
      <c r="E632" s="2878">
        <v>7.0000000000000007E-2</v>
      </c>
      <c r="F632" s="2876">
        <f>D632*E632</f>
        <v>7000000.0000000009</v>
      </c>
      <c r="G632" s="2877"/>
      <c r="H632" s="2877"/>
      <c r="I632" s="516"/>
      <c r="J632" s="2877"/>
      <c r="K632" s="2885"/>
      <c r="L632" s="2890" t="s">
        <v>4632</v>
      </c>
      <c r="M632" s="429"/>
      <c r="N632" s="429"/>
      <c r="O632" s="429"/>
      <c r="P632" s="429"/>
      <c r="Q632" s="429"/>
    </row>
    <row r="633" spans="1:17" ht="30" customHeight="1" x14ac:dyDescent="0.2">
      <c r="A633" s="3450">
        <v>387</v>
      </c>
      <c r="B633" s="3457" t="s">
        <v>2043</v>
      </c>
      <c r="C633" s="3570"/>
      <c r="D633" s="2422">
        <v>60000000</v>
      </c>
      <c r="E633" s="2463">
        <v>0.04</v>
      </c>
      <c r="F633" s="2422">
        <f t="shared" si="74"/>
        <v>2400000</v>
      </c>
      <c r="G633" s="3800" t="s">
        <v>4802</v>
      </c>
      <c r="H633" s="3801"/>
      <c r="I633" s="3801"/>
      <c r="J633" s="3981"/>
      <c r="K633" s="2420">
        <f>F633-J633</f>
        <v>2400000</v>
      </c>
      <c r="L633" s="2460"/>
      <c r="M633" s="429"/>
      <c r="N633" s="429"/>
      <c r="O633" s="429"/>
      <c r="P633" s="429"/>
      <c r="Q633" s="429"/>
    </row>
    <row r="634" spans="1:17" ht="30" customHeight="1" x14ac:dyDescent="0.2">
      <c r="A634" s="3456"/>
      <c r="B634" s="3459"/>
      <c r="C634" s="3576"/>
      <c r="D634" s="3090"/>
      <c r="E634" s="3101"/>
      <c r="F634" s="3090"/>
      <c r="G634" s="3800" t="s">
        <v>4834</v>
      </c>
      <c r="H634" s="3801"/>
      <c r="I634" s="3801"/>
      <c r="J634" s="3981"/>
      <c r="K634" s="3099"/>
      <c r="L634" s="3099"/>
      <c r="M634" s="429"/>
      <c r="N634" s="429"/>
      <c r="O634" s="429"/>
      <c r="P634" s="429"/>
      <c r="Q634" s="429"/>
    </row>
    <row r="635" spans="1:17" ht="30" customHeight="1" x14ac:dyDescent="0.2">
      <c r="A635" s="3451"/>
      <c r="B635" s="3458"/>
      <c r="C635" s="3571"/>
      <c r="D635" s="3090"/>
      <c r="E635" s="3101"/>
      <c r="F635" s="3090"/>
      <c r="G635" s="3800" t="s">
        <v>4835</v>
      </c>
      <c r="H635" s="3801"/>
      <c r="I635" s="3801"/>
      <c r="J635" s="3981"/>
      <c r="K635" s="3099"/>
      <c r="L635" s="3099"/>
      <c r="M635" s="429"/>
      <c r="N635" s="429"/>
      <c r="O635" s="429"/>
      <c r="P635" s="429"/>
      <c r="Q635" s="429"/>
    </row>
    <row r="636" spans="1:17" ht="30" customHeight="1" x14ac:dyDescent="0.2">
      <c r="A636" s="3091"/>
      <c r="B636" s="13" t="s">
        <v>2043</v>
      </c>
      <c r="C636" s="3114"/>
      <c r="D636" s="3089">
        <v>75000000</v>
      </c>
      <c r="E636" s="479">
        <v>0.04</v>
      </c>
      <c r="F636" s="3089">
        <f>D636*E636</f>
        <v>3000000</v>
      </c>
      <c r="G636" s="3115"/>
      <c r="H636" s="3116"/>
      <c r="I636" s="3116"/>
      <c r="J636" s="3117"/>
      <c r="K636" s="3118"/>
      <c r="L636" s="3118"/>
      <c r="M636" s="429"/>
      <c r="N636" s="429"/>
      <c r="O636" s="429"/>
      <c r="P636" s="429"/>
      <c r="Q636" s="429"/>
    </row>
    <row r="637" spans="1:17" ht="30" customHeight="1" x14ac:dyDescent="0.2">
      <c r="A637" s="3693"/>
      <c r="B637" s="3687" t="s">
        <v>2073</v>
      </c>
      <c r="C637" s="3686" t="s">
        <v>3437</v>
      </c>
      <c r="D637" s="3575">
        <v>150000000</v>
      </c>
      <c r="E637" s="3683">
        <v>0.05</v>
      </c>
      <c r="F637" s="3575">
        <f t="shared" si="74"/>
        <v>7500000</v>
      </c>
      <c r="G637" s="3586">
        <v>7500000</v>
      </c>
      <c r="H637" s="3586" t="s">
        <v>2251</v>
      </c>
      <c r="I637" s="3586" t="s">
        <v>4739</v>
      </c>
      <c r="J637" s="3586">
        <f>G637</f>
        <v>7500000</v>
      </c>
      <c r="K637" s="3625">
        <f>G637-J637</f>
        <v>0</v>
      </c>
      <c r="L637" s="2498" t="s">
        <v>3435</v>
      </c>
      <c r="M637" s="429"/>
      <c r="N637" s="429"/>
      <c r="O637" s="429"/>
      <c r="P637" s="429"/>
      <c r="Q637" s="429"/>
    </row>
    <row r="638" spans="1:17" ht="30" customHeight="1" x14ac:dyDescent="0.2">
      <c r="A638" s="3693"/>
      <c r="B638" s="3687"/>
      <c r="C638" s="3686"/>
      <c r="D638" s="3575"/>
      <c r="E638" s="3683"/>
      <c r="F638" s="3575"/>
      <c r="G638" s="3587"/>
      <c r="H638" s="3587"/>
      <c r="I638" s="3587"/>
      <c r="J638" s="3587"/>
      <c r="K638" s="3626"/>
      <c r="L638" s="2490" t="s">
        <v>3436</v>
      </c>
      <c r="M638" s="429"/>
      <c r="N638" s="429"/>
      <c r="O638" s="429"/>
      <c r="P638" s="429"/>
      <c r="Q638" s="429"/>
    </row>
    <row r="639" spans="1:17" ht="30" customHeight="1" x14ac:dyDescent="0.2">
      <c r="A639" s="2425">
        <v>390</v>
      </c>
      <c r="B639" s="2428" t="s">
        <v>2122</v>
      </c>
      <c r="C639" s="2445" t="s">
        <v>916</v>
      </c>
      <c r="D639" s="2434">
        <v>5000000</v>
      </c>
      <c r="E639" s="2437">
        <v>0.05</v>
      </c>
      <c r="F639" s="2434">
        <f>D639*E639</f>
        <v>250000</v>
      </c>
      <c r="G639" s="2434">
        <v>250000</v>
      </c>
      <c r="H639" s="2434" t="s">
        <v>4458</v>
      </c>
      <c r="I639" s="516" t="s">
        <v>2667</v>
      </c>
      <c r="J639" s="2434">
        <f>G639</f>
        <v>250000</v>
      </c>
      <c r="K639" s="2461">
        <f>F639-J639</f>
        <v>0</v>
      </c>
      <c r="L639" s="2490"/>
      <c r="M639" s="429"/>
      <c r="N639" s="429"/>
      <c r="O639" s="429"/>
      <c r="P639" s="429"/>
      <c r="Q639" s="429"/>
    </row>
    <row r="640" spans="1:17" ht="30" customHeight="1" x14ac:dyDescent="0.2">
      <c r="A640" s="3693">
        <v>391</v>
      </c>
      <c r="B640" s="3687" t="s">
        <v>2129</v>
      </c>
      <c r="C640" s="3686" t="s">
        <v>3526</v>
      </c>
      <c r="D640" s="3575">
        <v>1000000000</v>
      </c>
      <c r="E640" s="3683">
        <v>0.05</v>
      </c>
      <c r="F640" s="3575">
        <f>D640*E640</f>
        <v>50000000</v>
      </c>
      <c r="G640" s="3442">
        <v>50000000</v>
      </c>
      <c r="H640" s="3442" t="s">
        <v>2251</v>
      </c>
      <c r="I640" s="3442" t="s">
        <v>2409</v>
      </c>
      <c r="J640" s="3442">
        <f>G640</f>
        <v>50000000</v>
      </c>
      <c r="K640" s="3442">
        <f>F640-J640</f>
        <v>0</v>
      </c>
      <c r="L640" s="3620"/>
      <c r="M640" s="429"/>
      <c r="N640" s="429"/>
      <c r="O640" s="429"/>
      <c r="P640" s="429"/>
      <c r="Q640" s="429"/>
    </row>
    <row r="641" spans="1:17" ht="30" customHeight="1" x14ac:dyDescent="0.2">
      <c r="A641" s="3693"/>
      <c r="B641" s="3687"/>
      <c r="C641" s="3686"/>
      <c r="D641" s="3575"/>
      <c r="E641" s="3683"/>
      <c r="F641" s="3575"/>
      <c r="G641" s="3443"/>
      <c r="H641" s="3443"/>
      <c r="I641" s="3443"/>
      <c r="J641" s="3443"/>
      <c r="K641" s="3443"/>
      <c r="L641" s="3621"/>
      <c r="M641" s="429"/>
      <c r="N641" s="429"/>
      <c r="O641" s="429"/>
      <c r="P641" s="429"/>
      <c r="Q641" s="429"/>
    </row>
    <row r="642" spans="1:17" ht="30" customHeight="1" x14ac:dyDescent="0.2">
      <c r="A642" s="2425">
        <v>392</v>
      </c>
      <c r="B642" s="2428" t="s">
        <v>2174</v>
      </c>
      <c r="C642" s="2445" t="s">
        <v>1349</v>
      </c>
      <c r="D642" s="2434">
        <v>50000000</v>
      </c>
      <c r="E642" s="2463">
        <v>0.05</v>
      </c>
      <c r="F642" s="2434">
        <f>D642*E642</f>
        <v>2500000</v>
      </c>
      <c r="G642" s="2434">
        <v>2500000</v>
      </c>
      <c r="H642" s="2434" t="s">
        <v>4779</v>
      </c>
      <c r="I642" s="516" t="s">
        <v>3182</v>
      </c>
      <c r="J642" s="2434">
        <f>G642</f>
        <v>2500000</v>
      </c>
      <c r="K642" s="2461">
        <f>F642-J642</f>
        <v>0</v>
      </c>
      <c r="L642" s="2490"/>
      <c r="M642" s="429"/>
      <c r="N642" s="429"/>
      <c r="O642" s="429"/>
      <c r="P642" s="429"/>
      <c r="Q642" s="429"/>
    </row>
    <row r="643" spans="1:17" ht="30" customHeight="1" x14ac:dyDescent="0.2">
      <c r="A643" s="2926"/>
      <c r="B643" s="22" t="s">
        <v>2166</v>
      </c>
      <c r="C643" s="2925"/>
      <c r="D643" s="2917">
        <v>70000000</v>
      </c>
      <c r="E643" s="2924">
        <v>0.05</v>
      </c>
      <c r="F643" s="2918">
        <f>D643*E643</f>
        <v>3500000</v>
      </c>
      <c r="G643" s="2918">
        <v>3500000</v>
      </c>
      <c r="H643" s="2918" t="s">
        <v>1047</v>
      </c>
      <c r="I643" s="2918" t="s">
        <v>3674</v>
      </c>
      <c r="J643" s="2918">
        <f>G643</f>
        <v>3500000</v>
      </c>
      <c r="K643" s="2916">
        <f>F643-J643</f>
        <v>0</v>
      </c>
      <c r="L643" s="2490"/>
      <c r="M643" s="429"/>
      <c r="N643" s="429"/>
      <c r="O643" s="429"/>
      <c r="P643" s="429"/>
      <c r="Q643" s="429"/>
    </row>
    <row r="644" spans="1:17" ht="30" customHeight="1" x14ac:dyDescent="0.2">
      <c r="A644" s="3456"/>
      <c r="B644" s="2495" t="s">
        <v>2178</v>
      </c>
      <c r="C644" s="3847" t="s">
        <v>1378</v>
      </c>
      <c r="D644" s="2500">
        <v>600000000</v>
      </c>
      <c r="E644" s="2928">
        <v>0.06</v>
      </c>
      <c r="F644" s="2500">
        <f>D644*E644</f>
        <v>36000000</v>
      </c>
      <c r="G644" s="3461"/>
      <c r="H644" s="3461"/>
      <c r="I644" s="3854"/>
      <c r="J644" s="3461"/>
      <c r="K644" s="2461"/>
      <c r="L644" s="2490"/>
      <c r="M644" s="429"/>
      <c r="N644" s="429"/>
      <c r="O644" s="429"/>
      <c r="P644" s="429"/>
      <c r="Q644" s="429"/>
    </row>
    <row r="645" spans="1:17" ht="30" customHeight="1" x14ac:dyDescent="0.2">
      <c r="A645" s="3456"/>
      <c r="B645" s="2495" t="s">
        <v>2175</v>
      </c>
      <c r="C645" s="3847"/>
      <c r="D645" s="2500">
        <v>310000000</v>
      </c>
      <c r="E645" s="725">
        <v>0.06</v>
      </c>
      <c r="F645" s="2500">
        <f t="shared" ref="F645:F649" si="75">D645*E645</f>
        <v>18600000</v>
      </c>
      <c r="G645" s="3461"/>
      <c r="H645" s="3461"/>
      <c r="I645" s="3854"/>
      <c r="J645" s="3461"/>
      <c r="K645" s="2461"/>
      <c r="L645" s="2490"/>
      <c r="M645" s="429"/>
      <c r="N645" s="429"/>
      <c r="O645" s="429"/>
      <c r="P645" s="429"/>
      <c r="Q645" s="429"/>
    </row>
    <row r="646" spans="1:17" ht="30" customHeight="1" x14ac:dyDescent="0.2">
      <c r="A646" s="3456"/>
      <c r="B646" s="2495" t="s">
        <v>2179</v>
      </c>
      <c r="C646" s="3847"/>
      <c r="D646" s="2500">
        <v>50000000</v>
      </c>
      <c r="E646" s="725">
        <v>0.06</v>
      </c>
      <c r="F646" s="2500">
        <f t="shared" si="75"/>
        <v>3000000</v>
      </c>
      <c r="G646" s="3461"/>
      <c r="H646" s="3461"/>
      <c r="I646" s="3854"/>
      <c r="J646" s="3461"/>
      <c r="K646" s="2461"/>
      <c r="L646" s="2490"/>
      <c r="M646" s="429"/>
      <c r="N646" s="429"/>
      <c r="O646" s="429"/>
      <c r="P646" s="429"/>
      <c r="Q646" s="429"/>
    </row>
    <row r="647" spans="1:17" ht="30" customHeight="1" x14ac:dyDescent="0.2">
      <c r="A647" s="3456"/>
      <c r="B647" s="2495" t="s">
        <v>2176</v>
      </c>
      <c r="C647" s="3847"/>
      <c r="D647" s="2500">
        <v>110000000</v>
      </c>
      <c r="E647" s="725">
        <v>0.06</v>
      </c>
      <c r="F647" s="2500">
        <f t="shared" si="75"/>
        <v>6600000</v>
      </c>
      <c r="G647" s="3461"/>
      <c r="H647" s="3461"/>
      <c r="I647" s="3854"/>
      <c r="J647" s="3461"/>
      <c r="K647" s="2461"/>
      <c r="L647" s="2490"/>
      <c r="M647" s="429"/>
      <c r="N647" s="429"/>
      <c r="O647" s="429"/>
      <c r="P647" s="429"/>
      <c r="Q647" s="429"/>
    </row>
    <row r="648" spans="1:17" ht="30" customHeight="1" x14ac:dyDescent="0.2">
      <c r="A648" s="3456"/>
      <c r="B648" s="2495" t="s">
        <v>2177</v>
      </c>
      <c r="C648" s="3846"/>
      <c r="D648" s="2500">
        <v>100000000</v>
      </c>
      <c r="E648" s="725">
        <v>0.06</v>
      </c>
      <c r="F648" s="2500">
        <f t="shared" si="75"/>
        <v>6000000</v>
      </c>
      <c r="G648" s="3443"/>
      <c r="H648" s="3443"/>
      <c r="I648" s="3704"/>
      <c r="J648" s="3443"/>
      <c r="K648" s="2461"/>
      <c r="L648" s="2490"/>
      <c r="M648" s="429"/>
      <c r="N648" s="429"/>
      <c r="O648" s="429"/>
      <c r="P648" s="429"/>
      <c r="Q648" s="429"/>
    </row>
    <row r="649" spans="1:17" ht="30" customHeight="1" x14ac:dyDescent="0.2">
      <c r="A649" s="3456"/>
      <c r="B649" s="1846" t="s">
        <v>4747</v>
      </c>
      <c r="C649" s="3009"/>
      <c r="D649" s="3010">
        <v>50000000</v>
      </c>
      <c r="E649" s="3007">
        <v>0.06</v>
      </c>
      <c r="F649" s="3010">
        <f t="shared" si="75"/>
        <v>3000000</v>
      </c>
      <c r="G649" s="3478" t="s">
        <v>4749</v>
      </c>
      <c r="H649" s="3479"/>
      <c r="I649" s="3479"/>
      <c r="J649" s="3480"/>
      <c r="K649" s="2999"/>
      <c r="L649" s="3002"/>
      <c r="M649" s="429"/>
      <c r="N649" s="429"/>
      <c r="O649" s="429"/>
      <c r="P649" s="429"/>
      <c r="Q649" s="429"/>
    </row>
    <row r="650" spans="1:17" ht="30" customHeight="1" x14ac:dyDescent="0.2">
      <c r="A650" s="3456"/>
      <c r="B650" s="3839" t="s">
        <v>3559</v>
      </c>
      <c r="C650" s="3845" t="s">
        <v>1378</v>
      </c>
      <c r="D650" s="3816">
        <f>SUM(D644:D649)</f>
        <v>1220000000</v>
      </c>
      <c r="E650" s="3899"/>
      <c r="F650" s="3816">
        <f>SUM(F644:F649)</f>
        <v>73200000</v>
      </c>
      <c r="G650" s="3997" t="s">
        <v>4748</v>
      </c>
      <c r="H650" s="3998"/>
      <c r="I650" s="3998"/>
      <c r="J650" s="3999"/>
      <c r="K650" s="3625">
        <f>F650-J650</f>
        <v>73200000</v>
      </c>
      <c r="L650" s="3625"/>
      <c r="M650" s="429"/>
      <c r="N650" s="429"/>
      <c r="O650" s="429"/>
      <c r="P650" s="429"/>
      <c r="Q650" s="429"/>
    </row>
    <row r="651" spans="1:17" ht="30" customHeight="1" x14ac:dyDescent="0.2">
      <c r="A651" s="3451"/>
      <c r="B651" s="3840"/>
      <c r="C651" s="3846"/>
      <c r="D651" s="3817"/>
      <c r="E651" s="3900"/>
      <c r="F651" s="3817"/>
      <c r="G651" s="4000"/>
      <c r="H651" s="4001"/>
      <c r="I651" s="4001"/>
      <c r="J651" s="4002"/>
      <c r="K651" s="3626"/>
      <c r="L651" s="3626"/>
      <c r="M651" s="429"/>
      <c r="N651" s="429"/>
      <c r="O651" s="429"/>
      <c r="P651" s="429"/>
      <c r="Q651" s="429"/>
    </row>
    <row r="652" spans="1:17" ht="30" customHeight="1" x14ac:dyDescent="0.2">
      <c r="A652" s="2465"/>
      <c r="B652" s="2466" t="s">
        <v>2195</v>
      </c>
      <c r="C652" s="2467"/>
      <c r="D652" s="2422">
        <v>200000000</v>
      </c>
      <c r="E652" s="2463">
        <v>7.0000000000000007E-2</v>
      </c>
      <c r="F652" s="2422">
        <f t="shared" ref="F652:F656" si="76">D652*E652</f>
        <v>14000000.000000002</v>
      </c>
      <c r="G652" s="2434">
        <v>14000000</v>
      </c>
      <c r="H652" s="2434" t="s">
        <v>4942</v>
      </c>
      <c r="I652" s="516" t="s">
        <v>1106</v>
      </c>
      <c r="J652" s="2422">
        <f>G652</f>
        <v>14000000</v>
      </c>
      <c r="K652" s="2420">
        <f>F652-J652</f>
        <v>0</v>
      </c>
      <c r="L652" s="2460"/>
      <c r="M652" s="429"/>
      <c r="N652" s="429"/>
      <c r="O652" s="429"/>
      <c r="P652" s="429"/>
      <c r="Q652" s="429"/>
    </row>
    <row r="653" spans="1:17" ht="30" customHeight="1" x14ac:dyDescent="0.2">
      <c r="A653" s="2425"/>
      <c r="B653" s="2428" t="s">
        <v>2215</v>
      </c>
      <c r="C653" s="2445"/>
      <c r="D653" s="2434">
        <v>13000000</v>
      </c>
      <c r="E653" s="2463">
        <v>0.05</v>
      </c>
      <c r="F653" s="2434">
        <f t="shared" si="76"/>
        <v>650000</v>
      </c>
      <c r="G653" s="2434">
        <v>650000</v>
      </c>
      <c r="H653" s="2434" t="s">
        <v>2604</v>
      </c>
      <c r="I653" s="516" t="s">
        <v>3119</v>
      </c>
      <c r="J653" s="2434">
        <f>G653</f>
        <v>650000</v>
      </c>
      <c r="K653" s="2461">
        <f>F653-J653</f>
        <v>0</v>
      </c>
      <c r="L653" s="2490"/>
      <c r="M653" s="429"/>
      <c r="N653" s="429"/>
      <c r="O653" s="429"/>
      <c r="P653" s="429"/>
      <c r="Q653" s="429"/>
    </row>
    <row r="654" spans="1:17" ht="30" customHeight="1" x14ac:dyDescent="0.2">
      <c r="A654" s="2425"/>
      <c r="B654" s="2428" t="s">
        <v>2254</v>
      </c>
      <c r="C654" s="2445" t="s">
        <v>1342</v>
      </c>
      <c r="D654" s="2434">
        <v>50000000</v>
      </c>
      <c r="E654" s="2463">
        <v>0.04</v>
      </c>
      <c r="F654" s="2434">
        <f t="shared" si="76"/>
        <v>2000000</v>
      </c>
      <c r="G654" s="2434">
        <v>2000000</v>
      </c>
      <c r="H654" s="2434" t="s">
        <v>4003</v>
      </c>
      <c r="I654" s="516" t="s">
        <v>2295</v>
      </c>
      <c r="J654" s="2434">
        <f>G654</f>
        <v>2000000</v>
      </c>
      <c r="K654" s="2461">
        <f>F654-G654</f>
        <v>0</v>
      </c>
      <c r="L654" s="2490"/>
      <c r="M654" s="429"/>
      <c r="N654" s="429"/>
      <c r="O654" s="429"/>
      <c r="P654" s="429"/>
      <c r="Q654" s="429"/>
    </row>
    <row r="655" spans="1:17" ht="30" customHeight="1" x14ac:dyDescent="0.2">
      <c r="A655" s="2423"/>
      <c r="B655" s="2468" t="s">
        <v>2255</v>
      </c>
      <c r="C655" s="2445" t="s">
        <v>380</v>
      </c>
      <c r="D655" s="2433">
        <v>100000000</v>
      </c>
      <c r="E655" s="2435">
        <v>0.05</v>
      </c>
      <c r="F655" s="2433">
        <f t="shared" si="76"/>
        <v>5000000</v>
      </c>
      <c r="G655" s="2438">
        <v>5000000</v>
      </c>
      <c r="H655" s="2438" t="s">
        <v>4604</v>
      </c>
      <c r="I655" s="1717" t="s">
        <v>3719</v>
      </c>
      <c r="J655" s="2433">
        <f>G655</f>
        <v>5000000</v>
      </c>
      <c r="K655" s="2460">
        <f>F655-J655</f>
        <v>0</v>
      </c>
      <c r="L655" s="2460"/>
      <c r="M655" s="429"/>
      <c r="N655" s="429"/>
      <c r="O655" s="429"/>
      <c r="P655" s="429"/>
      <c r="Q655" s="429"/>
    </row>
    <row r="656" spans="1:17" s="1593" customFormat="1" ht="30" customHeight="1" x14ac:dyDescent="0.2">
      <c r="A656" s="2465"/>
      <c r="B656" s="2466" t="s">
        <v>2334</v>
      </c>
      <c r="C656" s="2467" t="s">
        <v>1378</v>
      </c>
      <c r="D656" s="2422">
        <v>30000000</v>
      </c>
      <c r="E656" s="2463">
        <v>0.05</v>
      </c>
      <c r="F656" s="2422">
        <f t="shared" si="76"/>
        <v>1500000</v>
      </c>
      <c r="G656" s="2422">
        <v>1500000</v>
      </c>
      <c r="H656" s="2422" t="s">
        <v>4756</v>
      </c>
      <c r="I656" s="2422" t="s">
        <v>3339</v>
      </c>
      <c r="J656" s="2422">
        <f>G656</f>
        <v>1500000</v>
      </c>
      <c r="K656" s="2422">
        <f>F656-J656</f>
        <v>0</v>
      </c>
      <c r="L656" s="2490"/>
      <c r="M656" s="430"/>
      <c r="N656" s="430"/>
      <c r="O656" s="430"/>
      <c r="P656" s="430"/>
      <c r="Q656" s="430"/>
    </row>
    <row r="657" spans="1:17" ht="30" customHeight="1" x14ac:dyDescent="0.2">
      <c r="A657" s="2425"/>
      <c r="B657" s="2428" t="s">
        <v>2422</v>
      </c>
      <c r="C657" s="2445"/>
      <c r="D657" s="2440"/>
      <c r="E657" s="44"/>
      <c r="F657" s="2440"/>
      <c r="G657" s="2434"/>
      <c r="H657" s="2434"/>
      <c r="I657" s="516"/>
      <c r="J657" s="2434">
        <f t="shared" ref="J657:J666" si="77">G657</f>
        <v>0</v>
      </c>
      <c r="K657" s="2462"/>
      <c r="L657" s="2490" t="s">
        <v>2205</v>
      </c>
      <c r="M657" s="429"/>
      <c r="N657" s="429"/>
      <c r="O657" s="429"/>
      <c r="P657" s="429"/>
      <c r="Q657" s="429"/>
    </row>
    <row r="658" spans="1:17" ht="30" customHeight="1" x14ac:dyDescent="0.2">
      <c r="A658" s="2425"/>
      <c r="B658" s="3066" t="s">
        <v>2433</v>
      </c>
      <c r="C658" s="3067"/>
      <c r="D658" s="3064">
        <v>100000000</v>
      </c>
      <c r="E658" s="3069">
        <v>4.4999999999999998E-2</v>
      </c>
      <c r="F658" s="3064">
        <f>D658*E658</f>
        <v>4500000</v>
      </c>
      <c r="G658" s="3064">
        <v>9000000</v>
      </c>
      <c r="H658" s="3064"/>
      <c r="I658" s="516" t="s">
        <v>2434</v>
      </c>
      <c r="J658" s="3064">
        <f t="shared" si="77"/>
        <v>9000000</v>
      </c>
      <c r="K658" s="3068">
        <f>F658-J658</f>
        <v>-4500000</v>
      </c>
      <c r="L658" s="3070" t="s">
        <v>4783</v>
      </c>
      <c r="M658" s="429"/>
      <c r="N658" s="429"/>
      <c r="O658" s="429"/>
      <c r="P658" s="429"/>
      <c r="Q658" s="429"/>
    </row>
    <row r="659" spans="1:17" ht="30" customHeight="1" x14ac:dyDescent="0.2">
      <c r="A659" s="2425"/>
      <c r="B659" s="2428" t="s">
        <v>2474</v>
      </c>
      <c r="C659" s="2445" t="s">
        <v>1378</v>
      </c>
      <c r="D659" s="2434">
        <v>25000000</v>
      </c>
      <c r="E659" s="2463">
        <v>0.04</v>
      </c>
      <c r="F659" s="2434">
        <f>D659*E659</f>
        <v>1000000</v>
      </c>
      <c r="G659" s="2434">
        <v>1000000</v>
      </c>
      <c r="H659" s="2434" t="s">
        <v>4617</v>
      </c>
      <c r="I659" s="516" t="s">
        <v>2476</v>
      </c>
      <c r="J659" s="2434">
        <f t="shared" si="77"/>
        <v>1000000</v>
      </c>
      <c r="K659" s="2461">
        <f>F659-J659</f>
        <v>0</v>
      </c>
      <c r="L659" s="2490"/>
      <c r="M659" s="429"/>
      <c r="N659" s="429"/>
      <c r="O659" s="429"/>
      <c r="P659" s="429"/>
      <c r="Q659" s="429"/>
    </row>
    <row r="660" spans="1:17" ht="30" customHeight="1" x14ac:dyDescent="0.2">
      <c r="A660" s="2425"/>
      <c r="B660" s="2428" t="s">
        <v>2515</v>
      </c>
      <c r="C660" s="2445"/>
      <c r="D660" s="2440"/>
      <c r="E660" s="44"/>
      <c r="F660" s="2440"/>
      <c r="G660" s="2434"/>
      <c r="H660" s="2434"/>
      <c r="I660" s="516"/>
      <c r="J660" s="2434">
        <f t="shared" si="77"/>
        <v>0</v>
      </c>
      <c r="K660" s="2462">
        <f>F660-J660</f>
        <v>0</v>
      </c>
      <c r="L660" s="2490"/>
      <c r="M660" s="429"/>
      <c r="N660" s="429"/>
      <c r="O660" s="429"/>
      <c r="P660" s="429"/>
      <c r="Q660" s="429"/>
    </row>
    <row r="661" spans="1:17" ht="30" customHeight="1" x14ac:dyDescent="0.2">
      <c r="A661" s="3450"/>
      <c r="B661" s="3457" t="s">
        <v>2518</v>
      </c>
      <c r="C661" s="3570" t="s">
        <v>1215</v>
      </c>
      <c r="D661" s="3228">
        <v>25000000</v>
      </c>
      <c r="E661" s="3239">
        <v>0.05</v>
      </c>
      <c r="F661" s="3228">
        <f>D661*E661</f>
        <v>1250000</v>
      </c>
      <c r="G661" s="3442">
        <v>2000000</v>
      </c>
      <c r="H661" s="3442" t="s">
        <v>4756</v>
      </c>
      <c r="I661" s="3703" t="s">
        <v>4764</v>
      </c>
      <c r="J661" s="3442">
        <f>G661</f>
        <v>2000000</v>
      </c>
      <c r="K661" s="3625"/>
      <c r="L661" s="2490" t="s">
        <v>4911</v>
      </c>
      <c r="M661" s="429"/>
      <c r="N661" s="429"/>
      <c r="O661" s="429"/>
      <c r="P661" s="429"/>
      <c r="Q661" s="429"/>
    </row>
    <row r="662" spans="1:17" ht="30" customHeight="1" x14ac:dyDescent="0.2">
      <c r="A662" s="3456"/>
      <c r="B662" s="3459"/>
      <c r="C662" s="3576"/>
      <c r="D662" s="3230">
        <v>40000000</v>
      </c>
      <c r="E662" s="3239">
        <v>0.05</v>
      </c>
      <c r="F662" s="3230">
        <f>D662*E662</f>
        <v>2000000</v>
      </c>
      <c r="G662" s="3443"/>
      <c r="H662" s="3443"/>
      <c r="I662" s="3704"/>
      <c r="J662" s="3443"/>
      <c r="K662" s="3626"/>
      <c r="L662" s="3240" t="s">
        <v>4912</v>
      </c>
      <c r="M662" s="429"/>
      <c r="N662" s="429"/>
      <c r="O662" s="429"/>
      <c r="P662" s="429"/>
      <c r="Q662" s="429"/>
    </row>
    <row r="663" spans="1:17" ht="30" customHeight="1" x14ac:dyDescent="0.2">
      <c r="A663" s="3456"/>
      <c r="B663" s="3459"/>
      <c r="C663" s="3576"/>
      <c r="D663" s="3230">
        <v>43000000</v>
      </c>
      <c r="E663" s="3239">
        <v>0.05</v>
      </c>
      <c r="F663" s="3230">
        <f>D663*E663</f>
        <v>2150000</v>
      </c>
      <c r="G663" s="3478" t="s">
        <v>4913</v>
      </c>
      <c r="H663" s="3479"/>
      <c r="I663" s="3479"/>
      <c r="J663" s="3480"/>
      <c r="K663" s="3237"/>
      <c r="L663" s="3240"/>
      <c r="M663" s="429"/>
      <c r="N663" s="429"/>
      <c r="O663" s="429"/>
      <c r="P663" s="429"/>
      <c r="Q663" s="429"/>
    </row>
    <row r="664" spans="1:17" ht="30" customHeight="1" x14ac:dyDescent="0.2">
      <c r="A664" s="3456"/>
      <c r="B664" s="3459"/>
      <c r="C664" s="3576"/>
      <c r="D664" s="3235">
        <v>110000000</v>
      </c>
      <c r="E664" s="479">
        <v>0.05</v>
      </c>
      <c r="F664" s="3235">
        <f>D664*E664</f>
        <v>5500000</v>
      </c>
      <c r="G664" s="3478" t="s">
        <v>4914</v>
      </c>
      <c r="H664" s="3479"/>
      <c r="I664" s="3479"/>
      <c r="J664" s="3480"/>
      <c r="K664" s="3237"/>
      <c r="L664" s="3240"/>
      <c r="M664" s="429"/>
      <c r="N664" s="429"/>
      <c r="O664" s="429"/>
      <c r="P664" s="429"/>
      <c r="Q664" s="429"/>
    </row>
    <row r="665" spans="1:17" ht="30" customHeight="1" x14ac:dyDescent="0.2">
      <c r="A665" s="3451"/>
      <c r="B665" s="3458"/>
      <c r="C665" s="3571"/>
      <c r="D665" s="3230"/>
      <c r="E665" s="3239"/>
      <c r="F665" s="3230"/>
      <c r="G665" s="3229"/>
      <c r="H665" s="3229"/>
      <c r="I665" s="3241"/>
      <c r="J665" s="3229"/>
      <c r="K665" s="3237"/>
      <c r="L665" s="3240"/>
      <c r="M665" s="429"/>
      <c r="N665" s="429"/>
      <c r="O665" s="429"/>
      <c r="P665" s="429"/>
      <c r="Q665" s="429"/>
    </row>
    <row r="666" spans="1:17" ht="30" customHeight="1" x14ac:dyDescent="0.2">
      <c r="A666" s="3450"/>
      <c r="B666" s="3457" t="s">
        <v>2781</v>
      </c>
      <c r="C666" s="3686" t="s">
        <v>1746</v>
      </c>
      <c r="D666" s="2434">
        <v>100000000</v>
      </c>
      <c r="E666" s="2463">
        <v>0.05</v>
      </c>
      <c r="F666" s="2434">
        <f t="shared" ref="F666:F675" si="78">D666*E666</f>
        <v>5000000</v>
      </c>
      <c r="G666" s="3442">
        <v>16000000</v>
      </c>
      <c r="H666" s="3442" t="s">
        <v>1236</v>
      </c>
      <c r="I666" s="3442" t="s">
        <v>4260</v>
      </c>
      <c r="J666" s="3442">
        <f t="shared" si="77"/>
        <v>16000000</v>
      </c>
      <c r="K666" s="3625">
        <f>(F666+F667)-J666</f>
        <v>0</v>
      </c>
      <c r="L666" s="3620"/>
      <c r="M666" s="429"/>
      <c r="N666" s="429"/>
      <c r="O666" s="429"/>
      <c r="P666" s="429"/>
      <c r="Q666" s="429"/>
    </row>
    <row r="667" spans="1:17" ht="30" customHeight="1" x14ac:dyDescent="0.2">
      <c r="A667" s="3456"/>
      <c r="B667" s="3459"/>
      <c r="C667" s="3686"/>
      <c r="D667" s="2434">
        <v>220000000</v>
      </c>
      <c r="E667" s="2463">
        <v>0.05</v>
      </c>
      <c r="F667" s="2434">
        <f t="shared" si="78"/>
        <v>11000000</v>
      </c>
      <c r="G667" s="3443"/>
      <c r="H667" s="3443"/>
      <c r="I667" s="3443"/>
      <c r="J667" s="3443"/>
      <c r="K667" s="3626"/>
      <c r="L667" s="3621"/>
      <c r="M667" s="429"/>
      <c r="N667" s="429"/>
      <c r="O667" s="429"/>
      <c r="P667" s="429"/>
      <c r="Q667" s="429"/>
    </row>
    <row r="668" spans="1:17" ht="30" customHeight="1" x14ac:dyDescent="0.2">
      <c r="A668" s="3456"/>
      <c r="B668" s="3459"/>
      <c r="C668" s="3570" t="s">
        <v>3526</v>
      </c>
      <c r="D668" s="3442">
        <v>1000000000</v>
      </c>
      <c r="E668" s="3444">
        <v>6.5000000000000002E-2</v>
      </c>
      <c r="F668" s="3442">
        <f>D668*E668</f>
        <v>65000000</v>
      </c>
      <c r="G668" s="3442">
        <v>65000000</v>
      </c>
      <c r="H668" s="3442" t="s">
        <v>3138</v>
      </c>
      <c r="I668" s="3442" t="s">
        <v>4661</v>
      </c>
      <c r="J668" s="3442">
        <f>G668+G669</f>
        <v>65000000</v>
      </c>
      <c r="K668" s="3625">
        <f>F668-J668</f>
        <v>0</v>
      </c>
      <c r="L668" s="2478"/>
      <c r="M668" s="429"/>
      <c r="N668" s="429"/>
      <c r="O668" s="429"/>
      <c r="P668" s="429"/>
      <c r="Q668" s="429"/>
    </row>
    <row r="669" spans="1:17" ht="30" customHeight="1" x14ac:dyDescent="0.2">
      <c r="A669" s="3451"/>
      <c r="B669" s="3458"/>
      <c r="C669" s="3571"/>
      <c r="D669" s="3443"/>
      <c r="E669" s="3445"/>
      <c r="F669" s="3443"/>
      <c r="G669" s="3443"/>
      <c r="H669" s="3443"/>
      <c r="I669" s="3443"/>
      <c r="J669" s="3443"/>
      <c r="K669" s="3626"/>
      <c r="L669" s="2490" t="s">
        <v>3828</v>
      </c>
      <c r="M669" s="429"/>
      <c r="N669" s="429"/>
      <c r="O669" s="429"/>
      <c r="P669" s="429"/>
      <c r="Q669" s="429"/>
    </row>
    <row r="670" spans="1:17" ht="30" customHeight="1" x14ac:dyDescent="0.2">
      <c r="A670" s="2425"/>
      <c r="B670" s="2428" t="s">
        <v>2537</v>
      </c>
      <c r="C670" s="2445"/>
      <c r="D670" s="2434">
        <v>20000000</v>
      </c>
      <c r="E670" s="2463">
        <v>0.05</v>
      </c>
      <c r="F670" s="2434">
        <f t="shared" si="78"/>
        <v>1000000</v>
      </c>
      <c r="G670" s="2434">
        <v>1000000</v>
      </c>
      <c r="H670" s="2434" t="s">
        <v>4697</v>
      </c>
      <c r="I670" s="516" t="s">
        <v>4266</v>
      </c>
      <c r="J670" s="2434">
        <f>G670</f>
        <v>1000000</v>
      </c>
      <c r="K670" s="2461">
        <f>F670-J670</f>
        <v>0</v>
      </c>
      <c r="L670" s="2490"/>
      <c r="M670" s="429"/>
      <c r="N670" s="429"/>
      <c r="O670" s="429"/>
      <c r="P670" s="429"/>
      <c r="Q670" s="429"/>
    </row>
    <row r="671" spans="1:17" ht="30" customHeight="1" x14ac:dyDescent="0.2">
      <c r="A671" s="2465"/>
      <c r="B671" s="22" t="s">
        <v>2602</v>
      </c>
      <c r="C671" s="2467" t="s">
        <v>916</v>
      </c>
      <c r="D671" s="2434">
        <v>57120000</v>
      </c>
      <c r="E671" s="2463">
        <v>0.06</v>
      </c>
      <c r="F671" s="2434">
        <f t="shared" si="78"/>
        <v>3427200</v>
      </c>
      <c r="G671" s="2422"/>
      <c r="H671" s="2422"/>
      <c r="I671" s="247" t="s">
        <v>4182</v>
      </c>
      <c r="J671" s="2422">
        <f>G671</f>
        <v>0</v>
      </c>
      <c r="K671" s="2965">
        <f>F671-J671</f>
        <v>3427200</v>
      </c>
      <c r="L671" s="2490" t="s">
        <v>4183</v>
      </c>
      <c r="M671" s="429"/>
      <c r="N671" s="429"/>
      <c r="O671" s="429"/>
      <c r="P671" s="429"/>
      <c r="Q671" s="429"/>
    </row>
    <row r="672" spans="1:17" ht="30" customHeight="1" x14ac:dyDescent="0.2">
      <c r="A672" s="3450"/>
      <c r="B672" s="3457" t="s">
        <v>2651</v>
      </c>
      <c r="C672" s="3570" t="s">
        <v>1110</v>
      </c>
      <c r="D672" s="3230">
        <v>134700000</v>
      </c>
      <c r="E672" s="3239">
        <v>0.05</v>
      </c>
      <c r="F672" s="3230">
        <f t="shared" si="78"/>
        <v>6735000</v>
      </c>
      <c r="G672" s="3806" t="s">
        <v>4899</v>
      </c>
      <c r="H672" s="3807"/>
      <c r="I672" s="3807"/>
      <c r="J672" s="3808"/>
      <c r="K672" s="2422">
        <f>F672-J672</f>
        <v>6735000</v>
      </c>
      <c r="L672" s="2490"/>
      <c r="M672" s="429"/>
      <c r="N672" s="429"/>
      <c r="O672" s="429"/>
      <c r="P672" s="429"/>
      <c r="Q672" s="429"/>
    </row>
    <row r="673" spans="1:17" ht="30" customHeight="1" x14ac:dyDescent="0.2">
      <c r="A673" s="3456"/>
      <c r="B673" s="3459"/>
      <c r="C673" s="3576"/>
      <c r="D673" s="3297">
        <v>6735000</v>
      </c>
      <c r="E673" s="3306">
        <v>0.05</v>
      </c>
      <c r="F673" s="3297">
        <f t="shared" si="78"/>
        <v>336750</v>
      </c>
      <c r="G673" s="3812"/>
      <c r="H673" s="3813"/>
      <c r="I673" s="3813"/>
      <c r="J673" s="3814"/>
      <c r="K673" s="3296"/>
      <c r="L673" s="3302"/>
      <c r="M673" s="429"/>
      <c r="N673" s="429"/>
      <c r="O673" s="429"/>
      <c r="P673" s="429"/>
      <c r="Q673" s="429"/>
    </row>
    <row r="674" spans="1:17" ht="30" customHeight="1" x14ac:dyDescent="0.2">
      <c r="A674" s="3456"/>
      <c r="B674" s="3459"/>
      <c r="C674" s="3576"/>
      <c r="D674" s="3297">
        <v>100000000</v>
      </c>
      <c r="E674" s="3306">
        <v>0.05</v>
      </c>
      <c r="F674" s="3297">
        <f t="shared" si="78"/>
        <v>5000000</v>
      </c>
      <c r="G674" s="3478" t="s">
        <v>4957</v>
      </c>
      <c r="H674" s="3479"/>
      <c r="I674" s="3479"/>
      <c r="J674" s="3480"/>
      <c r="K674" s="3296"/>
      <c r="L674" s="3302"/>
      <c r="M674" s="429"/>
      <c r="N674" s="429"/>
      <c r="O674" s="429"/>
      <c r="P674" s="429"/>
      <c r="Q674" s="429"/>
    </row>
    <row r="675" spans="1:17" ht="30" customHeight="1" x14ac:dyDescent="0.2">
      <c r="A675" s="3456"/>
      <c r="B675" s="3459"/>
      <c r="C675" s="3576"/>
      <c r="D675" s="3297">
        <v>8565000</v>
      </c>
      <c r="E675" s="3306">
        <v>0.05</v>
      </c>
      <c r="F675" s="3297">
        <f t="shared" si="78"/>
        <v>428250</v>
      </c>
      <c r="G675" s="3478" t="s">
        <v>4958</v>
      </c>
      <c r="H675" s="3479"/>
      <c r="I675" s="3479"/>
      <c r="J675" s="3480"/>
      <c r="K675" s="3296"/>
      <c r="L675" s="3302"/>
      <c r="M675" s="429"/>
      <c r="N675" s="429"/>
      <c r="O675" s="429"/>
      <c r="P675" s="429"/>
      <c r="Q675" s="429"/>
    </row>
    <row r="676" spans="1:17" ht="30" customHeight="1" x14ac:dyDescent="0.2">
      <c r="A676" s="3456"/>
      <c r="B676" s="3459"/>
      <c r="C676" s="3576"/>
      <c r="D676" s="1913">
        <f>SUM(D672:D675)</f>
        <v>250000000</v>
      </c>
      <c r="E676" s="949">
        <v>0.05</v>
      </c>
      <c r="F676" s="1913">
        <f>D676*E676</f>
        <v>12500000</v>
      </c>
      <c r="G676" s="3478" t="s">
        <v>4900</v>
      </c>
      <c r="H676" s="3479"/>
      <c r="I676" s="3479"/>
      <c r="J676" s="3480"/>
      <c r="K676" s="2433"/>
      <c r="L676" s="2477"/>
      <c r="M676" s="429"/>
      <c r="N676" s="429"/>
      <c r="O676" s="429"/>
      <c r="P676" s="429"/>
      <c r="Q676" s="429"/>
    </row>
    <row r="677" spans="1:17" ht="30" customHeight="1" x14ac:dyDescent="0.2">
      <c r="A677" s="3450"/>
      <c r="B677" s="3457" t="s">
        <v>2767</v>
      </c>
      <c r="C677" s="3570"/>
      <c r="D677" s="3505"/>
      <c r="E677" s="3507"/>
      <c r="F677" s="3505"/>
      <c r="G677" s="2422"/>
      <c r="H677" s="2422"/>
      <c r="I677" s="2422"/>
      <c r="J677" s="3442">
        <f>G677+G678+G679</f>
        <v>0</v>
      </c>
      <c r="K677" s="3505">
        <f>F677-J677</f>
        <v>0</v>
      </c>
      <c r="L677" s="3625"/>
      <c r="M677" s="429"/>
      <c r="N677" s="429"/>
      <c r="O677" s="429"/>
      <c r="P677" s="429"/>
      <c r="Q677" s="429"/>
    </row>
    <row r="678" spans="1:17" ht="30" customHeight="1" x14ac:dyDescent="0.2">
      <c r="A678" s="3456"/>
      <c r="B678" s="3459"/>
      <c r="C678" s="3576"/>
      <c r="D678" s="3549"/>
      <c r="E678" s="3550"/>
      <c r="F678" s="3549"/>
      <c r="G678" s="2434"/>
      <c r="H678" s="2434"/>
      <c r="I678" s="2422"/>
      <c r="J678" s="3461"/>
      <c r="K678" s="3549"/>
      <c r="L678" s="3696"/>
      <c r="M678" s="429"/>
      <c r="N678" s="429"/>
      <c r="O678" s="429"/>
      <c r="P678" s="429"/>
      <c r="Q678" s="429"/>
    </row>
    <row r="679" spans="1:17" ht="30" customHeight="1" x14ac:dyDescent="0.2">
      <c r="A679" s="3451"/>
      <c r="B679" s="3458"/>
      <c r="C679" s="3571"/>
      <c r="D679" s="3506"/>
      <c r="E679" s="3508"/>
      <c r="F679" s="3506"/>
      <c r="G679" s="2434"/>
      <c r="H679" s="2434"/>
      <c r="I679" s="2451"/>
      <c r="J679" s="3443"/>
      <c r="K679" s="3506"/>
      <c r="L679" s="3626"/>
      <c r="M679" s="429"/>
      <c r="N679" s="429"/>
      <c r="O679" s="429"/>
      <c r="P679" s="429"/>
      <c r="Q679" s="429"/>
    </row>
    <row r="680" spans="1:17" ht="30" customHeight="1" x14ac:dyDescent="0.2">
      <c r="A680" s="3450"/>
      <c r="B680" s="3457" t="s">
        <v>2685</v>
      </c>
      <c r="C680" s="3570"/>
      <c r="D680" s="2434">
        <v>10000000</v>
      </c>
      <c r="E680" s="2463"/>
      <c r="F680" s="2434"/>
      <c r="G680" s="2434"/>
      <c r="H680" s="2434"/>
      <c r="I680" s="516"/>
      <c r="J680" s="2434"/>
      <c r="K680" s="2461"/>
      <c r="L680" s="2490" t="s">
        <v>2686</v>
      </c>
      <c r="M680" s="429"/>
      <c r="N680" s="429"/>
      <c r="O680" s="429"/>
      <c r="P680" s="429"/>
      <c r="Q680" s="429"/>
    </row>
    <row r="681" spans="1:17" ht="30" customHeight="1" x14ac:dyDescent="0.2">
      <c r="A681" s="3451"/>
      <c r="B681" s="3458"/>
      <c r="C681" s="3571"/>
      <c r="D681" s="2434">
        <v>5000000</v>
      </c>
      <c r="E681" s="2463"/>
      <c r="F681" s="2434"/>
      <c r="G681" s="2434"/>
      <c r="H681" s="2434"/>
      <c r="I681" s="516"/>
      <c r="J681" s="2434"/>
      <c r="K681" s="2461"/>
      <c r="L681" s="2477" t="s">
        <v>4008</v>
      </c>
      <c r="M681" s="429"/>
      <c r="N681" s="429"/>
      <c r="O681" s="429"/>
      <c r="P681" s="429"/>
      <c r="Q681" s="429"/>
    </row>
    <row r="682" spans="1:17" ht="30" customHeight="1" x14ac:dyDescent="0.2">
      <c r="A682" s="3178"/>
      <c r="B682" s="3179" t="s">
        <v>2707</v>
      </c>
      <c r="C682" s="3186" t="s">
        <v>1215</v>
      </c>
      <c r="D682" s="3175">
        <v>60000000</v>
      </c>
      <c r="E682" s="3176">
        <v>5.5E-2</v>
      </c>
      <c r="F682" s="3175">
        <f t="shared" ref="F682" si="79">D682*E682</f>
        <v>3300000</v>
      </c>
      <c r="G682" s="3175">
        <v>3300000</v>
      </c>
      <c r="H682" s="3174" t="s">
        <v>4591</v>
      </c>
      <c r="I682" s="3193" t="s">
        <v>4126</v>
      </c>
      <c r="J682" s="3175">
        <f>G682</f>
        <v>3300000</v>
      </c>
      <c r="K682" s="3189">
        <v>0</v>
      </c>
      <c r="L682" s="3190" t="s">
        <v>3658</v>
      </c>
      <c r="M682" s="429"/>
      <c r="N682" s="429"/>
      <c r="O682" s="429"/>
      <c r="P682" s="429"/>
      <c r="Q682" s="429"/>
    </row>
    <row r="683" spans="1:17" ht="30" customHeight="1" x14ac:dyDescent="0.2">
      <c r="A683" s="3450"/>
      <c r="B683" s="3525" t="s">
        <v>2848</v>
      </c>
      <c r="C683" s="3570" t="s">
        <v>265</v>
      </c>
      <c r="D683" s="3442">
        <v>186000000</v>
      </c>
      <c r="E683" s="3444">
        <v>5.5E-2</v>
      </c>
      <c r="F683" s="3442">
        <f>D683*E683</f>
        <v>10230000</v>
      </c>
      <c r="G683" s="3442">
        <v>10922000</v>
      </c>
      <c r="H683" s="3442" t="s">
        <v>4591</v>
      </c>
      <c r="I683" s="3703" t="s">
        <v>4126</v>
      </c>
      <c r="J683" s="3442">
        <f>G683</f>
        <v>10922000</v>
      </c>
      <c r="K683" s="3625">
        <v>0</v>
      </c>
      <c r="L683" s="2477" t="s">
        <v>4405</v>
      </c>
      <c r="M683" s="429"/>
      <c r="N683" s="429"/>
      <c r="O683" s="429"/>
      <c r="P683" s="429"/>
      <c r="Q683" s="429"/>
    </row>
    <row r="684" spans="1:17" ht="30" customHeight="1" x14ac:dyDescent="0.2">
      <c r="A684" s="3456"/>
      <c r="B684" s="3643"/>
      <c r="C684" s="3576"/>
      <c r="D684" s="3461"/>
      <c r="E684" s="3474"/>
      <c r="F684" s="3461"/>
      <c r="G684" s="3461"/>
      <c r="H684" s="3461"/>
      <c r="I684" s="3854"/>
      <c r="J684" s="3461"/>
      <c r="K684" s="3696"/>
      <c r="L684" s="2477" t="s">
        <v>4092</v>
      </c>
      <c r="M684" s="429"/>
      <c r="N684" s="429"/>
      <c r="O684" s="429"/>
      <c r="P684" s="429"/>
      <c r="Q684" s="429"/>
    </row>
    <row r="685" spans="1:17" ht="30" customHeight="1" x14ac:dyDescent="0.2">
      <c r="A685" s="3456"/>
      <c r="B685" s="3643"/>
      <c r="C685" s="3576"/>
      <c r="D685" s="3443"/>
      <c r="E685" s="3445"/>
      <c r="F685" s="3443"/>
      <c r="G685" s="3461"/>
      <c r="H685" s="3461"/>
      <c r="I685" s="3854"/>
      <c r="J685" s="3461"/>
      <c r="K685" s="3696"/>
      <c r="L685" s="2477" t="s">
        <v>4405</v>
      </c>
      <c r="M685" s="429"/>
      <c r="N685" s="429"/>
      <c r="O685" s="429"/>
      <c r="P685" s="429"/>
      <c r="Q685" s="429"/>
    </row>
    <row r="686" spans="1:17" ht="30" customHeight="1" x14ac:dyDescent="0.2">
      <c r="A686" s="3456"/>
      <c r="B686" s="3643"/>
      <c r="C686" s="3576"/>
      <c r="D686" s="2434">
        <v>10000000</v>
      </c>
      <c r="E686" s="2437">
        <v>5.5E-2</v>
      </c>
      <c r="F686" s="2434">
        <f t="shared" ref="F686:F692" si="80">D686*E686</f>
        <v>550000</v>
      </c>
      <c r="G686" s="3461"/>
      <c r="H686" s="3461"/>
      <c r="I686" s="3854"/>
      <c r="J686" s="3461"/>
      <c r="K686" s="3696"/>
      <c r="L686" s="2477" t="s">
        <v>4337</v>
      </c>
      <c r="M686" s="429"/>
      <c r="N686" s="429"/>
      <c r="O686" s="429"/>
      <c r="P686" s="429"/>
      <c r="Q686" s="429"/>
    </row>
    <row r="687" spans="1:17" ht="30" customHeight="1" x14ac:dyDescent="0.2">
      <c r="A687" s="3456"/>
      <c r="B687" s="3643"/>
      <c r="C687" s="3576"/>
      <c r="D687" s="2434">
        <v>4000000</v>
      </c>
      <c r="E687" s="2437">
        <v>5.5E-2</v>
      </c>
      <c r="F687" s="2558">
        <f t="shared" si="80"/>
        <v>220000</v>
      </c>
      <c r="G687" s="3443"/>
      <c r="H687" s="3443"/>
      <c r="I687" s="3704"/>
      <c r="J687" s="3443"/>
      <c r="K687" s="3626"/>
      <c r="L687" s="2477" t="s">
        <v>4254</v>
      </c>
      <c r="M687" s="429"/>
      <c r="N687" s="429"/>
      <c r="O687" s="429"/>
      <c r="P687" s="429"/>
      <c r="Q687" s="429"/>
    </row>
    <row r="688" spans="1:17" ht="30" customHeight="1" x14ac:dyDescent="0.2">
      <c r="A688" s="3456"/>
      <c r="B688" s="3643"/>
      <c r="C688" s="3576"/>
      <c r="D688" s="3191">
        <v>200000000</v>
      </c>
      <c r="E688" s="3192">
        <v>5.5E-2</v>
      </c>
      <c r="F688" s="3191">
        <f t="shared" si="80"/>
        <v>11000000</v>
      </c>
      <c r="G688" s="3760" t="s">
        <v>4020</v>
      </c>
      <c r="H688" s="3761"/>
      <c r="I688" s="3761"/>
      <c r="J688" s="3762"/>
      <c r="K688" s="2836"/>
      <c r="L688" s="2477" t="s">
        <v>2819</v>
      </c>
      <c r="M688" s="429"/>
      <c r="N688" s="429"/>
      <c r="O688" s="429"/>
      <c r="P688" s="429"/>
      <c r="Q688" s="429"/>
    </row>
    <row r="689" spans="1:17" ht="30" customHeight="1" x14ac:dyDescent="0.2">
      <c r="A689" s="3456"/>
      <c r="B689" s="3643"/>
      <c r="C689" s="3576"/>
      <c r="D689" s="2970">
        <v>19000000</v>
      </c>
      <c r="E689" s="2969">
        <v>5.5E-2</v>
      </c>
      <c r="F689" s="2970">
        <f t="shared" si="80"/>
        <v>1045000</v>
      </c>
      <c r="G689" s="3478" t="s">
        <v>4718</v>
      </c>
      <c r="H689" s="3479"/>
      <c r="I689" s="3479"/>
      <c r="J689" s="3480"/>
      <c r="K689" s="2836"/>
      <c r="L689" s="2978"/>
      <c r="M689" s="429"/>
      <c r="N689" s="429"/>
      <c r="O689" s="429"/>
      <c r="P689" s="429"/>
      <c r="Q689" s="429"/>
    </row>
    <row r="690" spans="1:17" ht="30" customHeight="1" x14ac:dyDescent="0.2">
      <c r="A690" s="3456"/>
      <c r="B690" s="3643"/>
      <c r="C690" s="3576"/>
      <c r="D690" s="3120">
        <v>9000000</v>
      </c>
      <c r="E690" s="3121">
        <v>5.5E-2</v>
      </c>
      <c r="F690" s="3120">
        <f t="shared" si="80"/>
        <v>495000</v>
      </c>
      <c r="G690" s="3478" t="s">
        <v>4814</v>
      </c>
      <c r="H690" s="3479"/>
      <c r="I690" s="3479"/>
      <c r="J690" s="3480"/>
      <c r="K690" s="2836"/>
      <c r="L690" s="3134"/>
      <c r="M690" s="429"/>
      <c r="N690" s="429"/>
      <c r="O690" s="429"/>
      <c r="P690" s="429"/>
      <c r="Q690" s="429"/>
    </row>
    <row r="691" spans="1:17" ht="30" customHeight="1" x14ac:dyDescent="0.2">
      <c r="A691" s="3456"/>
      <c r="B691" s="3643"/>
      <c r="C691" s="3576"/>
      <c r="D691" s="3175">
        <v>2000000</v>
      </c>
      <c r="E691" s="3176">
        <v>5.5E-2</v>
      </c>
      <c r="F691" s="3175">
        <f t="shared" si="80"/>
        <v>110000</v>
      </c>
      <c r="G691" s="3478" t="s">
        <v>4860</v>
      </c>
      <c r="H691" s="3479"/>
      <c r="I691" s="3479"/>
      <c r="J691" s="3480"/>
      <c r="K691" s="2836"/>
      <c r="L691" s="3187"/>
      <c r="M691" s="429"/>
      <c r="N691" s="429"/>
      <c r="O691" s="429"/>
      <c r="P691" s="429"/>
      <c r="Q691" s="429"/>
    </row>
    <row r="692" spans="1:17" ht="30" customHeight="1" x14ac:dyDescent="0.2">
      <c r="A692" s="3456"/>
      <c r="B692" s="3643"/>
      <c r="C692" s="3576"/>
      <c r="D692" s="311">
        <f>D688+D689+D690+D691</f>
        <v>230000000</v>
      </c>
      <c r="E692" s="3223">
        <v>5.5E-2</v>
      </c>
      <c r="F692" s="311">
        <f t="shared" si="80"/>
        <v>12650000</v>
      </c>
      <c r="G692" s="3988" t="s">
        <v>3352</v>
      </c>
      <c r="H692" s="3989"/>
      <c r="I692" s="3989"/>
      <c r="J692" s="3990"/>
      <c r="K692" s="2836"/>
      <c r="L692" s="2978"/>
      <c r="M692" s="429"/>
      <c r="N692" s="429"/>
      <c r="O692" s="429"/>
      <c r="P692" s="429"/>
      <c r="Q692" s="429"/>
    </row>
    <row r="693" spans="1:17" ht="30" customHeight="1" x14ac:dyDescent="0.2">
      <c r="A693" s="3451"/>
      <c r="B693" s="3526"/>
      <c r="C693" s="3571"/>
      <c r="D693" s="3175"/>
      <c r="E693" s="3176"/>
      <c r="F693" s="3175"/>
      <c r="G693" s="3182"/>
      <c r="H693" s="3183"/>
      <c r="I693" s="3183"/>
      <c r="J693" s="3184"/>
      <c r="K693" s="2836"/>
      <c r="L693" s="3134"/>
      <c r="M693" s="429"/>
      <c r="N693" s="429"/>
      <c r="O693" s="429"/>
      <c r="P693" s="429"/>
      <c r="Q693" s="429"/>
    </row>
    <row r="694" spans="1:17" ht="30" customHeight="1" x14ac:dyDescent="0.2">
      <c r="A694" s="2425"/>
      <c r="B694" s="2428" t="s">
        <v>2743</v>
      </c>
      <c r="C694" s="2445"/>
      <c r="D694" s="2440"/>
      <c r="E694" s="44"/>
      <c r="F694" s="2440"/>
      <c r="G694" s="2434">
        <v>300000</v>
      </c>
      <c r="H694" s="2434" t="s">
        <v>4604</v>
      </c>
      <c r="I694" s="516" t="s">
        <v>4615</v>
      </c>
      <c r="J694" s="2434">
        <f>G694</f>
        <v>300000</v>
      </c>
      <c r="K694" s="2462">
        <f>F694-J694</f>
        <v>-300000</v>
      </c>
      <c r="L694" s="2490"/>
      <c r="M694" s="429"/>
      <c r="N694" s="429"/>
      <c r="O694" s="429"/>
      <c r="P694" s="429"/>
      <c r="Q694" s="429"/>
    </row>
    <row r="695" spans="1:17" ht="30" customHeight="1" x14ac:dyDescent="0.2">
      <c r="A695" s="3450"/>
      <c r="B695" s="3457" t="s">
        <v>2745</v>
      </c>
      <c r="C695" s="3570" t="s">
        <v>916</v>
      </c>
      <c r="D695" s="2422">
        <v>4215000000</v>
      </c>
      <c r="E695" s="2463">
        <v>0.05</v>
      </c>
      <c r="F695" s="2422">
        <f>D695*E695</f>
        <v>210750000</v>
      </c>
      <c r="G695" s="2552">
        <v>10000000</v>
      </c>
      <c r="H695" s="2552" t="s">
        <v>4447</v>
      </c>
      <c r="I695" s="1082" t="s">
        <v>4032</v>
      </c>
      <c r="J695" s="2552">
        <f>G695</f>
        <v>10000000</v>
      </c>
      <c r="K695" s="2549">
        <v>0</v>
      </c>
      <c r="L695" s="2595" t="s">
        <v>4456</v>
      </c>
      <c r="M695" s="429"/>
      <c r="N695" s="429"/>
      <c r="O695" s="429"/>
      <c r="P695" s="429"/>
      <c r="Q695" s="429"/>
    </row>
    <row r="696" spans="1:17" ht="30" customHeight="1" x14ac:dyDescent="0.2">
      <c r="A696" s="3456"/>
      <c r="B696" s="3459"/>
      <c r="C696" s="3576"/>
      <c r="D696" s="2422">
        <v>2000000000</v>
      </c>
      <c r="E696" s="2463">
        <v>7.0000000000000007E-2</v>
      </c>
      <c r="F696" s="2422">
        <f t="shared" ref="F696:F699" si="81">D696*E696</f>
        <v>140000000</v>
      </c>
      <c r="G696" s="2558">
        <v>100000000</v>
      </c>
      <c r="H696" s="2558" t="s">
        <v>4942</v>
      </c>
      <c r="I696" s="516" t="s">
        <v>4947</v>
      </c>
      <c r="J696" s="3461"/>
      <c r="K696" s="3696"/>
      <c r="L696" s="951"/>
      <c r="M696" s="429"/>
      <c r="N696" s="429"/>
      <c r="O696" s="429"/>
      <c r="P696" s="429"/>
      <c r="Q696" s="429"/>
    </row>
    <row r="697" spans="1:17" ht="30" customHeight="1" x14ac:dyDescent="0.2">
      <c r="A697" s="3456"/>
      <c r="B697" s="3459"/>
      <c r="C697" s="3576"/>
      <c r="D697" s="2422">
        <v>3785000000</v>
      </c>
      <c r="E697" s="2463">
        <v>0.06</v>
      </c>
      <c r="F697" s="2422">
        <f t="shared" si="81"/>
        <v>227100000</v>
      </c>
      <c r="G697" s="2558">
        <v>100000000</v>
      </c>
      <c r="H697" s="2558" t="s">
        <v>4821</v>
      </c>
      <c r="I697" s="516" t="s">
        <v>4947</v>
      </c>
      <c r="J697" s="3461"/>
      <c r="K697" s="3696"/>
      <c r="L697" s="2478"/>
      <c r="M697" s="429"/>
      <c r="N697" s="429"/>
      <c r="O697" s="429"/>
      <c r="P697" s="429"/>
      <c r="Q697" s="429"/>
    </row>
    <row r="698" spans="1:17" ht="30" customHeight="1" x14ac:dyDescent="0.2">
      <c r="A698" s="3456"/>
      <c r="B698" s="3459"/>
      <c r="C698" s="3576"/>
      <c r="D698" s="2422">
        <v>2915000000</v>
      </c>
      <c r="E698" s="2463">
        <v>0.08</v>
      </c>
      <c r="F698" s="2422">
        <f t="shared" si="81"/>
        <v>233200000</v>
      </c>
      <c r="G698" s="2552">
        <v>50000000</v>
      </c>
      <c r="H698" s="2552" t="s">
        <v>4950</v>
      </c>
      <c r="I698" s="2552" t="s">
        <v>4032</v>
      </c>
      <c r="J698" s="3461"/>
      <c r="K698" s="3696"/>
      <c r="L698" s="2478"/>
      <c r="M698" s="429"/>
      <c r="N698" s="429"/>
      <c r="O698" s="429"/>
      <c r="P698" s="429"/>
      <c r="Q698" s="429"/>
    </row>
    <row r="699" spans="1:17" ht="30" customHeight="1" x14ac:dyDescent="0.2">
      <c r="A699" s="3456"/>
      <c r="B699" s="3459"/>
      <c r="C699" s="3576"/>
      <c r="D699" s="2422">
        <v>690000000</v>
      </c>
      <c r="E699" s="2463">
        <v>0.08</v>
      </c>
      <c r="F699" s="2422">
        <f t="shared" si="81"/>
        <v>55200000</v>
      </c>
      <c r="G699" s="2552"/>
      <c r="H699" s="2552"/>
      <c r="I699" s="2552"/>
      <c r="J699" s="3461"/>
      <c r="K699" s="3696"/>
      <c r="L699" s="2478"/>
      <c r="M699" s="429"/>
      <c r="N699" s="429"/>
      <c r="O699" s="429"/>
      <c r="P699" s="429"/>
      <c r="Q699" s="429"/>
    </row>
    <row r="700" spans="1:17" ht="30" customHeight="1" x14ac:dyDescent="0.2">
      <c r="A700" s="3456"/>
      <c r="B700" s="3459"/>
      <c r="C700" s="3576"/>
      <c r="D700" s="1913">
        <f>SUM(D695:D699)</f>
        <v>13605000000</v>
      </c>
      <c r="E700" s="1926"/>
      <c r="F700" s="1913">
        <f>SUM(F695:F699)</f>
        <v>866250000</v>
      </c>
      <c r="G700" s="2552"/>
      <c r="H700" s="2552"/>
      <c r="I700" s="2552"/>
      <c r="J700" s="3443"/>
      <c r="K700" s="3626"/>
      <c r="L700" s="2461"/>
      <c r="M700" s="429"/>
      <c r="N700" s="429"/>
      <c r="O700" s="429"/>
      <c r="P700" s="429"/>
      <c r="Q700" s="429"/>
    </row>
    <row r="701" spans="1:17" ht="30" customHeight="1" x14ac:dyDescent="0.2">
      <c r="A701" s="3451"/>
      <c r="B701" s="3458"/>
      <c r="C701" s="3571"/>
      <c r="D701" s="948">
        <v>935000000</v>
      </c>
      <c r="E701" s="2463">
        <v>0.08</v>
      </c>
      <c r="F701" s="948">
        <f>D701*E701</f>
        <v>74800000</v>
      </c>
      <c r="G701" s="3478" t="s">
        <v>4400</v>
      </c>
      <c r="H701" s="3479"/>
      <c r="I701" s="3480"/>
      <c r="J701" s="2434"/>
      <c r="K701" s="2461"/>
      <c r="L701" s="2461"/>
      <c r="M701" s="429"/>
      <c r="N701" s="429"/>
      <c r="O701" s="429"/>
      <c r="P701" s="429"/>
      <c r="Q701" s="429"/>
    </row>
    <row r="702" spans="1:17" ht="30" customHeight="1" x14ac:dyDescent="0.2">
      <c r="A702" s="3450"/>
      <c r="B702" s="3457" t="s">
        <v>2756</v>
      </c>
      <c r="C702" s="3570"/>
      <c r="D702" s="3442">
        <v>160000000</v>
      </c>
      <c r="E702" s="3444">
        <v>0.05</v>
      </c>
      <c r="F702" s="3442">
        <f>D702*E702</f>
        <v>8000000</v>
      </c>
      <c r="G702" s="3442">
        <v>7200000</v>
      </c>
      <c r="H702" s="3442" t="s">
        <v>4512</v>
      </c>
      <c r="I702" s="3703" t="s">
        <v>4515</v>
      </c>
      <c r="J702" s="3442">
        <f>G702+G704</f>
        <v>8000000</v>
      </c>
      <c r="K702" s="3625">
        <f>F702-J702</f>
        <v>0</v>
      </c>
      <c r="L702" s="2490"/>
      <c r="M702" s="429"/>
      <c r="N702" s="429"/>
      <c r="O702" s="429"/>
      <c r="P702" s="429"/>
      <c r="Q702" s="429"/>
    </row>
    <row r="703" spans="1:17" ht="30" customHeight="1" x14ac:dyDescent="0.2">
      <c r="A703" s="3456"/>
      <c r="B703" s="3459"/>
      <c r="C703" s="3576"/>
      <c r="D703" s="3461"/>
      <c r="E703" s="3474"/>
      <c r="F703" s="3461"/>
      <c r="G703" s="3443"/>
      <c r="H703" s="3443"/>
      <c r="I703" s="3704"/>
      <c r="J703" s="3461"/>
      <c r="K703" s="3696"/>
      <c r="L703" s="2490" t="s">
        <v>4144</v>
      </c>
      <c r="M703" s="429"/>
      <c r="N703" s="429"/>
      <c r="O703" s="429"/>
      <c r="P703" s="429"/>
      <c r="Q703" s="429"/>
    </row>
    <row r="704" spans="1:17" ht="30" customHeight="1" x14ac:dyDescent="0.2">
      <c r="A704" s="3451"/>
      <c r="B704" s="3458"/>
      <c r="C704" s="3571"/>
      <c r="D704" s="3443"/>
      <c r="E704" s="3445"/>
      <c r="F704" s="3443"/>
      <c r="G704" s="2786">
        <v>800000</v>
      </c>
      <c r="H704" s="2786" t="s">
        <v>4554</v>
      </c>
      <c r="I704" s="2786" t="s">
        <v>1827</v>
      </c>
      <c r="J704" s="3443"/>
      <c r="K704" s="3626"/>
      <c r="L704" s="2490" t="s">
        <v>4359</v>
      </c>
      <c r="M704" s="429"/>
      <c r="N704" s="429"/>
      <c r="O704" s="429"/>
      <c r="P704" s="429"/>
      <c r="Q704" s="429"/>
    </row>
    <row r="705" spans="1:17" ht="30" customHeight="1" x14ac:dyDescent="0.2">
      <c r="A705" s="2465"/>
      <c r="B705" s="2466" t="s">
        <v>2773</v>
      </c>
      <c r="C705" s="2445" t="s">
        <v>1215</v>
      </c>
      <c r="D705" s="2434">
        <v>80000000</v>
      </c>
      <c r="E705" s="2463">
        <v>0.05</v>
      </c>
      <c r="F705" s="2434">
        <f>D705*E705</f>
        <v>4000000</v>
      </c>
      <c r="G705" s="2434">
        <v>4000000</v>
      </c>
      <c r="H705" s="2434" t="s">
        <v>1236</v>
      </c>
      <c r="I705" s="516" t="s">
        <v>4160</v>
      </c>
      <c r="J705" s="2434">
        <f t="shared" ref="J705:J722" si="82">G705</f>
        <v>4000000</v>
      </c>
      <c r="K705" s="2461">
        <f t="shared" ref="K705:K723" si="83">F705-J705</f>
        <v>0</v>
      </c>
      <c r="L705" s="2490" t="s">
        <v>3826</v>
      </c>
      <c r="M705" s="429"/>
      <c r="N705" s="429"/>
      <c r="O705" s="429"/>
      <c r="P705" s="429"/>
      <c r="Q705" s="429"/>
    </row>
    <row r="706" spans="1:17" ht="30" customHeight="1" x14ac:dyDescent="0.2">
      <c r="A706" s="2465"/>
      <c r="B706" s="2466" t="s">
        <v>4161</v>
      </c>
      <c r="C706" s="2445" t="s">
        <v>1215</v>
      </c>
      <c r="D706" s="2434">
        <v>100000000</v>
      </c>
      <c r="E706" s="2463">
        <v>0.05</v>
      </c>
      <c r="F706" s="2434">
        <f>D706*E706</f>
        <v>5000000</v>
      </c>
      <c r="G706" s="2434">
        <v>5000000</v>
      </c>
      <c r="H706" s="2434" t="s">
        <v>1236</v>
      </c>
      <c r="I706" s="516" t="s">
        <v>4204</v>
      </c>
      <c r="J706" s="2434">
        <f>G706</f>
        <v>5000000</v>
      </c>
      <c r="K706" s="2461">
        <f>F706-J706</f>
        <v>0</v>
      </c>
      <c r="L706" s="2490"/>
      <c r="M706" s="429"/>
      <c r="N706" s="429"/>
      <c r="O706" s="429"/>
      <c r="P706" s="429"/>
      <c r="Q706" s="429"/>
    </row>
    <row r="707" spans="1:17" ht="30" customHeight="1" x14ac:dyDescent="0.2">
      <c r="A707" s="2465"/>
      <c r="B707" s="2466" t="s">
        <v>4137</v>
      </c>
      <c r="C707" s="2467" t="s">
        <v>1746</v>
      </c>
      <c r="D707" s="2422">
        <v>25000000</v>
      </c>
      <c r="E707" s="2463">
        <v>0.04</v>
      </c>
      <c r="F707" s="2422">
        <f>D707*E707</f>
        <v>1000000</v>
      </c>
      <c r="G707" s="2422"/>
      <c r="H707" s="2422"/>
      <c r="I707" s="1082" t="s">
        <v>4138</v>
      </c>
      <c r="J707" s="2422">
        <f t="shared" si="82"/>
        <v>0</v>
      </c>
      <c r="K707" s="2420">
        <f t="shared" si="83"/>
        <v>1000000</v>
      </c>
      <c r="L707" s="2490"/>
      <c r="M707" s="429"/>
      <c r="N707" s="429"/>
      <c r="O707" s="429"/>
      <c r="P707" s="429"/>
      <c r="Q707" s="429"/>
    </row>
    <row r="708" spans="1:17" ht="30" customHeight="1" x14ac:dyDescent="0.2">
      <c r="A708" s="3450"/>
      <c r="B708" s="3448" t="s">
        <v>2826</v>
      </c>
      <c r="C708" s="3570" t="s">
        <v>379</v>
      </c>
      <c r="D708" s="3016">
        <v>200000000</v>
      </c>
      <c r="E708" s="3033">
        <v>7.0000000000000007E-2</v>
      </c>
      <c r="F708" s="1914">
        <f>D708*E708</f>
        <v>14000000.000000002</v>
      </c>
      <c r="G708" s="3906"/>
      <c r="H708" s="3907"/>
      <c r="I708" s="3907"/>
      <c r="J708" s="3908"/>
      <c r="K708" s="3329"/>
      <c r="L708" s="2490"/>
      <c r="M708" s="429"/>
      <c r="N708" s="429"/>
      <c r="O708" s="429"/>
      <c r="P708" s="429"/>
      <c r="Q708" s="429"/>
    </row>
    <row r="709" spans="1:17" ht="30" customHeight="1" x14ac:dyDescent="0.2">
      <c r="A709" s="3456"/>
      <c r="B709" s="3476"/>
      <c r="C709" s="3576"/>
      <c r="D709" s="3203">
        <v>14000000</v>
      </c>
      <c r="E709" s="3212">
        <v>7.0000000000000007E-2</v>
      </c>
      <c r="F709" s="1914">
        <f t="shared" ref="F709:F713" si="84">D709*E709</f>
        <v>980000.00000000012</v>
      </c>
      <c r="G709" s="3906" t="s">
        <v>4432</v>
      </c>
      <c r="H709" s="3907"/>
      <c r="I709" s="3907"/>
      <c r="J709" s="3908"/>
      <c r="K709" s="3329"/>
      <c r="L709" s="3218"/>
      <c r="M709" s="429"/>
      <c r="N709" s="429"/>
      <c r="O709" s="429"/>
      <c r="P709" s="429"/>
      <c r="Q709" s="429"/>
    </row>
    <row r="710" spans="1:17" ht="30" customHeight="1" x14ac:dyDescent="0.2">
      <c r="A710" s="3456"/>
      <c r="B710" s="3476"/>
      <c r="C710" s="3576"/>
      <c r="D710" s="3203">
        <v>100000000</v>
      </c>
      <c r="E710" s="3212">
        <v>7.0000000000000007E-2</v>
      </c>
      <c r="F710" s="3200">
        <f t="shared" si="84"/>
        <v>7000000.0000000009</v>
      </c>
      <c r="G710" s="3906" t="s">
        <v>4875</v>
      </c>
      <c r="H710" s="3907"/>
      <c r="I710" s="3907"/>
      <c r="J710" s="3908"/>
      <c r="K710" s="3329"/>
      <c r="L710" s="3225" t="s">
        <v>4877</v>
      </c>
      <c r="M710" s="429"/>
      <c r="N710" s="429"/>
      <c r="O710" s="429"/>
      <c r="P710" s="429"/>
      <c r="Q710" s="429"/>
    </row>
    <row r="711" spans="1:17" ht="30" customHeight="1" x14ac:dyDescent="0.2">
      <c r="A711" s="3456"/>
      <c r="B711" s="3476"/>
      <c r="C711" s="3576"/>
      <c r="D711" s="3203">
        <v>145000000</v>
      </c>
      <c r="E711" s="3212">
        <v>7.0000000000000007E-2</v>
      </c>
      <c r="F711" s="3200">
        <f t="shared" si="84"/>
        <v>10150000.000000002</v>
      </c>
      <c r="G711" s="3906" t="s">
        <v>4962</v>
      </c>
      <c r="H711" s="3907"/>
      <c r="I711" s="3907"/>
      <c r="J711" s="3908"/>
      <c r="K711" s="3329"/>
      <c r="L711" s="1167"/>
      <c r="M711" s="429"/>
      <c r="N711" s="429"/>
      <c r="O711" s="429"/>
      <c r="P711" s="429"/>
      <c r="Q711" s="429"/>
    </row>
    <row r="712" spans="1:17" ht="30" customHeight="1" x14ac:dyDescent="0.2">
      <c r="A712" s="3456"/>
      <c r="B712" s="3476"/>
      <c r="C712" s="3576"/>
      <c r="D712" s="3203">
        <v>6000000</v>
      </c>
      <c r="E712" s="3212">
        <v>7.0000000000000007E-2</v>
      </c>
      <c r="F712" s="3200">
        <f t="shared" si="84"/>
        <v>420000.00000000006</v>
      </c>
      <c r="G712" s="3906" t="s">
        <v>4879</v>
      </c>
      <c r="H712" s="3907"/>
      <c r="I712" s="3907"/>
      <c r="J712" s="3908"/>
      <c r="K712" s="3329"/>
      <c r="L712" s="3225" t="s">
        <v>4880</v>
      </c>
      <c r="M712" s="429"/>
      <c r="N712" s="429"/>
      <c r="O712" s="429"/>
      <c r="P712" s="429"/>
      <c r="Q712" s="429"/>
    </row>
    <row r="713" spans="1:17" ht="30" customHeight="1" x14ac:dyDescent="0.2">
      <c r="A713" s="3456"/>
      <c r="B713" s="3476"/>
      <c r="C713" s="3576"/>
      <c r="D713" s="3203">
        <v>35000000</v>
      </c>
      <c r="E713" s="3212">
        <v>7.0000000000000007E-2</v>
      </c>
      <c r="F713" s="3200">
        <f t="shared" si="84"/>
        <v>2450000.0000000005</v>
      </c>
      <c r="G713" s="3906" t="s">
        <v>4963</v>
      </c>
      <c r="H713" s="3907"/>
      <c r="I713" s="3907"/>
      <c r="J713" s="3908"/>
      <c r="K713" s="3329"/>
      <c r="L713" s="1167"/>
      <c r="M713" s="429"/>
      <c r="N713" s="429"/>
      <c r="O713" s="429"/>
      <c r="P713" s="429"/>
      <c r="Q713" s="429"/>
    </row>
    <row r="714" spans="1:17" ht="30" customHeight="1" x14ac:dyDescent="0.2">
      <c r="A714" s="3456"/>
      <c r="B714" s="3476"/>
      <c r="C714" s="3576"/>
      <c r="D714" s="3203">
        <v>500000000</v>
      </c>
      <c r="E714" s="3205">
        <v>7.0000000000000007E-2</v>
      </c>
      <c r="F714" s="3220"/>
      <c r="G714" s="3991" t="s">
        <v>4876</v>
      </c>
      <c r="H714" s="3992"/>
      <c r="I714" s="3992"/>
      <c r="J714" s="3993"/>
      <c r="K714" s="3329"/>
      <c r="L714" s="3218"/>
      <c r="M714" s="429"/>
      <c r="N714" s="429"/>
      <c r="O714" s="429"/>
      <c r="P714" s="429"/>
      <c r="Q714" s="429"/>
    </row>
    <row r="715" spans="1:17" ht="30" customHeight="1" x14ac:dyDescent="0.2">
      <c r="A715" s="3456"/>
      <c r="B715" s="3476"/>
      <c r="C715" s="3576"/>
      <c r="D715" s="3221">
        <v>500000000</v>
      </c>
      <c r="E715" s="3222">
        <v>7.0000000000000007E-2</v>
      </c>
      <c r="F715" s="3221">
        <f>D715*E715</f>
        <v>35000000</v>
      </c>
      <c r="G715" s="3982" t="s">
        <v>4878</v>
      </c>
      <c r="H715" s="3983"/>
      <c r="I715" s="3983"/>
      <c r="J715" s="3984"/>
      <c r="K715" s="3329"/>
      <c r="L715" s="430"/>
      <c r="M715" s="429"/>
      <c r="N715" s="429"/>
      <c r="O715" s="429"/>
      <c r="P715" s="429"/>
      <c r="Q715" s="429"/>
    </row>
    <row r="716" spans="1:17" ht="30" customHeight="1" x14ac:dyDescent="0.2">
      <c r="A716" s="3450"/>
      <c r="B716" s="3448" t="s">
        <v>4861</v>
      </c>
      <c r="C716" s="3570" t="s">
        <v>379</v>
      </c>
      <c r="D716" s="3442">
        <v>400000000</v>
      </c>
      <c r="E716" s="3444">
        <v>7.0000000000000007E-2</v>
      </c>
      <c r="F716" s="3442">
        <f>D716*E716</f>
        <v>28000000.000000004</v>
      </c>
      <c r="G716" s="3944" t="s">
        <v>4864</v>
      </c>
      <c r="H716" s="3945"/>
      <c r="I716" s="3945"/>
      <c r="J716" s="3946"/>
      <c r="K716" s="3189"/>
      <c r="L716" s="3188" t="s">
        <v>4862</v>
      </c>
      <c r="M716" s="429"/>
      <c r="N716" s="429"/>
      <c r="O716" s="429"/>
      <c r="P716" s="429"/>
      <c r="Q716" s="429"/>
    </row>
    <row r="717" spans="1:17" ht="30" customHeight="1" x14ac:dyDescent="0.2">
      <c r="A717" s="3451"/>
      <c r="B717" s="3449"/>
      <c r="C717" s="3571"/>
      <c r="D717" s="3443"/>
      <c r="E717" s="3445"/>
      <c r="F717" s="3443"/>
      <c r="G717" s="3906" t="s">
        <v>4865</v>
      </c>
      <c r="H717" s="3907"/>
      <c r="I717" s="3907"/>
      <c r="J717" s="3908"/>
      <c r="K717" s="3189"/>
      <c r="L717" s="3188" t="s">
        <v>4863</v>
      </c>
      <c r="M717" s="429"/>
      <c r="N717" s="429"/>
      <c r="O717" s="429"/>
      <c r="P717" s="429"/>
      <c r="Q717" s="429"/>
    </row>
    <row r="718" spans="1:17" ht="30" customHeight="1" x14ac:dyDescent="0.2">
      <c r="A718" s="2465"/>
      <c r="B718" s="2466" t="s">
        <v>2836</v>
      </c>
      <c r="C718" s="2445" t="s">
        <v>265</v>
      </c>
      <c r="D718" s="2434">
        <v>30000000</v>
      </c>
      <c r="E718" s="2463">
        <v>0.05</v>
      </c>
      <c r="F718" s="2434">
        <f t="shared" ref="F718:F723" si="85">D718*E718</f>
        <v>1500000</v>
      </c>
      <c r="G718" s="2422">
        <v>1500000</v>
      </c>
      <c r="H718" s="2422" t="s">
        <v>4554</v>
      </c>
      <c r="I718" s="2422" t="s">
        <v>3673</v>
      </c>
      <c r="J718" s="2422">
        <f t="shared" si="82"/>
        <v>1500000</v>
      </c>
      <c r="K718" s="2461">
        <f t="shared" si="83"/>
        <v>0</v>
      </c>
      <c r="L718" s="2490"/>
      <c r="M718" s="429"/>
      <c r="N718" s="429"/>
      <c r="O718" s="429"/>
      <c r="P718" s="429"/>
      <c r="Q718" s="429"/>
    </row>
    <row r="719" spans="1:17" ht="30" customHeight="1" x14ac:dyDescent="0.2">
      <c r="A719" s="2465"/>
      <c r="B719" s="2466" t="s">
        <v>2861</v>
      </c>
      <c r="C719" s="2445" t="s">
        <v>401</v>
      </c>
      <c r="D719" s="2434">
        <v>140000000</v>
      </c>
      <c r="E719" s="2463">
        <v>7.0000000000000007E-2</v>
      </c>
      <c r="F719" s="2434">
        <f t="shared" si="85"/>
        <v>9800000.0000000019</v>
      </c>
      <c r="G719" s="2422">
        <v>9800000</v>
      </c>
      <c r="H719" s="2422" t="s">
        <v>1236</v>
      </c>
      <c r="I719" s="2422" t="s">
        <v>4531</v>
      </c>
      <c r="J719" s="2422">
        <f t="shared" si="82"/>
        <v>9800000</v>
      </c>
      <c r="K719" s="2461">
        <f t="shared" si="83"/>
        <v>0</v>
      </c>
      <c r="L719" s="2490" t="s">
        <v>3528</v>
      </c>
      <c r="M719" s="429"/>
      <c r="N719" s="429"/>
      <c r="O719" s="429"/>
      <c r="P719" s="429"/>
      <c r="Q719" s="429"/>
    </row>
    <row r="720" spans="1:17" ht="30" customHeight="1" x14ac:dyDescent="0.2">
      <c r="A720" s="2465"/>
      <c r="B720" s="2466" t="s">
        <v>2869</v>
      </c>
      <c r="C720" s="2445" t="s">
        <v>916</v>
      </c>
      <c r="D720" s="2434">
        <v>85000000</v>
      </c>
      <c r="E720" s="2463">
        <v>0.05</v>
      </c>
      <c r="F720" s="2434">
        <f t="shared" si="85"/>
        <v>4250000</v>
      </c>
      <c r="G720" s="2422">
        <v>4250000</v>
      </c>
      <c r="H720" s="2422" t="s">
        <v>4480</v>
      </c>
      <c r="I720" s="1082" t="s">
        <v>3665</v>
      </c>
      <c r="J720" s="2422">
        <f t="shared" si="82"/>
        <v>4250000</v>
      </c>
      <c r="K720" s="2461">
        <f t="shared" si="83"/>
        <v>0</v>
      </c>
      <c r="L720" s="2490"/>
      <c r="M720" s="429"/>
      <c r="N720" s="429"/>
      <c r="O720" s="429"/>
      <c r="P720" s="429"/>
      <c r="Q720" s="429"/>
    </row>
    <row r="721" spans="1:17" ht="30" customHeight="1" x14ac:dyDescent="0.2">
      <c r="A721" s="2465"/>
      <c r="B721" s="2466" t="s">
        <v>3671</v>
      </c>
      <c r="C721" s="2445" t="s">
        <v>380</v>
      </c>
      <c r="D721" s="2434">
        <v>50000000</v>
      </c>
      <c r="E721" s="2463">
        <v>0.05</v>
      </c>
      <c r="F721" s="2434">
        <f t="shared" si="85"/>
        <v>2500000</v>
      </c>
      <c r="G721" s="2422">
        <v>2500000</v>
      </c>
      <c r="H721" s="2422" t="s">
        <v>4604</v>
      </c>
      <c r="I721" s="2422" t="s">
        <v>4233</v>
      </c>
      <c r="J721" s="2422">
        <f t="shared" si="82"/>
        <v>2500000</v>
      </c>
      <c r="K721" s="2461">
        <f t="shared" si="83"/>
        <v>0</v>
      </c>
      <c r="L721" s="2490"/>
      <c r="M721" s="429"/>
      <c r="N721" s="429"/>
      <c r="O721" s="429"/>
      <c r="P721" s="429"/>
      <c r="Q721" s="429"/>
    </row>
    <row r="722" spans="1:17" ht="30" customHeight="1" x14ac:dyDescent="0.2">
      <c r="A722" s="2465"/>
      <c r="B722" s="2466" t="s">
        <v>2872</v>
      </c>
      <c r="C722" s="2445" t="s">
        <v>380</v>
      </c>
      <c r="D722" s="2434">
        <v>25000000</v>
      </c>
      <c r="E722" s="2463">
        <v>0.05</v>
      </c>
      <c r="F722" s="2434">
        <f t="shared" si="85"/>
        <v>1250000</v>
      </c>
      <c r="G722" s="2422">
        <v>1250000</v>
      </c>
      <c r="H722" s="2422" t="s">
        <v>4579</v>
      </c>
      <c r="I722" s="2422" t="s">
        <v>4157</v>
      </c>
      <c r="J722" s="2422">
        <f t="shared" si="82"/>
        <v>1250000</v>
      </c>
      <c r="K722" s="2461">
        <f t="shared" si="83"/>
        <v>0</v>
      </c>
      <c r="L722" s="2490"/>
      <c r="M722" s="429"/>
      <c r="N722" s="429"/>
      <c r="O722" s="429"/>
      <c r="P722" s="429"/>
      <c r="Q722" s="429"/>
    </row>
    <row r="723" spans="1:17" ht="30" customHeight="1" x14ac:dyDescent="0.2">
      <c r="A723" s="3450"/>
      <c r="B723" s="3457" t="s">
        <v>2901</v>
      </c>
      <c r="C723" s="3570"/>
      <c r="D723" s="3442">
        <v>300000000</v>
      </c>
      <c r="E723" s="3444">
        <v>5.5E-2</v>
      </c>
      <c r="F723" s="3442">
        <f t="shared" si="85"/>
        <v>16500000</v>
      </c>
      <c r="G723" s="3442">
        <v>16500000</v>
      </c>
      <c r="H723" s="3442" t="s">
        <v>4536</v>
      </c>
      <c r="I723" s="3442" t="s">
        <v>3613</v>
      </c>
      <c r="J723" s="3442">
        <f>G723+G724</f>
        <v>16500000</v>
      </c>
      <c r="K723" s="3625">
        <f t="shared" si="83"/>
        <v>0</v>
      </c>
      <c r="L723" s="3620" t="s">
        <v>2902</v>
      </c>
      <c r="M723" s="429"/>
      <c r="N723" s="429"/>
      <c r="O723" s="429"/>
      <c r="P723" s="429"/>
      <c r="Q723" s="429"/>
    </row>
    <row r="724" spans="1:17" ht="30" customHeight="1" x14ac:dyDescent="0.2">
      <c r="A724" s="3451"/>
      <c r="B724" s="3458"/>
      <c r="C724" s="3571"/>
      <c r="D724" s="3443"/>
      <c r="E724" s="3445"/>
      <c r="F724" s="3443"/>
      <c r="G724" s="3443"/>
      <c r="H724" s="3443"/>
      <c r="I724" s="3443"/>
      <c r="J724" s="3443"/>
      <c r="K724" s="3626"/>
      <c r="L724" s="3621"/>
      <c r="M724" s="429"/>
      <c r="N724" s="429"/>
      <c r="O724" s="429"/>
      <c r="P724" s="429"/>
      <c r="Q724" s="429"/>
    </row>
    <row r="725" spans="1:17" ht="30" customHeight="1" x14ac:dyDescent="0.2">
      <c r="A725" s="2465"/>
      <c r="B725" s="2466" t="s">
        <v>2933</v>
      </c>
      <c r="C725" s="2445"/>
      <c r="D725" s="2434">
        <v>85000000</v>
      </c>
      <c r="E725" s="2463"/>
      <c r="F725" s="2434"/>
      <c r="G725" s="2422"/>
      <c r="H725" s="2422"/>
      <c r="I725" s="2422"/>
      <c r="J725" s="2422"/>
      <c r="K725" s="2461"/>
      <c r="L725" s="2490" t="s">
        <v>2934</v>
      </c>
      <c r="M725" s="429"/>
      <c r="N725" s="429"/>
      <c r="O725" s="429"/>
      <c r="P725" s="429"/>
      <c r="Q725" s="429"/>
    </row>
    <row r="726" spans="1:17" ht="30" customHeight="1" x14ac:dyDescent="0.2">
      <c r="A726" s="2465"/>
      <c r="B726" s="2466" t="s">
        <v>2936</v>
      </c>
      <c r="C726" s="2445" t="s">
        <v>367</v>
      </c>
      <c r="D726" s="2434">
        <v>20000000</v>
      </c>
      <c r="E726" s="2463">
        <v>0.05</v>
      </c>
      <c r="F726" s="2434">
        <f>D726*E726</f>
        <v>1000000</v>
      </c>
      <c r="G726" s="2422">
        <v>1000000</v>
      </c>
      <c r="H726" s="2422" t="s">
        <v>4604</v>
      </c>
      <c r="I726" s="2422" t="s">
        <v>3693</v>
      </c>
      <c r="J726" s="2422">
        <f>G726</f>
        <v>1000000</v>
      </c>
      <c r="K726" s="2461">
        <f>F726-J726</f>
        <v>0</v>
      </c>
      <c r="L726" s="2490"/>
      <c r="M726" s="429"/>
      <c r="N726" s="429"/>
      <c r="O726" s="429"/>
      <c r="P726" s="429"/>
      <c r="Q726" s="429"/>
    </row>
    <row r="727" spans="1:17" ht="30" customHeight="1" x14ac:dyDescent="0.2">
      <c r="A727" s="2423"/>
      <c r="B727" s="2468" t="s">
        <v>3039</v>
      </c>
      <c r="C727" s="2467" t="s">
        <v>1112</v>
      </c>
      <c r="D727" s="2422">
        <v>40000000</v>
      </c>
      <c r="E727" s="2463">
        <v>0.04</v>
      </c>
      <c r="F727" s="2422">
        <f>D727*E727</f>
        <v>1600000</v>
      </c>
      <c r="G727" s="2422">
        <v>1600000</v>
      </c>
      <c r="H727" s="2422" t="s">
        <v>4458</v>
      </c>
      <c r="I727" s="2422" t="s">
        <v>4462</v>
      </c>
      <c r="J727" s="2422">
        <f>G727</f>
        <v>1600000</v>
      </c>
      <c r="K727" s="2461">
        <f>F727-J727</f>
        <v>0</v>
      </c>
      <c r="L727" s="2490"/>
      <c r="M727" s="429"/>
      <c r="N727" s="429"/>
      <c r="O727" s="429"/>
      <c r="P727" s="429"/>
      <c r="Q727" s="429"/>
    </row>
    <row r="728" spans="1:17" ht="30" customHeight="1" x14ac:dyDescent="0.2">
      <c r="A728" s="2465"/>
      <c r="B728" s="2466" t="s">
        <v>2968</v>
      </c>
      <c r="C728" s="2445" t="s">
        <v>2983</v>
      </c>
      <c r="D728" s="2434">
        <v>20000000</v>
      </c>
      <c r="E728" s="2437">
        <v>0.05</v>
      </c>
      <c r="F728" s="2434">
        <f>D728*E728</f>
        <v>1000000</v>
      </c>
      <c r="G728" s="2422">
        <v>1000000</v>
      </c>
      <c r="H728" s="2422" t="s">
        <v>4003</v>
      </c>
      <c r="I728" s="2422" t="s">
        <v>4627</v>
      </c>
      <c r="J728" s="2422">
        <f>G728</f>
        <v>1000000</v>
      </c>
      <c r="K728" s="2461">
        <f>G728-J728</f>
        <v>0</v>
      </c>
      <c r="L728" s="2490" t="s">
        <v>2969</v>
      </c>
      <c r="M728" s="429"/>
      <c r="N728" s="429"/>
      <c r="O728" s="429"/>
      <c r="P728" s="429"/>
      <c r="Q728" s="429"/>
    </row>
    <row r="729" spans="1:17" ht="30" customHeight="1" x14ac:dyDescent="0.2">
      <c r="A729" s="3450"/>
      <c r="B729" s="1601" t="s">
        <v>3001</v>
      </c>
      <c r="C729" s="3790" t="s">
        <v>3033</v>
      </c>
      <c r="D729" s="3824">
        <v>70000000</v>
      </c>
      <c r="E729" s="3835">
        <v>0.05</v>
      </c>
      <c r="F729" s="3838">
        <f>D729*E729</f>
        <v>3500000</v>
      </c>
      <c r="G729" s="3575" t="s">
        <v>4677</v>
      </c>
      <c r="H729" s="3575"/>
      <c r="I729" s="3575"/>
      <c r="J729" s="3442"/>
      <c r="K729" s="3625">
        <f>(F729+F732+F733+1800000)-J729-12000000</f>
        <v>7300000</v>
      </c>
      <c r="L729" s="2477"/>
      <c r="M729" s="429"/>
      <c r="N729" s="429"/>
      <c r="O729" s="429"/>
      <c r="P729" s="429"/>
      <c r="Q729" s="429"/>
    </row>
    <row r="730" spans="1:17" ht="30" customHeight="1" x14ac:dyDescent="0.2">
      <c r="A730" s="3456"/>
      <c r="B730" s="1602"/>
      <c r="C730" s="3793"/>
      <c r="D730" s="3825"/>
      <c r="E730" s="3836"/>
      <c r="F730" s="3838"/>
      <c r="G730" s="3575"/>
      <c r="H730" s="3575"/>
      <c r="I730" s="3575"/>
      <c r="J730" s="3461"/>
      <c r="K730" s="3696"/>
      <c r="L730" s="2489" t="s">
        <v>3036</v>
      </c>
      <c r="M730" s="429"/>
      <c r="N730" s="429"/>
      <c r="O730" s="429"/>
      <c r="P730" s="429"/>
      <c r="Q730" s="429"/>
    </row>
    <row r="731" spans="1:17" ht="30" customHeight="1" x14ac:dyDescent="0.2">
      <c r="A731" s="3451"/>
      <c r="B731" s="1603"/>
      <c r="C731" s="3791"/>
      <c r="D731" s="3826"/>
      <c r="E731" s="3837"/>
      <c r="F731" s="3838"/>
      <c r="G731" s="3575"/>
      <c r="H731" s="3575"/>
      <c r="I731" s="3575"/>
      <c r="J731" s="3461"/>
      <c r="K731" s="3696"/>
      <c r="L731" s="2489" t="s">
        <v>3035</v>
      </c>
      <c r="M731" s="429"/>
      <c r="N731" s="429"/>
      <c r="O731" s="429"/>
      <c r="P731" s="429"/>
      <c r="Q731" s="429"/>
    </row>
    <row r="732" spans="1:17" ht="30" customHeight="1" x14ac:dyDescent="0.2">
      <c r="A732" s="3450"/>
      <c r="B732" s="3788" t="s">
        <v>3034</v>
      </c>
      <c r="C732" s="3790" t="s">
        <v>411</v>
      </c>
      <c r="D732" s="2501">
        <v>190000000</v>
      </c>
      <c r="E732" s="1269">
        <v>4.4999999999999998E-2</v>
      </c>
      <c r="F732" s="2501">
        <v>8600000</v>
      </c>
      <c r="G732" s="187"/>
      <c r="H732" s="187"/>
      <c r="I732" s="187"/>
      <c r="J732" s="3461"/>
      <c r="K732" s="3696"/>
      <c r="L732" s="2489"/>
      <c r="M732" s="429"/>
      <c r="N732" s="429"/>
      <c r="O732" s="429"/>
      <c r="P732" s="429"/>
      <c r="Q732" s="429"/>
    </row>
    <row r="733" spans="1:17" ht="30" customHeight="1" x14ac:dyDescent="0.2">
      <c r="A733" s="3451"/>
      <c r="B733" s="3789"/>
      <c r="C733" s="3791"/>
      <c r="D733" s="2501">
        <v>90000000</v>
      </c>
      <c r="E733" s="1269">
        <v>0.06</v>
      </c>
      <c r="F733" s="2501">
        <f>D733*E733</f>
        <v>5400000</v>
      </c>
      <c r="G733" s="7"/>
      <c r="H733" s="7"/>
      <c r="I733" s="7"/>
      <c r="J733" s="3443"/>
      <c r="K733" s="3626"/>
      <c r="L733" s="2489"/>
      <c r="M733" s="429"/>
      <c r="N733" s="429"/>
      <c r="O733" s="429"/>
      <c r="P733" s="429"/>
      <c r="Q733" s="429"/>
    </row>
    <row r="734" spans="1:17" ht="30" customHeight="1" x14ac:dyDescent="0.2">
      <c r="A734" s="3150"/>
      <c r="B734" s="3165" t="s">
        <v>3034</v>
      </c>
      <c r="C734" s="3166" t="s">
        <v>1817</v>
      </c>
      <c r="D734" s="3170">
        <v>400000000</v>
      </c>
      <c r="E734" s="1269">
        <v>7.0000000000000007E-2</v>
      </c>
      <c r="F734" s="3170">
        <f>D734*E734</f>
        <v>28000000.000000004</v>
      </c>
      <c r="G734" s="7"/>
      <c r="H734" s="7"/>
      <c r="I734" s="2150"/>
      <c r="J734" s="3151"/>
      <c r="K734" s="3157"/>
      <c r="L734" s="3167" t="s">
        <v>4856</v>
      </c>
      <c r="M734" s="429"/>
      <c r="N734" s="429"/>
      <c r="O734" s="429"/>
      <c r="P734" s="429"/>
      <c r="Q734" s="429"/>
    </row>
    <row r="735" spans="1:17" ht="30" customHeight="1" x14ac:dyDescent="0.2">
      <c r="A735" s="3150"/>
      <c r="B735" s="3165" t="s">
        <v>4854</v>
      </c>
      <c r="C735" s="3166" t="s">
        <v>2408</v>
      </c>
      <c r="D735" s="3170">
        <v>100000000</v>
      </c>
      <c r="E735" s="1269">
        <v>7.0000000000000007E-2</v>
      </c>
      <c r="F735" s="3170">
        <f>D735*E735</f>
        <v>7000000.0000000009</v>
      </c>
      <c r="G735" s="7"/>
      <c r="H735" s="7"/>
      <c r="I735" s="2150"/>
      <c r="J735" s="3151"/>
      <c r="K735" s="3157"/>
      <c r="L735" s="3167" t="s">
        <v>4855</v>
      </c>
      <c r="M735" s="429"/>
      <c r="N735" s="429"/>
      <c r="O735" s="429"/>
      <c r="P735" s="429"/>
      <c r="Q735" s="429"/>
    </row>
    <row r="736" spans="1:17" ht="30" customHeight="1" x14ac:dyDescent="0.2">
      <c r="A736" s="2465"/>
      <c r="B736" s="2485" t="s">
        <v>2332</v>
      </c>
      <c r="C736" s="2486" t="s">
        <v>1378</v>
      </c>
      <c r="D736" s="2501">
        <v>150000000</v>
      </c>
      <c r="E736" s="1269">
        <v>0.05</v>
      </c>
      <c r="F736" s="2501">
        <f>D736*E736</f>
        <v>7500000</v>
      </c>
      <c r="G736" s="2434">
        <v>7500000</v>
      </c>
      <c r="H736" s="2434" t="s">
        <v>2251</v>
      </c>
      <c r="I736" s="2451" t="s">
        <v>4696</v>
      </c>
      <c r="J736" s="2434">
        <f>G736</f>
        <v>7500000</v>
      </c>
      <c r="K736" s="2461">
        <f>F736-J736</f>
        <v>0</v>
      </c>
      <c r="L736" s="2478"/>
      <c r="M736" s="429"/>
      <c r="N736" s="429"/>
      <c r="O736" s="429"/>
      <c r="P736" s="429"/>
      <c r="Q736" s="429"/>
    </row>
    <row r="737" spans="1:17" ht="30" customHeight="1" x14ac:dyDescent="0.2">
      <c r="A737" s="2465"/>
      <c r="B737" s="2466"/>
      <c r="C737" s="2445"/>
      <c r="D737" s="2434"/>
      <c r="E737" s="2463"/>
      <c r="F737" s="2434"/>
      <c r="G737" s="2434"/>
      <c r="H737" s="2434"/>
      <c r="I737" s="2451"/>
      <c r="J737" s="2434"/>
      <c r="K737" s="2461"/>
      <c r="L737" s="2490"/>
      <c r="M737" s="429"/>
      <c r="N737" s="429"/>
      <c r="O737" s="429"/>
      <c r="P737" s="429"/>
      <c r="Q737" s="429"/>
    </row>
    <row r="738" spans="1:17" ht="30" customHeight="1" x14ac:dyDescent="0.2">
      <c r="A738" s="2465"/>
      <c r="B738" s="22" t="s">
        <v>183</v>
      </c>
      <c r="C738" s="2445" t="s">
        <v>2983</v>
      </c>
      <c r="D738" s="2434">
        <v>100000000</v>
      </c>
      <c r="E738" s="2463"/>
      <c r="F738" s="2434"/>
      <c r="G738" s="2422">
        <v>4000000</v>
      </c>
      <c r="H738" s="2422" t="s">
        <v>4546</v>
      </c>
      <c r="I738" s="2422" t="s">
        <v>959</v>
      </c>
      <c r="J738" s="2422">
        <f>G738</f>
        <v>4000000</v>
      </c>
      <c r="K738" s="2461">
        <f t="shared" ref="K738:K745" si="86">F738-J738</f>
        <v>-4000000</v>
      </c>
      <c r="L738" s="2490"/>
      <c r="M738" s="429"/>
      <c r="N738" s="429"/>
      <c r="O738" s="429"/>
      <c r="P738" s="429"/>
      <c r="Q738" s="429"/>
    </row>
    <row r="739" spans="1:17" ht="30" customHeight="1" x14ac:dyDescent="0.2">
      <c r="A739" s="3159"/>
      <c r="B739" s="22" t="s">
        <v>4857</v>
      </c>
      <c r="C739" s="3154" t="s">
        <v>1018</v>
      </c>
      <c r="D739" s="3151">
        <v>50000000</v>
      </c>
      <c r="E739" s="3158">
        <v>0.05</v>
      </c>
      <c r="F739" s="3151">
        <f>D739*E739</f>
        <v>2500000</v>
      </c>
      <c r="G739" s="3151">
        <v>2500000</v>
      </c>
      <c r="H739" s="3151" t="s">
        <v>4924</v>
      </c>
      <c r="I739" s="3155" t="s">
        <v>4927</v>
      </c>
      <c r="J739" s="3151">
        <f>G739</f>
        <v>2500000</v>
      </c>
      <c r="K739" s="3157">
        <f>F739-J739</f>
        <v>0</v>
      </c>
      <c r="L739" s="3199" t="s">
        <v>4858</v>
      </c>
      <c r="M739" s="429"/>
      <c r="N739" s="429"/>
      <c r="O739" s="429"/>
      <c r="P739" s="429"/>
      <c r="Q739" s="429"/>
    </row>
    <row r="740" spans="1:17" ht="30" customHeight="1" x14ac:dyDescent="0.2">
      <c r="A740" s="2465"/>
      <c r="B740" s="2466" t="s">
        <v>3007</v>
      </c>
      <c r="C740" s="2445" t="s">
        <v>1215</v>
      </c>
      <c r="D740" s="2434">
        <v>40000000</v>
      </c>
      <c r="E740" s="2463">
        <v>0.05</v>
      </c>
      <c r="F740" s="2434">
        <f>D740*E740</f>
        <v>2000000</v>
      </c>
      <c r="G740" s="2434">
        <v>2000000</v>
      </c>
      <c r="H740" s="2434" t="s">
        <v>1236</v>
      </c>
      <c r="I740" s="2451" t="s">
        <v>4220</v>
      </c>
      <c r="J740" s="2434">
        <f>G740</f>
        <v>2000000</v>
      </c>
      <c r="K740" s="2461">
        <f t="shared" si="86"/>
        <v>0</v>
      </c>
      <c r="L740" s="2490"/>
      <c r="M740" s="429"/>
      <c r="N740" s="429"/>
      <c r="O740" s="429"/>
      <c r="P740" s="429"/>
      <c r="Q740" s="429"/>
    </row>
    <row r="741" spans="1:17" ht="30" customHeight="1" x14ac:dyDescent="0.2">
      <c r="A741" s="2465"/>
      <c r="B741" s="2466" t="s">
        <v>3013</v>
      </c>
      <c r="C741" s="2445" t="s">
        <v>1817</v>
      </c>
      <c r="D741" s="2434">
        <v>25000000</v>
      </c>
      <c r="E741" s="2463">
        <v>0.04</v>
      </c>
      <c r="F741" s="2434">
        <f>D741*E741</f>
        <v>1000000</v>
      </c>
      <c r="G741" s="2434">
        <v>1000000</v>
      </c>
      <c r="H741" s="2434" t="s">
        <v>4579</v>
      </c>
      <c r="I741" s="2451" t="s">
        <v>4203</v>
      </c>
      <c r="J741" s="2434">
        <f>G741</f>
        <v>1000000</v>
      </c>
      <c r="K741" s="2461">
        <f t="shared" si="86"/>
        <v>0</v>
      </c>
      <c r="L741" s="2490"/>
      <c r="M741" s="429"/>
      <c r="N741" s="429"/>
      <c r="O741" s="429"/>
      <c r="P741" s="429"/>
      <c r="Q741" s="429"/>
    </row>
    <row r="742" spans="1:17" ht="30" customHeight="1" x14ac:dyDescent="0.2">
      <c r="A742" s="2465"/>
      <c r="B742" s="2466" t="s">
        <v>3067</v>
      </c>
      <c r="C742" s="2445"/>
      <c r="D742" s="2434">
        <v>50000000</v>
      </c>
      <c r="E742" s="2463">
        <v>0.05</v>
      </c>
      <c r="F742" s="2434">
        <f>D742*E742</f>
        <v>2500000</v>
      </c>
      <c r="G742" s="2434">
        <v>2500000</v>
      </c>
      <c r="H742" s="2434" t="s">
        <v>4554</v>
      </c>
      <c r="I742" s="2451" t="s">
        <v>4234</v>
      </c>
      <c r="J742" s="2434">
        <f t="shared" ref="J742:J745" si="87">G742</f>
        <v>2500000</v>
      </c>
      <c r="K742" s="2461">
        <f t="shared" si="86"/>
        <v>0</v>
      </c>
      <c r="L742" s="2490"/>
      <c r="M742" s="429"/>
      <c r="N742" s="429"/>
      <c r="O742" s="429"/>
      <c r="P742" s="429"/>
      <c r="Q742" s="429"/>
    </row>
    <row r="743" spans="1:17" ht="30" customHeight="1" x14ac:dyDescent="0.2">
      <c r="A743" s="2787"/>
      <c r="B743" s="22" t="s">
        <v>3073</v>
      </c>
      <c r="C743" s="3292" t="s">
        <v>1175</v>
      </c>
      <c r="D743" s="3286">
        <v>10000000</v>
      </c>
      <c r="E743" s="3291">
        <v>0.05</v>
      </c>
      <c r="F743" s="3286">
        <f>D743*E743</f>
        <v>500000</v>
      </c>
      <c r="G743" s="3286">
        <v>500000</v>
      </c>
      <c r="H743" s="3286" t="s">
        <v>1236</v>
      </c>
      <c r="I743" s="3286" t="s">
        <v>3566</v>
      </c>
      <c r="J743" s="3286">
        <f t="shared" si="87"/>
        <v>500000</v>
      </c>
      <c r="K743" s="3290">
        <f t="shared" si="86"/>
        <v>0</v>
      </c>
      <c r="L743" s="2490" t="s">
        <v>4092</v>
      </c>
      <c r="M743" s="429"/>
      <c r="N743" s="429"/>
      <c r="O743" s="429"/>
      <c r="P743" s="429"/>
      <c r="Q743" s="429"/>
    </row>
    <row r="744" spans="1:17" ht="30" customHeight="1" x14ac:dyDescent="0.2">
      <c r="A744" s="2465"/>
      <c r="B744" s="2789" t="s">
        <v>3078</v>
      </c>
      <c r="C744" s="2445"/>
      <c r="D744" s="2440"/>
      <c r="E744" s="2798"/>
      <c r="F744" s="2440"/>
      <c r="G744" s="2434"/>
      <c r="H744" s="2434"/>
      <c r="I744" s="2451"/>
      <c r="J744" s="2434">
        <f t="shared" si="87"/>
        <v>0</v>
      </c>
      <c r="K744" s="2462">
        <f t="shared" si="86"/>
        <v>0</v>
      </c>
      <c r="L744" s="2490"/>
      <c r="M744" s="429"/>
      <c r="N744" s="429"/>
      <c r="O744" s="429"/>
      <c r="P744" s="429"/>
      <c r="Q744" s="429"/>
    </row>
    <row r="745" spans="1:17" ht="30" customHeight="1" x14ac:dyDescent="0.2">
      <c r="A745" s="3450"/>
      <c r="B745" s="3457" t="s">
        <v>3172</v>
      </c>
      <c r="C745" s="3570" t="s">
        <v>1378</v>
      </c>
      <c r="D745" s="2434">
        <v>30000000</v>
      </c>
      <c r="E745" s="2463">
        <v>0.05</v>
      </c>
      <c r="F745" s="2434">
        <f t="shared" ref="F745:F750" si="88">D745*E745</f>
        <v>1500000</v>
      </c>
      <c r="G745" s="2422">
        <v>1500000</v>
      </c>
      <c r="H745" s="2422" t="s">
        <v>4756</v>
      </c>
      <c r="I745" s="2422" t="s">
        <v>3857</v>
      </c>
      <c r="J745" s="2422">
        <f t="shared" si="87"/>
        <v>1500000</v>
      </c>
      <c r="K745" s="2461">
        <f t="shared" si="86"/>
        <v>0</v>
      </c>
      <c r="L745" s="2490" t="s">
        <v>3529</v>
      </c>
      <c r="M745" s="429"/>
      <c r="N745" s="429"/>
      <c r="O745" s="429"/>
      <c r="P745" s="429"/>
      <c r="Q745" s="429"/>
    </row>
    <row r="746" spans="1:17" ht="30" customHeight="1" x14ac:dyDescent="0.2">
      <c r="A746" s="3456"/>
      <c r="B746" s="3459"/>
      <c r="C746" s="3576"/>
      <c r="D746" s="2895">
        <v>15000000</v>
      </c>
      <c r="E746" s="2898">
        <v>0.05</v>
      </c>
      <c r="F746" s="2895">
        <f t="shared" si="88"/>
        <v>750000</v>
      </c>
      <c r="G746" s="3325" t="s">
        <v>4647</v>
      </c>
      <c r="H746" s="3340"/>
      <c r="I746" s="3340"/>
      <c r="J746" s="3341"/>
      <c r="K746" s="2897"/>
      <c r="L746" s="2899"/>
      <c r="M746" s="429"/>
      <c r="N746" s="429"/>
      <c r="O746" s="429"/>
      <c r="P746" s="429"/>
      <c r="Q746" s="429"/>
    </row>
    <row r="747" spans="1:17" ht="30" customHeight="1" x14ac:dyDescent="0.2">
      <c r="A747" s="3451"/>
      <c r="B747" s="3458"/>
      <c r="C747" s="3571"/>
      <c r="D747" s="2895">
        <v>15000000</v>
      </c>
      <c r="E747" s="2898">
        <v>0.05</v>
      </c>
      <c r="F747" s="2895">
        <f t="shared" si="88"/>
        <v>750000</v>
      </c>
      <c r="G747" s="3325" t="s">
        <v>4648</v>
      </c>
      <c r="H747" s="3340"/>
      <c r="I747" s="3340"/>
      <c r="J747" s="3341"/>
      <c r="K747" s="2897"/>
      <c r="L747" s="2899" t="s">
        <v>4845</v>
      </c>
      <c r="M747" s="429"/>
      <c r="N747" s="429"/>
      <c r="O747" s="429"/>
      <c r="P747" s="429"/>
      <c r="Q747" s="429"/>
    </row>
    <row r="748" spans="1:17" ht="30" customHeight="1" x14ac:dyDescent="0.2">
      <c r="A748" s="2465"/>
      <c r="B748" s="2466" t="s">
        <v>3175</v>
      </c>
      <c r="C748" s="2445"/>
      <c r="D748" s="2434">
        <f>1000000000+19000000</f>
        <v>1019000000</v>
      </c>
      <c r="E748" s="2463">
        <v>7.0000000000000007E-2</v>
      </c>
      <c r="F748" s="2434">
        <f t="shared" si="88"/>
        <v>71330000</v>
      </c>
      <c r="G748" s="2434"/>
      <c r="H748" s="2434"/>
      <c r="I748" s="2451" t="s">
        <v>4230</v>
      </c>
      <c r="J748" s="2434">
        <f>G748</f>
        <v>0</v>
      </c>
      <c r="K748" s="2461">
        <v>0</v>
      </c>
      <c r="L748" s="2490" t="s">
        <v>4231</v>
      </c>
      <c r="M748" s="429"/>
      <c r="N748" s="429"/>
      <c r="O748" s="429"/>
      <c r="P748" s="429"/>
      <c r="Q748" s="429"/>
    </row>
    <row r="749" spans="1:17" ht="30" customHeight="1" x14ac:dyDescent="0.2">
      <c r="A749" s="2465"/>
      <c r="B749" s="2466" t="s">
        <v>3206</v>
      </c>
      <c r="C749" s="2445" t="s">
        <v>916</v>
      </c>
      <c r="D749" s="2434">
        <v>100000000</v>
      </c>
      <c r="E749" s="2463">
        <v>0.05</v>
      </c>
      <c r="F749" s="2434">
        <f t="shared" si="88"/>
        <v>5000000</v>
      </c>
      <c r="G749" s="2434">
        <v>5000000</v>
      </c>
      <c r="H749" s="2434" t="s">
        <v>4480</v>
      </c>
      <c r="I749" s="2451" t="s">
        <v>4106</v>
      </c>
      <c r="J749" s="2434">
        <f>G749</f>
        <v>5000000</v>
      </c>
      <c r="K749" s="2461">
        <f>F749-J749</f>
        <v>0</v>
      </c>
      <c r="L749" s="3615"/>
      <c r="M749" s="3616"/>
      <c r="N749" s="3616"/>
      <c r="O749" s="3616"/>
      <c r="P749" s="3617"/>
      <c r="Q749" s="429"/>
    </row>
    <row r="750" spans="1:17" ht="30" customHeight="1" x14ac:dyDescent="0.2">
      <c r="A750" s="3450"/>
      <c r="B750" s="3457" t="s">
        <v>3902</v>
      </c>
      <c r="C750" s="3570"/>
      <c r="D750" s="3442">
        <v>30000000</v>
      </c>
      <c r="E750" s="3444">
        <v>7.0000000000000007E-2</v>
      </c>
      <c r="F750" s="3442">
        <f t="shared" si="88"/>
        <v>2100000</v>
      </c>
      <c r="G750" s="3442">
        <v>2100000</v>
      </c>
      <c r="H750" s="3442" t="s">
        <v>4924</v>
      </c>
      <c r="I750" s="3442" t="s">
        <v>4283</v>
      </c>
      <c r="J750" s="3442">
        <f>G750</f>
        <v>2100000</v>
      </c>
      <c r="K750" s="3625">
        <f>F750-J750</f>
        <v>0</v>
      </c>
      <c r="L750" s="3620"/>
      <c r="M750" s="429"/>
      <c r="N750" s="429"/>
      <c r="O750" s="429"/>
      <c r="P750" s="429"/>
      <c r="Q750" s="429"/>
    </row>
    <row r="751" spans="1:17" ht="30" customHeight="1" x14ac:dyDescent="0.2">
      <c r="A751" s="3451"/>
      <c r="B751" s="3458"/>
      <c r="C751" s="3571"/>
      <c r="D751" s="3443"/>
      <c r="E751" s="3445"/>
      <c r="F751" s="3443"/>
      <c r="G751" s="3443"/>
      <c r="H751" s="3443"/>
      <c r="I751" s="3443"/>
      <c r="J751" s="3443"/>
      <c r="K751" s="3626"/>
      <c r="L751" s="3621"/>
      <c r="M751" s="429"/>
      <c r="N751" s="429"/>
      <c r="O751" s="429"/>
      <c r="P751" s="429"/>
      <c r="Q751" s="429"/>
    </row>
    <row r="752" spans="1:17" ht="30" customHeight="1" x14ac:dyDescent="0.2">
      <c r="A752" s="3450"/>
      <c r="B752" s="3457" t="s">
        <v>4094</v>
      </c>
      <c r="C752" s="3570"/>
      <c r="D752" s="2434">
        <v>200000000</v>
      </c>
      <c r="E752" s="2437">
        <v>0.05</v>
      </c>
      <c r="F752" s="2434">
        <f>D752*E752</f>
        <v>10000000</v>
      </c>
      <c r="G752" s="2422">
        <v>10000000</v>
      </c>
      <c r="H752" s="2422" t="s">
        <v>4924</v>
      </c>
      <c r="I752" s="2422" t="s">
        <v>4289</v>
      </c>
      <c r="J752" s="2422">
        <f>G752</f>
        <v>10000000</v>
      </c>
      <c r="K752" s="2461">
        <f>F752-J752</f>
        <v>0</v>
      </c>
      <c r="L752" s="2478"/>
      <c r="M752" s="429"/>
      <c r="N752" s="429"/>
      <c r="O752" s="429"/>
      <c r="P752" s="429"/>
      <c r="Q752" s="429"/>
    </row>
    <row r="753" spans="1:17" ht="30" customHeight="1" x14ac:dyDescent="0.2">
      <c r="A753" s="3451"/>
      <c r="B753" s="3458"/>
      <c r="C753" s="3571"/>
      <c r="D753" s="3261">
        <v>100000000</v>
      </c>
      <c r="E753" s="3262"/>
      <c r="F753" s="3261"/>
      <c r="G753" s="3260"/>
      <c r="H753" s="3260"/>
      <c r="I753" s="3260"/>
      <c r="J753" s="3260"/>
      <c r="K753" s="3268"/>
      <c r="L753" s="3269" t="s">
        <v>4926</v>
      </c>
      <c r="M753" s="429"/>
      <c r="N753" s="429"/>
      <c r="O753" s="429"/>
      <c r="P753" s="429"/>
      <c r="Q753" s="429"/>
    </row>
    <row r="754" spans="1:17" ht="30" customHeight="1" x14ac:dyDescent="0.2">
      <c r="A754" s="3450"/>
      <c r="B754" s="3457" t="s">
        <v>3294</v>
      </c>
      <c r="C754" s="3570" t="s">
        <v>1018</v>
      </c>
      <c r="D754" s="2434">
        <v>50000000</v>
      </c>
      <c r="E754" s="2437">
        <v>0.05</v>
      </c>
      <c r="F754" s="2434">
        <f>D754*E754</f>
        <v>2500000</v>
      </c>
      <c r="G754" s="2422">
        <v>2500000</v>
      </c>
      <c r="H754" s="2422" t="s">
        <v>1236</v>
      </c>
      <c r="I754" s="2422" t="s">
        <v>4530</v>
      </c>
      <c r="J754" s="2422">
        <f>G754</f>
        <v>2500000</v>
      </c>
      <c r="K754" s="2461">
        <f>F754-J754</f>
        <v>0</v>
      </c>
      <c r="L754" s="2478" t="s">
        <v>4943</v>
      </c>
      <c r="M754" s="429"/>
      <c r="N754" s="429"/>
      <c r="O754" s="429"/>
      <c r="P754" s="429"/>
      <c r="Q754" s="429"/>
    </row>
    <row r="755" spans="1:17" ht="30" customHeight="1" x14ac:dyDescent="0.2">
      <c r="A755" s="3451"/>
      <c r="B755" s="3458"/>
      <c r="C755" s="3571"/>
      <c r="D755" s="3261">
        <v>50000000</v>
      </c>
      <c r="E755" s="3262">
        <v>0.05</v>
      </c>
      <c r="F755" s="3261">
        <f>D755*E755</f>
        <v>2500000</v>
      </c>
      <c r="G755" s="3260">
        <v>2500000</v>
      </c>
      <c r="H755" s="3260" t="s">
        <v>4942</v>
      </c>
      <c r="I755" s="3260" t="s">
        <v>4530</v>
      </c>
      <c r="J755" s="3260">
        <f>G755</f>
        <v>2500000</v>
      </c>
      <c r="K755" s="3268">
        <f>F755-J755</f>
        <v>0</v>
      </c>
      <c r="L755" s="3269" t="s">
        <v>4944</v>
      </c>
      <c r="M755" s="429"/>
      <c r="N755" s="429"/>
      <c r="O755" s="429"/>
      <c r="P755" s="429"/>
      <c r="Q755" s="429"/>
    </row>
    <row r="756" spans="1:17" ht="30" customHeight="1" x14ac:dyDescent="0.2">
      <c r="A756" s="153"/>
      <c r="B756" s="2449" t="s">
        <v>3299</v>
      </c>
      <c r="C756" s="3154" t="s">
        <v>3458</v>
      </c>
      <c r="D756" s="2434">
        <v>400000000</v>
      </c>
      <c r="E756" s="2463">
        <v>0.04</v>
      </c>
      <c r="F756" s="2434">
        <f>D756*E756</f>
        <v>16000000</v>
      </c>
      <c r="G756" s="2422"/>
      <c r="H756" s="2422"/>
      <c r="I756" s="2422"/>
      <c r="J756" s="2422"/>
      <c r="K756" s="2461"/>
      <c r="L756" s="2490"/>
      <c r="M756" s="429"/>
      <c r="N756" s="429"/>
      <c r="O756" s="429"/>
      <c r="P756" s="429"/>
      <c r="Q756" s="429"/>
    </row>
    <row r="757" spans="1:17" ht="30" customHeight="1" x14ac:dyDescent="0.2">
      <c r="A757" s="3450"/>
      <c r="B757" s="3448" t="s">
        <v>851</v>
      </c>
      <c r="C757" s="3525"/>
      <c r="D757" s="2689"/>
      <c r="E757" s="2622"/>
      <c r="F757" s="2688"/>
      <c r="G757" s="2622">
        <v>20000000</v>
      </c>
      <c r="H757" s="2622" t="s">
        <v>4480</v>
      </c>
      <c r="I757" s="2622" t="s">
        <v>882</v>
      </c>
      <c r="J757" s="2622">
        <f t="shared" ref="J757:J767" si="89">G757</f>
        <v>20000000</v>
      </c>
      <c r="K757" s="2619"/>
      <c r="L757" s="2490" t="s">
        <v>4005</v>
      </c>
      <c r="M757" s="429"/>
      <c r="N757" s="429"/>
      <c r="O757" s="429"/>
      <c r="P757" s="429"/>
      <c r="Q757" s="429"/>
    </row>
    <row r="758" spans="1:17" ht="30" customHeight="1" x14ac:dyDescent="0.2">
      <c r="A758" s="3451"/>
      <c r="B758" s="3449"/>
      <c r="C758" s="3526"/>
      <c r="D758" s="3067"/>
      <c r="E758" s="3064"/>
      <c r="F758" s="3065"/>
      <c r="G758" s="3064"/>
      <c r="H758" s="3064"/>
      <c r="I758" s="3064"/>
      <c r="J758" s="3064"/>
      <c r="K758" s="3068"/>
      <c r="L758" s="3070" t="s">
        <v>4789</v>
      </c>
      <c r="M758" s="429"/>
      <c r="N758" s="429"/>
      <c r="O758" s="429"/>
      <c r="P758" s="429"/>
      <c r="Q758" s="429"/>
    </row>
    <row r="759" spans="1:17" ht="30" customHeight="1" x14ac:dyDescent="0.2">
      <c r="A759" s="442"/>
      <c r="B759" s="2449" t="s">
        <v>3350</v>
      </c>
      <c r="C759" s="2445" t="s">
        <v>3351</v>
      </c>
      <c r="D759" s="2434">
        <v>120000000</v>
      </c>
      <c r="E759" s="2631">
        <v>0.04</v>
      </c>
      <c r="F759" s="2434">
        <f>D759*E759</f>
        <v>4800000</v>
      </c>
      <c r="G759" s="2634">
        <v>4800000</v>
      </c>
      <c r="H759" s="2634" t="s">
        <v>4756</v>
      </c>
      <c r="I759" s="2634" t="s">
        <v>2066</v>
      </c>
      <c r="J759" s="2634">
        <f t="shared" si="89"/>
        <v>4800000</v>
      </c>
      <c r="K759" s="2461">
        <f t="shared" ref="K759:K767" si="90">F759-J759</f>
        <v>0</v>
      </c>
      <c r="L759" s="2490"/>
      <c r="M759" s="429"/>
      <c r="N759" s="429"/>
      <c r="O759" s="429"/>
      <c r="P759" s="429"/>
      <c r="Q759" s="429"/>
    </row>
    <row r="760" spans="1:17" ht="30" customHeight="1" x14ac:dyDescent="0.2">
      <c r="A760" s="153"/>
      <c r="B760" s="2449" t="s">
        <v>3353</v>
      </c>
      <c r="C760" s="2445" t="s">
        <v>3354</v>
      </c>
      <c r="D760" s="2434">
        <v>100000000</v>
      </c>
      <c r="E760" s="2463">
        <v>0.05</v>
      </c>
      <c r="F760" s="2434">
        <f>D760*E760</f>
        <v>5000000</v>
      </c>
      <c r="G760" s="2422">
        <v>5000000</v>
      </c>
      <c r="H760" s="2422" t="s">
        <v>4458</v>
      </c>
      <c r="I760" s="2422" t="s">
        <v>3656</v>
      </c>
      <c r="J760" s="2422">
        <f t="shared" si="89"/>
        <v>5000000</v>
      </c>
      <c r="K760" s="2461">
        <f t="shared" si="90"/>
        <v>0</v>
      </c>
      <c r="L760" s="2490"/>
      <c r="M760" s="429"/>
      <c r="N760" s="429"/>
      <c r="O760" s="429"/>
      <c r="P760" s="429"/>
      <c r="Q760" s="429"/>
    </row>
    <row r="761" spans="1:17" ht="30" customHeight="1" x14ac:dyDescent="0.2">
      <c r="A761" s="153"/>
      <c r="B761" s="2449" t="s">
        <v>3356</v>
      </c>
      <c r="C761" s="2445" t="s">
        <v>1909</v>
      </c>
      <c r="D761" s="2434">
        <v>50000000</v>
      </c>
      <c r="E761" s="2463">
        <v>0.05</v>
      </c>
      <c r="F761" s="2434">
        <f>D761*E761</f>
        <v>2500000</v>
      </c>
      <c r="G761" s="2422">
        <v>2500000</v>
      </c>
      <c r="H761" s="2422" t="s">
        <v>4939</v>
      </c>
      <c r="I761" s="2422" t="s">
        <v>4941</v>
      </c>
      <c r="J761" s="2422">
        <f t="shared" si="89"/>
        <v>2500000</v>
      </c>
      <c r="K761" s="2461">
        <f t="shared" si="90"/>
        <v>0</v>
      </c>
      <c r="L761" s="2490"/>
      <c r="M761" s="429"/>
      <c r="N761" s="429"/>
      <c r="O761" s="429"/>
      <c r="P761" s="429"/>
      <c r="Q761" s="429"/>
    </row>
    <row r="762" spans="1:17" ht="30" customHeight="1" x14ac:dyDescent="0.2">
      <c r="A762" s="153"/>
      <c r="B762" s="2523" t="s">
        <v>3359</v>
      </c>
      <c r="C762" s="2535"/>
      <c r="D762" s="2535"/>
      <c r="E762" s="44"/>
      <c r="F762" s="2520"/>
      <c r="G762" s="2525">
        <v>5000000</v>
      </c>
      <c r="H762" s="2525" t="s">
        <v>4591</v>
      </c>
      <c r="I762" s="2525" t="s">
        <v>3361</v>
      </c>
      <c r="J762" s="2525">
        <f t="shared" si="89"/>
        <v>5000000</v>
      </c>
      <c r="K762" s="2527">
        <f t="shared" si="90"/>
        <v>-5000000</v>
      </c>
      <c r="L762" s="2547" t="s">
        <v>3365</v>
      </c>
      <c r="M762" s="429"/>
      <c r="N762" s="429"/>
      <c r="O762" s="429"/>
      <c r="P762" s="429"/>
      <c r="Q762" s="429"/>
    </row>
    <row r="763" spans="1:17" ht="30" customHeight="1" x14ac:dyDescent="0.2">
      <c r="A763" s="153"/>
      <c r="B763" s="2449" t="s">
        <v>3392</v>
      </c>
      <c r="C763" s="2445" t="s">
        <v>411</v>
      </c>
      <c r="D763" s="2434">
        <v>40000000</v>
      </c>
      <c r="E763" s="2463">
        <v>0.05</v>
      </c>
      <c r="F763" s="2434">
        <f>D763*E763</f>
        <v>2000000</v>
      </c>
      <c r="G763" s="2819">
        <v>2000000</v>
      </c>
      <c r="H763" s="2819" t="s">
        <v>4554</v>
      </c>
      <c r="I763" s="59" t="s">
        <v>4571</v>
      </c>
      <c r="J763" s="2819">
        <f t="shared" si="89"/>
        <v>2000000</v>
      </c>
      <c r="K763" s="2843">
        <f t="shared" si="90"/>
        <v>0</v>
      </c>
      <c r="L763" s="2490"/>
      <c r="M763" s="429"/>
      <c r="N763" s="429"/>
      <c r="O763" s="429"/>
      <c r="P763" s="429"/>
      <c r="Q763" s="429"/>
    </row>
    <row r="764" spans="1:17" ht="30" customHeight="1" x14ac:dyDescent="0.2">
      <c r="A764" s="153"/>
      <c r="B764" s="2449" t="s">
        <v>3428</v>
      </c>
      <c r="C764" s="2449"/>
      <c r="D764" s="2434">
        <v>15000000</v>
      </c>
      <c r="E764" s="2463">
        <v>0.05</v>
      </c>
      <c r="F764" s="2434">
        <f>D764*E764</f>
        <v>750000</v>
      </c>
      <c r="G764" s="2422">
        <v>750000</v>
      </c>
      <c r="H764" s="2422" t="s">
        <v>4939</v>
      </c>
      <c r="I764" s="2422" t="s">
        <v>4089</v>
      </c>
      <c r="J764" s="2422">
        <f t="shared" si="89"/>
        <v>750000</v>
      </c>
      <c r="K764" s="2461">
        <f t="shared" si="90"/>
        <v>0</v>
      </c>
      <c r="L764" s="2490" t="s">
        <v>4006</v>
      </c>
      <c r="M764" s="429"/>
      <c r="N764" s="429"/>
      <c r="O764" s="429"/>
      <c r="P764" s="429"/>
      <c r="Q764" s="429"/>
    </row>
    <row r="765" spans="1:17" ht="30" customHeight="1" x14ac:dyDescent="0.2">
      <c r="A765" s="2465"/>
      <c r="B765" s="3" t="s">
        <v>3431</v>
      </c>
      <c r="C765" s="2445" t="s">
        <v>971</v>
      </c>
      <c r="D765" s="2434">
        <v>150000000</v>
      </c>
      <c r="E765" s="2463">
        <v>0.05</v>
      </c>
      <c r="F765" s="2434">
        <f>D765*E765</f>
        <v>7500000</v>
      </c>
      <c r="G765" s="2422">
        <v>7500000</v>
      </c>
      <c r="H765" s="2422" t="s">
        <v>4458</v>
      </c>
      <c r="I765" s="2422" t="s">
        <v>4025</v>
      </c>
      <c r="J765" s="2422">
        <f t="shared" si="89"/>
        <v>7500000</v>
      </c>
      <c r="K765" s="2461">
        <f t="shared" si="90"/>
        <v>0</v>
      </c>
      <c r="L765" s="2490"/>
      <c r="M765" s="429"/>
      <c r="N765" s="429"/>
      <c r="O765" s="429"/>
      <c r="P765" s="429"/>
      <c r="Q765" s="429"/>
    </row>
    <row r="766" spans="1:17" ht="30" customHeight="1" x14ac:dyDescent="0.2">
      <c r="A766" s="2465"/>
      <c r="B766" s="3" t="s">
        <v>3443</v>
      </c>
      <c r="C766" s="2445" t="s">
        <v>3458</v>
      </c>
      <c r="D766" s="2434">
        <v>20000000</v>
      </c>
      <c r="E766" s="2463">
        <v>0.05</v>
      </c>
      <c r="F766" s="2434">
        <f>D766*E766</f>
        <v>1000000</v>
      </c>
      <c r="G766" s="2422">
        <v>1000000</v>
      </c>
      <c r="H766" s="2422" t="s">
        <v>4447</v>
      </c>
      <c r="I766" s="2422" t="s">
        <v>4040</v>
      </c>
      <c r="J766" s="2422">
        <f t="shared" si="89"/>
        <v>1000000</v>
      </c>
      <c r="K766" s="2461">
        <f t="shared" si="90"/>
        <v>0</v>
      </c>
      <c r="L766" s="2490" t="s">
        <v>3444</v>
      </c>
      <c r="M766" s="429"/>
      <c r="N766" s="429"/>
      <c r="O766" s="429"/>
      <c r="P766" s="429"/>
      <c r="Q766" s="429"/>
    </row>
    <row r="767" spans="1:17" ht="30" customHeight="1" x14ac:dyDescent="0.2">
      <c r="A767" s="2465"/>
      <c r="B767" s="3" t="s">
        <v>4453</v>
      </c>
      <c r="C767" s="2445" t="s">
        <v>916</v>
      </c>
      <c r="D767" s="2434">
        <v>200000000</v>
      </c>
      <c r="E767" s="2463">
        <v>0.05</v>
      </c>
      <c r="F767" s="2434">
        <f>D767*E767</f>
        <v>10000000</v>
      </c>
      <c r="G767" s="2422">
        <v>10000000</v>
      </c>
      <c r="H767" s="2422" t="s">
        <v>4447</v>
      </c>
      <c r="I767" s="2422" t="s">
        <v>4454</v>
      </c>
      <c r="J767" s="2422">
        <f t="shared" si="89"/>
        <v>10000000</v>
      </c>
      <c r="K767" s="2584">
        <f t="shared" si="90"/>
        <v>0</v>
      </c>
      <c r="L767" s="2490"/>
      <c r="M767" s="429"/>
      <c r="N767" s="429"/>
      <c r="O767" s="429"/>
      <c r="P767" s="429"/>
      <c r="Q767" s="429"/>
    </row>
    <row r="768" spans="1:17" ht="30" customHeight="1" x14ac:dyDescent="0.2">
      <c r="A768" s="2465"/>
      <c r="B768" s="3" t="s">
        <v>3467</v>
      </c>
      <c r="C768" s="2449"/>
      <c r="D768" s="2480"/>
      <c r="E768" s="44"/>
      <c r="F768" s="2440"/>
      <c r="G768" s="2422"/>
      <c r="H768" s="2422"/>
      <c r="I768" s="2422"/>
      <c r="J768" s="2422">
        <f t="shared" ref="J768:J775" si="91">G768</f>
        <v>0</v>
      </c>
      <c r="K768" s="2462"/>
      <c r="L768" s="2490"/>
      <c r="M768" s="429"/>
      <c r="N768" s="429"/>
      <c r="O768" s="429"/>
      <c r="P768" s="429"/>
      <c r="Q768" s="429"/>
    </row>
    <row r="769" spans="1:17" ht="30" customHeight="1" x14ac:dyDescent="0.2">
      <c r="A769" s="3450"/>
      <c r="B769" s="3448" t="s">
        <v>3531</v>
      </c>
      <c r="C769" s="2445" t="s">
        <v>916</v>
      </c>
      <c r="D769" s="2434">
        <v>1000000000</v>
      </c>
      <c r="E769" s="2463">
        <v>0.06</v>
      </c>
      <c r="F769" s="2434">
        <f>D769*E769</f>
        <v>60000000</v>
      </c>
      <c r="G769" s="2434"/>
      <c r="H769" s="2434"/>
      <c r="I769" s="2451" t="s">
        <v>4080</v>
      </c>
      <c r="J769" s="2434">
        <f t="shared" si="91"/>
        <v>0</v>
      </c>
      <c r="K769" s="2461">
        <v>0</v>
      </c>
      <c r="L769" s="2490" t="s">
        <v>3860</v>
      </c>
      <c r="M769" s="429"/>
      <c r="N769" s="429"/>
      <c r="O769" s="429"/>
      <c r="P769" s="429"/>
      <c r="Q769" s="429"/>
    </row>
    <row r="770" spans="1:17" ht="30" customHeight="1" x14ac:dyDescent="0.2">
      <c r="A770" s="3451"/>
      <c r="B770" s="3449"/>
      <c r="C770" s="2445" t="s">
        <v>1353</v>
      </c>
      <c r="D770" s="2434">
        <v>500000000</v>
      </c>
      <c r="E770" s="2463">
        <v>6.5000000000000002E-2</v>
      </c>
      <c r="F770" s="2434">
        <f>D770*E770</f>
        <v>32500000</v>
      </c>
      <c r="G770" s="2434">
        <v>32500000</v>
      </c>
      <c r="H770" s="2434" t="s">
        <v>2251</v>
      </c>
      <c r="I770" s="2451" t="s">
        <v>4080</v>
      </c>
      <c r="J770" s="2434">
        <f t="shared" si="91"/>
        <v>32500000</v>
      </c>
      <c r="K770" s="2461">
        <f>F770-J770</f>
        <v>0</v>
      </c>
      <c r="L770" s="2490"/>
      <c r="M770" s="429"/>
      <c r="N770" s="429"/>
      <c r="O770" s="429"/>
      <c r="P770" s="429"/>
      <c r="Q770" s="429"/>
    </row>
    <row r="771" spans="1:17" ht="30" customHeight="1" x14ac:dyDescent="0.2">
      <c r="A771" s="2465"/>
      <c r="B771" s="3" t="s">
        <v>3650</v>
      </c>
      <c r="C771" s="2445"/>
      <c r="D771" s="2802">
        <v>120000000</v>
      </c>
      <c r="E771" s="2835">
        <v>0.05</v>
      </c>
      <c r="F771" s="2802">
        <f>D771*E771</f>
        <v>6000000</v>
      </c>
      <c r="G771" s="2802"/>
      <c r="H771" s="2802"/>
      <c r="I771" s="2803" t="s">
        <v>696</v>
      </c>
      <c r="J771" s="2802">
        <f t="shared" si="91"/>
        <v>0</v>
      </c>
      <c r="K771" s="2836">
        <f>F771-J771</f>
        <v>6000000</v>
      </c>
      <c r="L771" s="2490"/>
      <c r="M771" s="429"/>
      <c r="N771" s="429"/>
      <c r="O771" s="429"/>
      <c r="P771" s="429"/>
      <c r="Q771" s="429"/>
    </row>
    <row r="772" spans="1:17" ht="30" customHeight="1" x14ac:dyDescent="0.2">
      <c r="A772" s="2423"/>
      <c r="B772" s="2448" t="s">
        <v>3560</v>
      </c>
      <c r="C772" s="2454"/>
      <c r="D772" s="2441"/>
      <c r="E772" s="2442"/>
      <c r="F772" s="2441"/>
      <c r="G772" s="2438"/>
      <c r="H772" s="2438"/>
      <c r="I772" s="2464" t="s">
        <v>3561</v>
      </c>
      <c r="J772" s="2438">
        <f t="shared" si="91"/>
        <v>0</v>
      </c>
      <c r="K772" s="1166"/>
      <c r="L772" s="2477"/>
      <c r="M772" s="429"/>
      <c r="N772" s="429"/>
      <c r="O772" s="429"/>
      <c r="P772" s="429"/>
      <c r="Q772" s="429"/>
    </row>
    <row r="773" spans="1:17" s="1593" customFormat="1" ht="30" customHeight="1" x14ac:dyDescent="0.2">
      <c r="A773" s="2465"/>
      <c r="B773" s="3" t="s">
        <v>3591</v>
      </c>
      <c r="C773" s="2467" t="s">
        <v>3619</v>
      </c>
      <c r="D773" s="2422">
        <v>25000000</v>
      </c>
      <c r="E773" s="2463">
        <v>0.05</v>
      </c>
      <c r="F773" s="2422">
        <f t="shared" ref="F773:F780" si="92">D773*E773</f>
        <v>1250000</v>
      </c>
      <c r="G773" s="2422">
        <v>1250000</v>
      </c>
      <c r="H773" s="2422" t="s">
        <v>4554</v>
      </c>
      <c r="I773" s="2422" t="s">
        <v>4132</v>
      </c>
      <c r="J773" s="2422">
        <f t="shared" si="91"/>
        <v>1250000</v>
      </c>
      <c r="K773" s="2420">
        <f>F773-J773</f>
        <v>0</v>
      </c>
      <c r="L773" s="2490" t="s">
        <v>3592</v>
      </c>
      <c r="M773" s="430"/>
      <c r="N773" s="430"/>
      <c r="O773" s="430"/>
      <c r="P773" s="430"/>
      <c r="Q773" s="430"/>
    </row>
    <row r="774" spans="1:17" s="196" customFormat="1" ht="30" customHeight="1" x14ac:dyDescent="0.2">
      <c r="A774" s="2465"/>
      <c r="B774" s="3" t="s">
        <v>3595</v>
      </c>
      <c r="C774" s="2467"/>
      <c r="D774" s="2450">
        <v>600000000</v>
      </c>
      <c r="E774" s="44">
        <v>0.06</v>
      </c>
      <c r="F774" s="2450">
        <f t="shared" si="92"/>
        <v>36000000</v>
      </c>
      <c r="G774" s="2450"/>
      <c r="H774" s="2450"/>
      <c r="I774" s="2450" t="s">
        <v>1473</v>
      </c>
      <c r="J774" s="2450">
        <f t="shared" si="91"/>
        <v>0</v>
      </c>
      <c r="K774" s="1083">
        <f>F774-J774</f>
        <v>36000000</v>
      </c>
      <c r="L774" s="2490"/>
      <c r="M774" s="429"/>
      <c r="N774" s="429"/>
      <c r="O774" s="429"/>
      <c r="P774" s="429"/>
      <c r="Q774" s="429"/>
    </row>
    <row r="775" spans="1:17" s="196" customFormat="1" ht="30" customHeight="1" x14ac:dyDescent="0.2">
      <c r="A775" s="3450"/>
      <c r="B775" s="3939" t="s">
        <v>3596</v>
      </c>
      <c r="C775" s="3949"/>
      <c r="D775" s="3042">
        <v>140000000</v>
      </c>
      <c r="E775" s="3043">
        <v>0.04</v>
      </c>
      <c r="F775" s="3042">
        <f t="shared" si="92"/>
        <v>5600000</v>
      </c>
      <c r="G775" s="3964">
        <v>7600000</v>
      </c>
      <c r="H775" s="3964" t="s">
        <v>4554</v>
      </c>
      <c r="I775" s="3964" t="s">
        <v>4218</v>
      </c>
      <c r="J775" s="3964">
        <f t="shared" si="91"/>
        <v>7600000</v>
      </c>
      <c r="K775" s="3986">
        <f>(F775+F776)-J775</f>
        <v>1200000</v>
      </c>
      <c r="L775" s="2478" t="s">
        <v>4217</v>
      </c>
      <c r="M775" s="429"/>
      <c r="N775" s="429"/>
      <c r="O775" s="429"/>
      <c r="P775" s="429"/>
      <c r="Q775" s="429"/>
    </row>
    <row r="776" spans="1:17" s="196" customFormat="1" ht="30" customHeight="1" x14ac:dyDescent="0.2">
      <c r="A776" s="3451"/>
      <c r="B776" s="3940"/>
      <c r="C776" s="3950"/>
      <c r="D776" s="3042">
        <v>80000000</v>
      </c>
      <c r="E776" s="3043">
        <v>0.04</v>
      </c>
      <c r="F776" s="3042">
        <f t="shared" si="92"/>
        <v>3200000</v>
      </c>
      <c r="G776" s="3966"/>
      <c r="H776" s="3966"/>
      <c r="I776" s="3966"/>
      <c r="J776" s="3966"/>
      <c r="K776" s="3987"/>
      <c r="L776" s="2478" t="s">
        <v>4569</v>
      </c>
      <c r="M776" s="429"/>
      <c r="N776" s="429"/>
      <c r="O776" s="429"/>
      <c r="P776" s="429"/>
      <c r="Q776" s="429"/>
    </row>
    <row r="777" spans="1:17" s="196" customFormat="1" ht="30" customHeight="1" x14ac:dyDescent="0.2">
      <c r="A777" s="2465"/>
      <c r="B777" s="3" t="s">
        <v>3616</v>
      </c>
      <c r="C777" s="2467" t="s">
        <v>380</v>
      </c>
      <c r="D777" s="2422">
        <v>85000000</v>
      </c>
      <c r="E777" s="2463">
        <v>7.0000000000000007E-2</v>
      </c>
      <c r="F777" s="2422">
        <f t="shared" si="92"/>
        <v>5950000.0000000009</v>
      </c>
      <c r="G777" s="2422">
        <v>5950000</v>
      </c>
      <c r="H777" s="2422" t="s">
        <v>4591</v>
      </c>
      <c r="I777" s="2422" t="s">
        <v>4603</v>
      </c>
      <c r="J777" s="2422">
        <f>G777</f>
        <v>5950000</v>
      </c>
      <c r="K777" s="2420">
        <f>F777-J777</f>
        <v>0</v>
      </c>
      <c r="L777" s="2490"/>
      <c r="M777" s="429"/>
      <c r="N777" s="429"/>
      <c r="O777" s="429"/>
      <c r="P777" s="429"/>
      <c r="Q777" s="429"/>
    </row>
    <row r="778" spans="1:17" s="196" customFormat="1" ht="30" customHeight="1" x14ac:dyDescent="0.2">
      <c r="A778" s="2465"/>
      <c r="B778" s="3" t="s">
        <v>3618</v>
      </c>
      <c r="C778" s="2467" t="s">
        <v>3619</v>
      </c>
      <c r="D778" s="2422">
        <v>70000000</v>
      </c>
      <c r="E778" s="2463">
        <v>0.05</v>
      </c>
      <c r="F778" s="2422">
        <f t="shared" si="92"/>
        <v>3500000</v>
      </c>
      <c r="G778" s="2422">
        <v>3500000</v>
      </c>
      <c r="H778" s="2422" t="s">
        <v>4579</v>
      </c>
      <c r="I778" s="2422" t="s">
        <v>4581</v>
      </c>
      <c r="J778" s="2422">
        <f>G778</f>
        <v>3500000</v>
      </c>
      <c r="K778" s="2420">
        <f>F778-J778</f>
        <v>0</v>
      </c>
      <c r="L778" s="2490" t="s">
        <v>3620</v>
      </c>
      <c r="M778" s="429"/>
      <c r="N778" s="429"/>
      <c r="O778" s="429"/>
      <c r="P778" s="429"/>
      <c r="Q778" s="429"/>
    </row>
    <row r="779" spans="1:17" s="196" customFormat="1" ht="30" customHeight="1" x14ac:dyDescent="0.2">
      <c r="A779" s="2465"/>
      <c r="B779" s="3" t="s">
        <v>4119</v>
      </c>
      <c r="C779" s="2467" t="s">
        <v>916</v>
      </c>
      <c r="D779" s="2422">
        <v>20000000</v>
      </c>
      <c r="E779" s="2463">
        <v>0.05</v>
      </c>
      <c r="F779" s="2422">
        <f t="shared" si="92"/>
        <v>1000000</v>
      </c>
      <c r="G779" s="2422"/>
      <c r="H779" s="2422"/>
      <c r="I779" s="2422" t="s">
        <v>4120</v>
      </c>
      <c r="J779" s="2422">
        <f>G779</f>
        <v>0</v>
      </c>
      <c r="K779" s="2420">
        <f>F779-J779</f>
        <v>1000000</v>
      </c>
      <c r="L779" s="2490" t="s">
        <v>4121</v>
      </c>
      <c r="M779" s="429"/>
      <c r="N779" s="429"/>
      <c r="O779" s="429"/>
      <c r="P779" s="429"/>
      <c r="Q779" s="429"/>
    </row>
    <row r="780" spans="1:17" s="196" customFormat="1" ht="30" customHeight="1" x14ac:dyDescent="0.2">
      <c r="A780" s="2465"/>
      <c r="B780" s="3" t="s">
        <v>3087</v>
      </c>
      <c r="C780" s="2467" t="s">
        <v>411</v>
      </c>
      <c r="D780" s="2422">
        <v>150000000</v>
      </c>
      <c r="E780" s="2463">
        <v>0.06</v>
      </c>
      <c r="F780" s="2422">
        <f t="shared" si="92"/>
        <v>9000000</v>
      </c>
      <c r="G780" s="2422">
        <v>9000000</v>
      </c>
      <c r="H780" s="2422" t="s">
        <v>1236</v>
      </c>
      <c r="I780" s="2422" t="s">
        <v>4103</v>
      </c>
      <c r="J780" s="2422">
        <f>G780</f>
        <v>9000000</v>
      </c>
      <c r="K780" s="2422">
        <f>F780-J780</f>
        <v>0</v>
      </c>
      <c r="L780" s="2490"/>
      <c r="M780" s="429"/>
      <c r="N780" s="429"/>
      <c r="O780" s="429"/>
      <c r="P780" s="429"/>
      <c r="Q780" s="429"/>
    </row>
    <row r="781" spans="1:17" s="196" customFormat="1" ht="30" customHeight="1" x14ac:dyDescent="0.2">
      <c r="A781" s="2423"/>
      <c r="B781" s="2446" t="s">
        <v>3667</v>
      </c>
      <c r="C781" s="2479"/>
      <c r="D781" s="2439"/>
      <c r="E781" s="2442"/>
      <c r="F781" s="2439"/>
      <c r="G781" s="2439"/>
      <c r="H781" s="2439"/>
      <c r="I781" s="2439" t="s">
        <v>3669</v>
      </c>
      <c r="J781" s="2439">
        <f>G781</f>
        <v>0</v>
      </c>
      <c r="K781" s="2433"/>
      <c r="L781" s="2477"/>
      <c r="M781" s="429"/>
      <c r="N781" s="429"/>
      <c r="O781" s="429"/>
      <c r="P781" s="429"/>
      <c r="Q781" s="429"/>
    </row>
    <row r="782" spans="1:17" s="9" customFormat="1" ht="30" customHeight="1" x14ac:dyDescent="0.2">
      <c r="A782" s="2484"/>
      <c r="B782" s="2466" t="s">
        <v>156</v>
      </c>
      <c r="C782" s="2467"/>
      <c r="D782" s="2422">
        <v>10000000</v>
      </c>
      <c r="E782" s="2463">
        <v>0.05</v>
      </c>
      <c r="F782" s="2422">
        <f>D782*E782</f>
        <v>500000</v>
      </c>
      <c r="G782" s="2422"/>
      <c r="H782" s="2422"/>
      <c r="I782" s="2422"/>
      <c r="J782" s="2422"/>
      <c r="K782" s="2422"/>
      <c r="L782" s="2490" t="s">
        <v>3682</v>
      </c>
      <c r="M782" s="430"/>
      <c r="N782" s="430"/>
      <c r="O782" s="430"/>
      <c r="P782" s="430"/>
      <c r="Q782" s="430"/>
    </row>
    <row r="783" spans="1:17" s="1713" customFormat="1" ht="30" customHeight="1" x14ac:dyDescent="0.2">
      <c r="A783" s="2484"/>
      <c r="B783" s="2466" t="s">
        <v>3691</v>
      </c>
      <c r="C783" s="2445" t="s">
        <v>380</v>
      </c>
      <c r="D783" s="2422">
        <v>10000000</v>
      </c>
      <c r="E783" s="2463">
        <v>0.05</v>
      </c>
      <c r="F783" s="2422">
        <f>D783*E783</f>
        <v>500000</v>
      </c>
      <c r="G783" s="2434">
        <v>500000</v>
      </c>
      <c r="H783" s="2434" t="s">
        <v>4604</v>
      </c>
      <c r="I783" s="2451" t="s">
        <v>3692</v>
      </c>
      <c r="J783" s="2434">
        <f>G783</f>
        <v>500000</v>
      </c>
      <c r="K783" s="2434">
        <f>F783-J783</f>
        <v>0</v>
      </c>
      <c r="L783" s="2478"/>
      <c r="M783" s="429"/>
      <c r="N783" s="429"/>
      <c r="O783" s="429"/>
      <c r="P783" s="429"/>
      <c r="Q783" s="429"/>
    </row>
    <row r="784" spans="1:17" s="1713" customFormat="1" ht="30" customHeight="1" x14ac:dyDescent="0.2">
      <c r="A784" s="2853"/>
      <c r="B784" s="2859" t="s">
        <v>4597</v>
      </c>
      <c r="C784" s="2851" t="s">
        <v>4366</v>
      </c>
      <c r="D784" s="2846">
        <v>100000000</v>
      </c>
      <c r="E784" s="2846">
        <v>0.05</v>
      </c>
      <c r="F784" s="2846">
        <f>D784*E784</f>
        <v>5000000</v>
      </c>
      <c r="G784" s="2846"/>
      <c r="H784" s="2846"/>
      <c r="I784" s="2846" t="s">
        <v>2922</v>
      </c>
      <c r="J784" s="2848">
        <f>G784</f>
        <v>0</v>
      </c>
      <c r="K784" s="2848">
        <f>F784-J784</f>
        <v>5000000</v>
      </c>
      <c r="L784" s="897"/>
      <c r="M784" s="429"/>
      <c r="N784" s="429"/>
      <c r="O784" s="429"/>
      <c r="P784" s="429"/>
      <c r="Q784" s="429"/>
    </row>
    <row r="785" spans="1:17" s="1713" customFormat="1" ht="30" customHeight="1" x14ac:dyDescent="0.2">
      <c r="A785" s="2484"/>
      <c r="B785" s="2466" t="s">
        <v>3704</v>
      </c>
      <c r="C785" s="2467"/>
      <c r="D785" s="2422">
        <v>6000000</v>
      </c>
      <c r="E785" s="2463">
        <f>F785/D785</f>
        <v>0.05</v>
      </c>
      <c r="F785" s="2422">
        <v>300000</v>
      </c>
      <c r="G785" s="2422"/>
      <c r="H785" s="2422"/>
      <c r="I785" s="2422" t="s">
        <v>3705</v>
      </c>
      <c r="J785" s="2422">
        <f>G785</f>
        <v>0</v>
      </c>
      <c r="K785" s="2422">
        <f>F785-J785</f>
        <v>300000</v>
      </c>
      <c r="L785" s="1714" t="s">
        <v>3706</v>
      </c>
      <c r="M785" s="429"/>
      <c r="N785" s="429"/>
      <c r="O785" s="429"/>
      <c r="P785" s="429"/>
      <c r="Q785" s="429"/>
    </row>
    <row r="786" spans="1:17" s="1713" customFormat="1" ht="30" customHeight="1" x14ac:dyDescent="0.2">
      <c r="A786" s="3525"/>
      <c r="B786" s="3457" t="s">
        <v>3728</v>
      </c>
      <c r="C786" s="3570" t="s">
        <v>2408</v>
      </c>
      <c r="D786" s="3442">
        <v>870000000</v>
      </c>
      <c r="E786" s="3444">
        <v>7.0999999999999994E-2</v>
      </c>
      <c r="F786" s="3442">
        <v>62000000</v>
      </c>
      <c r="G786" s="2422">
        <v>50000000</v>
      </c>
      <c r="H786" s="2942" t="s">
        <v>4630</v>
      </c>
      <c r="I786" s="2942" t="s">
        <v>3577</v>
      </c>
      <c r="J786" s="3442">
        <f>G786+G787</f>
        <v>62000000</v>
      </c>
      <c r="K786" s="3442">
        <f>F786-J786</f>
        <v>0</v>
      </c>
      <c r="L786" s="2478"/>
      <c r="M786" s="429"/>
      <c r="N786" s="429"/>
      <c r="O786" s="429"/>
      <c r="P786" s="429"/>
      <c r="Q786" s="429"/>
    </row>
    <row r="787" spans="1:17" s="1713" customFormat="1" ht="30" customHeight="1" x14ac:dyDescent="0.2">
      <c r="A787" s="3643"/>
      <c r="B787" s="3459"/>
      <c r="C787" s="3576"/>
      <c r="D787" s="3461"/>
      <c r="E787" s="3474"/>
      <c r="F787" s="3461"/>
      <c r="G787" s="2902">
        <v>12000000</v>
      </c>
      <c r="H787" s="2902" t="s">
        <v>4630</v>
      </c>
      <c r="I787" s="2900" t="s">
        <v>3577</v>
      </c>
      <c r="J787" s="3443"/>
      <c r="K787" s="3443"/>
      <c r="L787" s="2912"/>
      <c r="M787" s="429"/>
      <c r="N787" s="429"/>
      <c r="O787" s="429"/>
      <c r="P787" s="429"/>
      <c r="Q787" s="429"/>
    </row>
    <row r="788" spans="1:17" s="1713" customFormat="1" ht="30" customHeight="1" x14ac:dyDescent="0.2">
      <c r="A788" s="3643"/>
      <c r="B788" s="3459"/>
      <c r="C788" s="3576"/>
      <c r="D788" s="2822">
        <v>150000000</v>
      </c>
      <c r="E788" s="2820">
        <v>7.0999999999999994E-2</v>
      </c>
      <c r="F788" s="2819">
        <f>D788*E788</f>
        <v>10649999.999999998</v>
      </c>
      <c r="G788" s="2822"/>
      <c r="H788" s="2822"/>
      <c r="I788" s="2822"/>
      <c r="J788" s="2822"/>
      <c r="K788" s="2822"/>
      <c r="L788" s="2827" t="s">
        <v>4572</v>
      </c>
      <c r="M788" s="429"/>
      <c r="N788" s="429"/>
      <c r="O788" s="429"/>
      <c r="P788" s="429"/>
      <c r="Q788" s="429"/>
    </row>
    <row r="789" spans="1:17" s="1713" customFormat="1" ht="30" customHeight="1" x14ac:dyDescent="0.2">
      <c r="A789" s="3526"/>
      <c r="B789" s="3458"/>
      <c r="C789" s="3571"/>
      <c r="D789" s="2399">
        <f>D786+D788+1000000</f>
        <v>1021000000</v>
      </c>
      <c r="E789" s="2400">
        <v>7.0999999999999994E-2</v>
      </c>
      <c r="F789" s="1913">
        <v>72500000</v>
      </c>
      <c r="G789" s="2822"/>
      <c r="H789" s="2822"/>
      <c r="I789" s="2822"/>
      <c r="J789" s="2822"/>
      <c r="K789" s="2822"/>
      <c r="L789" s="2827" t="s">
        <v>4570</v>
      </c>
      <c r="M789" s="429"/>
      <c r="N789" s="429"/>
      <c r="O789" s="429"/>
      <c r="P789" s="429"/>
      <c r="Q789" s="429"/>
    </row>
    <row r="790" spans="1:17" s="1713" customFormat="1" ht="30" customHeight="1" x14ac:dyDescent="0.2">
      <c r="A790" s="3525"/>
      <c r="B790" s="3457" t="s">
        <v>3735</v>
      </c>
      <c r="C790" s="3570" t="s">
        <v>916</v>
      </c>
      <c r="D790" s="3442">
        <v>200000000</v>
      </c>
      <c r="E790" s="3444">
        <v>0.05</v>
      </c>
      <c r="F790" s="3442">
        <f>D790*E790</f>
        <v>10000000</v>
      </c>
      <c r="G790" s="3442">
        <v>10000000</v>
      </c>
      <c r="H790" s="3442" t="s">
        <v>4512</v>
      </c>
      <c r="I790" s="3442" t="s">
        <v>3736</v>
      </c>
      <c r="J790" s="3442">
        <f>G790</f>
        <v>10000000</v>
      </c>
      <c r="K790" s="3442">
        <f>F790-J790</f>
        <v>0</v>
      </c>
      <c r="L790" s="2478"/>
      <c r="M790" s="429"/>
      <c r="N790" s="429"/>
      <c r="O790" s="429"/>
      <c r="P790" s="429"/>
      <c r="Q790" s="429"/>
    </row>
    <row r="791" spans="1:17" s="1713" customFormat="1" ht="30" customHeight="1" x14ac:dyDescent="0.2">
      <c r="A791" s="3526"/>
      <c r="B791" s="3458"/>
      <c r="C791" s="3571"/>
      <c r="D791" s="3443"/>
      <c r="E791" s="3445"/>
      <c r="F791" s="3443"/>
      <c r="G791" s="3443"/>
      <c r="H791" s="3443"/>
      <c r="I791" s="3443"/>
      <c r="J791" s="3443"/>
      <c r="K791" s="3443"/>
      <c r="L791" s="2478"/>
      <c r="M791" s="429"/>
      <c r="N791" s="429"/>
      <c r="O791" s="429"/>
      <c r="P791" s="429"/>
      <c r="Q791" s="429"/>
    </row>
    <row r="792" spans="1:17" s="1713" customFormat="1" ht="30" customHeight="1" x14ac:dyDescent="0.2">
      <c r="A792" s="2484"/>
      <c r="B792" s="2466" t="s">
        <v>3750</v>
      </c>
      <c r="C792" s="2467" t="s">
        <v>2408</v>
      </c>
      <c r="D792" s="2422">
        <v>100000000</v>
      </c>
      <c r="E792" s="2463">
        <v>0.05</v>
      </c>
      <c r="F792" s="2422">
        <f t="shared" ref="F792:F798" si="93">D792*E792</f>
        <v>5000000</v>
      </c>
      <c r="G792" s="2422">
        <v>5000000</v>
      </c>
      <c r="H792" s="2422" t="s">
        <v>1047</v>
      </c>
      <c r="I792" s="2422" t="s">
        <v>4267</v>
      </c>
      <c r="J792" s="2422">
        <f>G792</f>
        <v>5000000</v>
      </c>
      <c r="K792" s="2422">
        <f>F792-J792</f>
        <v>0</v>
      </c>
      <c r="L792" s="2478"/>
      <c r="M792" s="429"/>
      <c r="N792" s="429"/>
      <c r="O792" s="429"/>
      <c r="P792" s="429"/>
      <c r="Q792" s="429"/>
    </row>
    <row r="793" spans="1:17" s="1713" customFormat="1" ht="30" customHeight="1" x14ac:dyDescent="0.2">
      <c r="A793" s="3525"/>
      <c r="B793" s="3457" t="s">
        <v>4196</v>
      </c>
      <c r="C793" s="3570" t="s">
        <v>2408</v>
      </c>
      <c r="D793" s="2422">
        <v>130000000</v>
      </c>
      <c r="E793" s="2463">
        <v>0.05</v>
      </c>
      <c r="F793" s="2422">
        <f t="shared" si="93"/>
        <v>6500000</v>
      </c>
      <c r="G793" s="2422">
        <v>6500000</v>
      </c>
      <c r="H793" s="2422" t="s">
        <v>2604</v>
      </c>
      <c r="I793" s="2422" t="s">
        <v>3914</v>
      </c>
      <c r="J793" s="2422">
        <f>G793</f>
        <v>6500000</v>
      </c>
      <c r="K793" s="2422">
        <f>F793-J793</f>
        <v>0</v>
      </c>
      <c r="L793" s="2478" t="s">
        <v>4676</v>
      </c>
      <c r="M793" s="429"/>
      <c r="N793" s="429"/>
      <c r="O793" s="429"/>
      <c r="P793" s="429"/>
      <c r="Q793" s="429"/>
    </row>
    <row r="794" spans="1:17" s="1713" customFormat="1" ht="30" customHeight="1" x14ac:dyDescent="0.2">
      <c r="A794" s="3643"/>
      <c r="B794" s="3459"/>
      <c r="C794" s="3576"/>
      <c r="D794" s="2918">
        <v>70000000</v>
      </c>
      <c r="E794" s="2924">
        <v>0.05</v>
      </c>
      <c r="F794" s="2918">
        <f t="shared" si="93"/>
        <v>3500000</v>
      </c>
      <c r="G794" s="3325" t="s">
        <v>4859</v>
      </c>
      <c r="H794" s="3340"/>
      <c r="I794" s="3340"/>
      <c r="J794" s="3340"/>
      <c r="K794" s="3341"/>
      <c r="L794" s="2923" t="s">
        <v>4675</v>
      </c>
      <c r="M794" s="429"/>
      <c r="N794" s="429"/>
      <c r="O794" s="429"/>
      <c r="P794" s="429"/>
      <c r="Q794" s="429"/>
    </row>
    <row r="795" spans="1:17" s="1713" customFormat="1" ht="30" customHeight="1" x14ac:dyDescent="0.2">
      <c r="A795" s="3526"/>
      <c r="B795" s="3458"/>
      <c r="C795" s="3571"/>
      <c r="D795" s="1913">
        <v>200000000</v>
      </c>
      <c r="E795" s="949">
        <v>0.05</v>
      </c>
      <c r="F795" s="1913">
        <f t="shared" si="93"/>
        <v>10000000</v>
      </c>
      <c r="G795" s="2918"/>
      <c r="H795" s="2918"/>
      <c r="I795" s="2918"/>
      <c r="J795" s="2920"/>
      <c r="K795" s="2920"/>
      <c r="L795" s="2923" t="s">
        <v>2819</v>
      </c>
      <c r="M795" s="429"/>
      <c r="N795" s="429"/>
      <c r="O795" s="429"/>
      <c r="P795" s="429"/>
      <c r="Q795" s="429"/>
    </row>
    <row r="796" spans="1:17" s="1713" customFormat="1" ht="30" customHeight="1" x14ac:dyDescent="0.2">
      <c r="A796" s="3525"/>
      <c r="B796" s="3457" t="s">
        <v>3812</v>
      </c>
      <c r="C796" s="3570"/>
      <c r="D796" s="2422">
        <v>1140000000</v>
      </c>
      <c r="E796" s="2463">
        <v>7.0000000000000007E-2</v>
      </c>
      <c r="F796" s="2422">
        <f t="shared" si="93"/>
        <v>79800000.000000015</v>
      </c>
      <c r="G796" s="2422"/>
      <c r="H796" s="2422"/>
      <c r="I796" s="2422" t="s">
        <v>1706</v>
      </c>
      <c r="J796" s="3442">
        <f>G796+G797</f>
        <v>0</v>
      </c>
      <c r="K796" s="3442">
        <f>F797-J796</f>
        <v>91000000.000000015</v>
      </c>
      <c r="L796" s="2478" t="s">
        <v>4058</v>
      </c>
      <c r="M796" s="429"/>
      <c r="N796" s="429"/>
      <c r="O796" s="429"/>
      <c r="P796" s="429"/>
      <c r="Q796" s="429"/>
    </row>
    <row r="797" spans="1:17" s="1713" customFormat="1" ht="30" customHeight="1" x14ac:dyDescent="0.2">
      <c r="A797" s="3526"/>
      <c r="B797" s="3458"/>
      <c r="C797" s="3571"/>
      <c r="D797" s="1913">
        <v>1300000000</v>
      </c>
      <c r="E797" s="949">
        <v>7.0000000000000007E-2</v>
      </c>
      <c r="F797" s="1913">
        <f t="shared" si="93"/>
        <v>91000000.000000015</v>
      </c>
      <c r="G797" s="2422"/>
      <c r="H797" s="2422"/>
      <c r="I797" s="2422" t="s">
        <v>1706</v>
      </c>
      <c r="J797" s="3443"/>
      <c r="K797" s="3443"/>
      <c r="L797" s="2478" t="s">
        <v>3847</v>
      </c>
      <c r="M797" s="429"/>
      <c r="N797" s="429"/>
      <c r="O797" s="429"/>
      <c r="P797" s="429"/>
      <c r="Q797" s="429"/>
    </row>
    <row r="798" spans="1:17" s="1713" customFormat="1" ht="30" customHeight="1" x14ac:dyDescent="0.2">
      <c r="A798" s="2484"/>
      <c r="B798" s="2466" t="s">
        <v>3845</v>
      </c>
      <c r="C798" s="2467" t="s">
        <v>3526</v>
      </c>
      <c r="D798" s="2422">
        <v>10000000</v>
      </c>
      <c r="E798" s="2463">
        <v>0.05</v>
      </c>
      <c r="F798" s="2422">
        <f t="shared" si="93"/>
        <v>500000</v>
      </c>
      <c r="G798" s="2422">
        <v>500000</v>
      </c>
      <c r="H798" s="2422" t="s">
        <v>2251</v>
      </c>
      <c r="I798" s="2422" t="s">
        <v>4296</v>
      </c>
      <c r="J798" s="2422">
        <f>G798</f>
        <v>500000</v>
      </c>
      <c r="K798" s="2422">
        <f>F798-J798</f>
        <v>0</v>
      </c>
      <c r="L798" s="2478"/>
      <c r="M798" s="429"/>
      <c r="N798" s="429"/>
      <c r="O798" s="429"/>
      <c r="P798" s="429"/>
      <c r="Q798" s="429"/>
    </row>
    <row r="799" spans="1:17" s="1713" customFormat="1" ht="30" customHeight="1" x14ac:dyDescent="0.2">
      <c r="A799" s="2484"/>
      <c r="B799" s="2466" t="s">
        <v>3848</v>
      </c>
      <c r="C799" s="2467" t="s">
        <v>1746</v>
      </c>
      <c r="D799" s="2422">
        <v>58000000</v>
      </c>
      <c r="E799" s="2463"/>
      <c r="F799" s="2422"/>
      <c r="G799" s="2422"/>
      <c r="H799" s="2422"/>
      <c r="I799" s="2422"/>
      <c r="J799" s="2422"/>
      <c r="K799" s="2422"/>
      <c r="L799" s="2478"/>
      <c r="M799" s="429"/>
      <c r="N799" s="429"/>
      <c r="O799" s="429"/>
      <c r="P799" s="429"/>
      <c r="Q799" s="429"/>
    </row>
    <row r="800" spans="1:17" s="1713" customFormat="1" ht="30" customHeight="1" x14ac:dyDescent="0.2">
      <c r="A800" s="2484"/>
      <c r="B800" s="2466" t="s">
        <v>3880</v>
      </c>
      <c r="C800" s="2467" t="s">
        <v>1355</v>
      </c>
      <c r="D800" s="2422">
        <v>100000000</v>
      </c>
      <c r="E800" s="2463">
        <v>0.05</v>
      </c>
      <c r="F800" s="2422">
        <f>D800*E800</f>
        <v>5000000</v>
      </c>
      <c r="G800" s="2422">
        <v>3870000</v>
      </c>
      <c r="H800" s="2422" t="s">
        <v>4630</v>
      </c>
      <c r="I800" s="2422" t="s">
        <v>4193</v>
      </c>
      <c r="J800" s="2422">
        <f>G800</f>
        <v>3870000</v>
      </c>
      <c r="K800" s="2422">
        <f>F800-J800</f>
        <v>1130000</v>
      </c>
      <c r="L800" s="2478" t="s">
        <v>4195</v>
      </c>
      <c r="M800" s="429"/>
      <c r="N800" s="429"/>
      <c r="O800" s="429"/>
      <c r="P800" s="429"/>
      <c r="Q800" s="429"/>
    </row>
    <row r="801" spans="1:17" s="1713" customFormat="1" ht="30" customHeight="1" x14ac:dyDescent="0.2">
      <c r="A801" s="2484"/>
      <c r="B801" s="2466" t="s">
        <v>3881</v>
      </c>
      <c r="C801" s="2866" t="s">
        <v>4602</v>
      </c>
      <c r="D801" s="2434">
        <v>96000000</v>
      </c>
      <c r="E801" s="2437">
        <v>0.05</v>
      </c>
      <c r="F801" s="2434">
        <v>5000000</v>
      </c>
      <c r="G801" s="2422">
        <v>3870000</v>
      </c>
      <c r="H801" s="2422" t="s">
        <v>4630</v>
      </c>
      <c r="I801" s="2422" t="s">
        <v>4194</v>
      </c>
      <c r="J801" s="2422">
        <f>G801</f>
        <v>3870000</v>
      </c>
      <c r="K801" s="2422">
        <f>F801-J801</f>
        <v>1130000</v>
      </c>
      <c r="L801" s="2478" t="s">
        <v>4195</v>
      </c>
      <c r="M801" s="429"/>
      <c r="N801" s="429"/>
      <c r="O801" s="429"/>
      <c r="P801" s="429"/>
      <c r="Q801" s="429"/>
    </row>
    <row r="802" spans="1:17" s="1713" customFormat="1" ht="30" customHeight="1" x14ac:dyDescent="0.2">
      <c r="A802" s="2484"/>
      <c r="B802" s="2466" t="s">
        <v>4007</v>
      </c>
      <c r="C802" s="2467" t="s">
        <v>3354</v>
      </c>
      <c r="D802" s="2434">
        <v>100000000</v>
      </c>
      <c r="E802" s="2437">
        <v>0.06</v>
      </c>
      <c r="F802" s="2434">
        <f>D802*E802</f>
        <v>6000000</v>
      </c>
      <c r="G802" s="2434"/>
      <c r="H802" s="2434"/>
      <c r="I802" s="2451"/>
      <c r="J802" s="2434"/>
      <c r="K802" s="2434"/>
      <c r="L802" s="2478" t="s">
        <v>4010</v>
      </c>
      <c r="M802" s="429"/>
      <c r="N802" s="429"/>
      <c r="O802" s="429"/>
      <c r="P802" s="429"/>
      <c r="Q802" s="429"/>
    </row>
    <row r="803" spans="1:17" s="1713" customFormat="1" ht="30" customHeight="1" x14ac:dyDescent="0.2">
      <c r="A803" s="2484"/>
      <c r="B803" s="2466" t="s">
        <v>4009</v>
      </c>
      <c r="C803" s="2467" t="s">
        <v>3526</v>
      </c>
      <c r="D803" s="2422">
        <v>50000000</v>
      </c>
      <c r="E803" s="2437">
        <v>0.05</v>
      </c>
      <c r="F803" s="2434">
        <f>D803*E803</f>
        <v>2500000</v>
      </c>
      <c r="G803" s="2434"/>
      <c r="H803" s="2434"/>
      <c r="I803" s="2451"/>
      <c r="J803" s="2434"/>
      <c r="K803" s="2434"/>
      <c r="L803" s="2478"/>
      <c r="M803" s="429"/>
      <c r="N803" s="429"/>
      <c r="O803" s="429"/>
      <c r="P803" s="429"/>
      <c r="Q803" s="429"/>
    </row>
    <row r="804" spans="1:17" s="1713" customFormat="1" ht="30" customHeight="1" x14ac:dyDescent="0.2">
      <c r="A804" s="2484"/>
      <c r="B804" s="2466" t="s">
        <v>4028</v>
      </c>
      <c r="C804" s="2467"/>
      <c r="D804" s="2450"/>
      <c r="E804" s="2450"/>
      <c r="F804" s="2450"/>
      <c r="G804" s="2434"/>
      <c r="H804" s="2434"/>
      <c r="I804" s="2451" t="s">
        <v>4029</v>
      </c>
      <c r="J804" s="2434">
        <f>G804</f>
        <v>0</v>
      </c>
      <c r="K804" s="2434">
        <f>F804-J804</f>
        <v>0</v>
      </c>
      <c r="L804" s="2478"/>
      <c r="M804" s="429"/>
      <c r="N804" s="429"/>
      <c r="O804" s="429"/>
      <c r="P804" s="429"/>
      <c r="Q804" s="429"/>
    </row>
    <row r="805" spans="1:17" s="1713" customFormat="1" ht="30" customHeight="1" x14ac:dyDescent="0.2">
      <c r="A805" s="3525"/>
      <c r="B805" s="3457" t="s">
        <v>4034</v>
      </c>
      <c r="C805" s="3570" t="s">
        <v>4247</v>
      </c>
      <c r="D805" s="2422">
        <v>120000000</v>
      </c>
      <c r="E805" s="2437">
        <v>0.05</v>
      </c>
      <c r="F805" s="2434">
        <f>D805*E805</f>
        <v>6000000</v>
      </c>
      <c r="G805" s="2552">
        <v>6000000</v>
      </c>
      <c r="H805" s="2552" t="s">
        <v>4458</v>
      </c>
      <c r="I805" s="2552" t="s">
        <v>4461</v>
      </c>
      <c r="J805" s="2552">
        <f>G805</f>
        <v>6000000</v>
      </c>
      <c r="K805" s="2434">
        <f>F805-J805</f>
        <v>0</v>
      </c>
      <c r="L805" s="2478" t="s">
        <v>4036</v>
      </c>
      <c r="M805" s="429"/>
      <c r="N805" s="429"/>
      <c r="O805" s="429"/>
      <c r="P805" s="429"/>
      <c r="Q805" s="429"/>
    </row>
    <row r="806" spans="1:17" s="1713" customFormat="1" ht="30" customHeight="1" x14ac:dyDescent="0.2">
      <c r="A806" s="3526"/>
      <c r="B806" s="3458"/>
      <c r="C806" s="3571"/>
      <c r="D806" s="2434">
        <v>30000000</v>
      </c>
      <c r="E806" s="2437">
        <v>7.0000000000000007E-2</v>
      </c>
      <c r="F806" s="2434">
        <f>D806*E806</f>
        <v>2100000</v>
      </c>
      <c r="G806" s="7"/>
      <c r="H806" s="7"/>
      <c r="I806" s="2150"/>
      <c r="J806" s="7"/>
      <c r="K806" s="2434"/>
      <c r="L806" s="2349" t="s">
        <v>4358</v>
      </c>
      <c r="M806" s="429"/>
      <c r="N806" s="429"/>
      <c r="O806" s="429"/>
      <c r="P806" s="429"/>
      <c r="Q806" s="429"/>
    </row>
    <row r="807" spans="1:17" s="1713" customFormat="1" ht="30" customHeight="1" x14ac:dyDescent="0.2">
      <c r="A807" s="2484"/>
      <c r="B807" s="117" t="s">
        <v>4070</v>
      </c>
      <c r="C807" s="2445"/>
      <c r="D807" s="2440"/>
      <c r="E807" s="2443"/>
      <c r="F807" s="2440"/>
      <c r="G807" s="2434"/>
      <c r="H807" s="2434"/>
      <c r="I807" s="2451" t="s">
        <v>4072</v>
      </c>
      <c r="J807" s="2434">
        <f>G807</f>
        <v>0</v>
      </c>
      <c r="K807" s="2434"/>
      <c r="L807" s="2478"/>
      <c r="M807" s="429"/>
      <c r="N807" s="429"/>
      <c r="O807" s="429"/>
      <c r="P807" s="429"/>
      <c r="Q807" s="429"/>
    </row>
    <row r="808" spans="1:17" s="1713" customFormat="1" ht="30" customHeight="1" x14ac:dyDescent="0.2">
      <c r="A808" s="2484"/>
      <c r="B808" s="117" t="s">
        <v>4074</v>
      </c>
      <c r="C808" s="2445"/>
      <c r="D808" s="2440"/>
      <c r="E808" s="2443"/>
      <c r="F808" s="2440"/>
      <c r="G808" s="2434"/>
      <c r="H808" s="2434"/>
      <c r="I808" s="2451" t="s">
        <v>4075</v>
      </c>
      <c r="J808" s="2434">
        <f>G808</f>
        <v>0</v>
      </c>
      <c r="K808" s="2434"/>
      <c r="L808" s="2478"/>
      <c r="M808" s="429"/>
      <c r="N808" s="429"/>
      <c r="O808" s="429"/>
      <c r="P808" s="429"/>
      <c r="Q808" s="429"/>
    </row>
    <row r="809" spans="1:17" s="1713" customFormat="1" ht="30" customHeight="1" x14ac:dyDescent="0.2">
      <c r="A809" s="2484"/>
      <c r="B809" s="2466" t="s">
        <v>4096</v>
      </c>
      <c r="C809" s="2445" t="s">
        <v>3526</v>
      </c>
      <c r="D809" s="2434">
        <v>50000000</v>
      </c>
      <c r="E809" s="2437">
        <v>0.05</v>
      </c>
      <c r="F809" s="2434">
        <f>D809*E809</f>
        <v>2500000</v>
      </c>
      <c r="G809" s="2434">
        <v>2500000</v>
      </c>
      <c r="H809" s="2434" t="s">
        <v>4756</v>
      </c>
      <c r="I809" s="2451" t="s">
        <v>4760</v>
      </c>
      <c r="J809" s="2434">
        <f>G809</f>
        <v>2500000</v>
      </c>
      <c r="K809" s="2434">
        <f>F809-J809</f>
        <v>0</v>
      </c>
      <c r="L809" s="2478"/>
      <c r="M809" s="429"/>
      <c r="N809" s="429"/>
      <c r="O809" s="429"/>
      <c r="P809" s="429"/>
      <c r="Q809" s="429"/>
    </row>
    <row r="810" spans="1:17" s="1713" customFormat="1" ht="30" customHeight="1" x14ac:dyDescent="0.2">
      <c r="A810" s="2484"/>
      <c r="B810" s="2466" t="s">
        <v>4101</v>
      </c>
      <c r="C810" s="2445"/>
      <c r="D810" s="2434">
        <f>25000000+10000000+10000000+250000+2500000+1500000+500000</f>
        <v>49750000</v>
      </c>
      <c r="E810" s="2437"/>
      <c r="F810" s="2434"/>
      <c r="G810" s="2434"/>
      <c r="H810" s="2434"/>
      <c r="I810" s="2451"/>
      <c r="J810" s="2434"/>
      <c r="K810" s="2434"/>
      <c r="L810" s="2478" t="s">
        <v>4102</v>
      </c>
      <c r="M810" s="429"/>
      <c r="N810" s="429"/>
      <c r="O810" s="429"/>
      <c r="P810" s="429"/>
      <c r="Q810" s="429"/>
    </row>
    <row r="811" spans="1:17" s="1713" customFormat="1" ht="30" customHeight="1" x14ac:dyDescent="0.2">
      <c r="A811" s="2484"/>
      <c r="B811" s="2466" t="s">
        <v>4104</v>
      </c>
      <c r="C811" s="2445" t="s">
        <v>1746</v>
      </c>
      <c r="D811" s="2434">
        <v>58000000</v>
      </c>
      <c r="E811" s="2437">
        <v>0.05</v>
      </c>
      <c r="F811" s="2434">
        <f>D811*E811</f>
        <v>2900000</v>
      </c>
      <c r="G811" s="2434">
        <v>2900000</v>
      </c>
      <c r="H811" s="2434" t="s">
        <v>4554</v>
      </c>
      <c r="I811" s="2451" t="s">
        <v>4559</v>
      </c>
      <c r="J811" s="2434">
        <f>G811</f>
        <v>2900000</v>
      </c>
      <c r="K811" s="2434">
        <f>F811-J811</f>
        <v>0</v>
      </c>
      <c r="L811" s="2478"/>
      <c r="M811" s="429"/>
      <c r="N811" s="429"/>
      <c r="O811" s="429"/>
      <c r="P811" s="429"/>
      <c r="Q811" s="429"/>
    </row>
    <row r="812" spans="1:17" s="1713" customFormat="1" ht="30" customHeight="1" x14ac:dyDescent="0.2">
      <c r="A812" s="2484"/>
      <c r="B812" s="2466" t="s">
        <v>925</v>
      </c>
      <c r="C812" s="2445"/>
      <c r="D812" s="2434">
        <v>130000000</v>
      </c>
      <c r="E812" s="2437">
        <v>0.05</v>
      </c>
      <c r="F812" s="2434">
        <f>D812*E812</f>
        <v>6500000</v>
      </c>
      <c r="G812" s="2434">
        <v>6500000</v>
      </c>
      <c r="H812" s="2434" t="s">
        <v>1236</v>
      </c>
      <c r="I812" s="2451" t="s">
        <v>4127</v>
      </c>
      <c r="J812" s="2434">
        <f>G812</f>
        <v>6500000</v>
      </c>
      <c r="K812" s="2434">
        <f>F812-J812</f>
        <v>0</v>
      </c>
      <c r="L812" s="2478"/>
      <c r="M812" s="429"/>
      <c r="N812" s="429"/>
      <c r="O812" s="429"/>
      <c r="P812" s="429"/>
      <c r="Q812" s="429"/>
    </row>
    <row r="813" spans="1:17" s="1713" customFormat="1" ht="30" customHeight="1" x14ac:dyDescent="0.2">
      <c r="A813" s="2484"/>
      <c r="B813" s="2466" t="s">
        <v>2435</v>
      </c>
      <c r="C813" s="2445"/>
      <c r="D813" s="2440"/>
      <c r="E813" s="2443"/>
      <c r="F813" s="2440"/>
      <c r="G813" s="2434"/>
      <c r="H813" s="2434"/>
      <c r="I813" s="2451" t="s">
        <v>4134</v>
      </c>
      <c r="J813" s="2434">
        <f>G813</f>
        <v>0</v>
      </c>
      <c r="K813" s="2434"/>
      <c r="L813" s="2478"/>
      <c r="M813" s="429"/>
      <c r="N813" s="429"/>
      <c r="O813" s="429"/>
      <c r="P813" s="429"/>
      <c r="Q813" s="429"/>
    </row>
    <row r="814" spans="1:17" s="1713" customFormat="1" ht="30" customHeight="1" x14ac:dyDescent="0.2">
      <c r="A814" s="2484"/>
      <c r="B814" s="2908" t="s">
        <v>4154</v>
      </c>
      <c r="C814" s="2905"/>
      <c r="D814" s="2903">
        <v>100000000</v>
      </c>
      <c r="E814" s="2904">
        <v>0.06</v>
      </c>
      <c r="F814" s="2903">
        <f>D814*E814</f>
        <v>6000000</v>
      </c>
      <c r="G814" s="247">
        <v>6000000</v>
      </c>
      <c r="H814" s="2900" t="s">
        <v>4630</v>
      </c>
      <c r="I814" s="2900" t="s">
        <v>4668</v>
      </c>
      <c r="J814" s="2900">
        <f>G814</f>
        <v>6000000</v>
      </c>
      <c r="K814" s="2903">
        <f>F814-J814</f>
        <v>0</v>
      </c>
      <c r="L814" s="2534" t="s">
        <v>4155</v>
      </c>
      <c r="M814" s="429"/>
      <c r="N814" s="429"/>
      <c r="O814" s="429"/>
      <c r="P814" s="429"/>
      <c r="Q814" s="429"/>
    </row>
    <row r="815" spans="1:17" s="1713" customFormat="1" ht="30" customHeight="1" x14ac:dyDescent="0.2">
      <c r="A815" s="2484"/>
      <c r="B815" s="2466" t="s">
        <v>4165</v>
      </c>
      <c r="C815" s="2445"/>
      <c r="D815" s="2434">
        <v>110000000</v>
      </c>
      <c r="E815" s="2437">
        <v>0.04</v>
      </c>
      <c r="F815" s="2434">
        <f>D815*E815</f>
        <v>4400000</v>
      </c>
      <c r="G815" s="2434">
        <v>4400000</v>
      </c>
      <c r="H815" s="2434" t="s">
        <v>4554</v>
      </c>
      <c r="I815" s="2451" t="s">
        <v>3605</v>
      </c>
      <c r="J815" s="2434">
        <f>G815</f>
        <v>4400000</v>
      </c>
      <c r="K815" s="2434">
        <f>F815-J815</f>
        <v>0</v>
      </c>
      <c r="L815" s="2478" t="s">
        <v>4166</v>
      </c>
      <c r="M815" s="429"/>
      <c r="N815" s="429"/>
      <c r="O815" s="429"/>
      <c r="P815" s="429"/>
      <c r="Q815" s="429"/>
    </row>
    <row r="816" spans="1:17" s="1713" customFormat="1" ht="30" customHeight="1" x14ac:dyDescent="0.2">
      <c r="A816" s="2484"/>
      <c r="B816" s="2466" t="s">
        <v>1543</v>
      </c>
      <c r="C816" s="2445"/>
      <c r="D816" s="2434">
        <v>50000000</v>
      </c>
      <c r="E816" s="2437">
        <v>0.05</v>
      </c>
      <c r="F816" s="2434">
        <f>D816*E816</f>
        <v>2500000</v>
      </c>
      <c r="G816" s="247"/>
      <c r="H816" s="247"/>
      <c r="I816" s="247"/>
      <c r="J816" s="247"/>
      <c r="K816" s="2434"/>
      <c r="L816" s="2478" t="s">
        <v>4173</v>
      </c>
      <c r="M816" s="429"/>
      <c r="N816" s="429"/>
      <c r="O816" s="429"/>
      <c r="P816" s="429"/>
      <c r="Q816" s="429"/>
    </row>
    <row r="817" spans="1:17" s="1713" customFormat="1" ht="30" customHeight="1" x14ac:dyDescent="0.2">
      <c r="A817" s="2524"/>
      <c r="B817" s="2531" t="s">
        <v>4178</v>
      </c>
      <c r="C817" s="2522"/>
      <c r="D817" s="2519">
        <v>21000000</v>
      </c>
      <c r="E817" s="3265"/>
      <c r="F817" s="2519"/>
      <c r="G817" s="2519"/>
      <c r="H817" s="2519"/>
      <c r="I817" s="2519"/>
      <c r="J817" s="2519"/>
      <c r="K817" s="2521"/>
      <c r="L817" s="2350" t="s">
        <v>4362</v>
      </c>
      <c r="M817" s="429"/>
      <c r="N817" s="429"/>
      <c r="O817" s="429"/>
      <c r="P817" s="429"/>
      <c r="Q817" s="429"/>
    </row>
    <row r="818" spans="1:17" s="1713" customFormat="1" ht="30" customHeight="1" x14ac:dyDescent="0.2">
      <c r="A818" s="3525"/>
      <c r="B818" s="3457" t="s">
        <v>4187</v>
      </c>
      <c r="C818" s="3079" t="s">
        <v>2778</v>
      </c>
      <c r="D818" s="2510">
        <v>47000000</v>
      </c>
      <c r="E818" s="3074">
        <v>0.05</v>
      </c>
      <c r="F818" s="2510">
        <f>D818*E818</f>
        <v>2350000</v>
      </c>
      <c r="G818" s="2510">
        <v>2350000</v>
      </c>
      <c r="H818" s="2510" t="s">
        <v>4512</v>
      </c>
      <c r="I818" s="2510" t="s">
        <v>4188</v>
      </c>
      <c r="J818" s="2510">
        <f t="shared" ref="J818:J823" si="94">G818</f>
        <v>2350000</v>
      </c>
      <c r="K818" s="2510">
        <f>F818-J818</f>
        <v>0</v>
      </c>
      <c r="L818" s="2536"/>
      <c r="M818" s="429"/>
      <c r="N818" s="429"/>
      <c r="O818" s="429"/>
      <c r="P818" s="429"/>
      <c r="Q818" s="429"/>
    </row>
    <row r="819" spans="1:17" s="1713" customFormat="1" ht="30" customHeight="1" x14ac:dyDescent="0.2">
      <c r="A819" s="3526"/>
      <c r="B819" s="3458"/>
      <c r="C819" s="3075" t="s">
        <v>1019</v>
      </c>
      <c r="D819" s="3076">
        <v>90000000</v>
      </c>
      <c r="E819" s="3074">
        <v>0.05</v>
      </c>
      <c r="F819" s="3077">
        <f>D819*E819</f>
        <v>4500000</v>
      </c>
      <c r="G819" s="3073">
        <v>4500000</v>
      </c>
      <c r="H819" s="3073" t="s">
        <v>4924</v>
      </c>
      <c r="I819" s="3076" t="s">
        <v>4929</v>
      </c>
      <c r="J819" s="3073">
        <f t="shared" si="94"/>
        <v>4500000</v>
      </c>
      <c r="K819" s="3073">
        <f>F819-J819</f>
        <v>0</v>
      </c>
      <c r="L819" s="3080"/>
      <c r="M819" s="429"/>
      <c r="N819" s="429"/>
      <c r="O819" s="429"/>
      <c r="P819" s="429"/>
      <c r="Q819" s="429"/>
    </row>
    <row r="820" spans="1:17" s="1713" customFormat="1" ht="30" customHeight="1" x14ac:dyDescent="0.2">
      <c r="A820" s="2484"/>
      <c r="B820" s="2513" t="s">
        <v>4221</v>
      </c>
      <c r="C820" s="2445" t="s">
        <v>1746</v>
      </c>
      <c r="D820" s="2451">
        <v>100000000</v>
      </c>
      <c r="E820" s="2516">
        <v>0.05</v>
      </c>
      <c r="F820" s="2452">
        <f>D820*E820</f>
        <v>5000000</v>
      </c>
      <c r="G820" s="2434"/>
      <c r="H820" s="2434"/>
      <c r="I820" s="2451" t="s">
        <v>4222</v>
      </c>
      <c r="J820" s="2434">
        <f t="shared" si="94"/>
        <v>0</v>
      </c>
      <c r="K820" s="2434">
        <f>F820-J820</f>
        <v>5000000</v>
      </c>
      <c r="L820" s="2478"/>
      <c r="M820" s="429"/>
      <c r="N820" s="429"/>
      <c r="O820" s="429"/>
      <c r="P820" s="429"/>
      <c r="Q820" s="429"/>
    </row>
    <row r="821" spans="1:17" s="1713" customFormat="1" ht="30" customHeight="1" x14ac:dyDescent="0.2">
      <c r="A821" s="2484"/>
      <c r="B821" s="2466" t="s">
        <v>4225</v>
      </c>
      <c r="C821" s="2445"/>
      <c r="D821" s="496"/>
      <c r="E821" s="2443"/>
      <c r="F821" s="643"/>
      <c r="G821" s="2434"/>
      <c r="H821" s="2434"/>
      <c r="I821" s="990">
        <v>5423044873</v>
      </c>
      <c r="J821" s="2434">
        <f t="shared" si="94"/>
        <v>0</v>
      </c>
      <c r="K821" s="2440"/>
      <c r="L821" s="2478"/>
      <c r="M821" s="429"/>
      <c r="N821" s="429"/>
      <c r="O821" s="429"/>
      <c r="P821" s="429"/>
      <c r="Q821" s="429"/>
    </row>
    <row r="822" spans="1:17" s="1713" customFormat="1" ht="30" customHeight="1" x14ac:dyDescent="0.2">
      <c r="A822" s="3525"/>
      <c r="B822" s="3457" t="s">
        <v>4242</v>
      </c>
      <c r="C822" s="3570" t="s">
        <v>1909</v>
      </c>
      <c r="D822" s="2451">
        <v>11000000</v>
      </c>
      <c r="E822" s="2437">
        <v>0.05</v>
      </c>
      <c r="F822" s="2452">
        <f>D822*E822</f>
        <v>550000</v>
      </c>
      <c r="G822" s="2434">
        <v>550000</v>
      </c>
      <c r="H822" s="2434" t="s">
        <v>4554</v>
      </c>
      <c r="I822" s="3266" t="s">
        <v>4934</v>
      </c>
      <c r="J822" s="2434">
        <f t="shared" si="94"/>
        <v>550000</v>
      </c>
      <c r="K822" s="2434">
        <f>F822-J822</f>
        <v>0</v>
      </c>
      <c r="L822" s="2478" t="s">
        <v>4936</v>
      </c>
      <c r="M822" s="429"/>
      <c r="N822" s="429"/>
      <c r="O822" s="429"/>
      <c r="P822" s="429"/>
      <c r="Q822" s="429"/>
    </row>
    <row r="823" spans="1:17" s="1713" customFormat="1" ht="30" customHeight="1" x14ac:dyDescent="0.2">
      <c r="A823" s="3526"/>
      <c r="B823" s="3458"/>
      <c r="C823" s="3571"/>
      <c r="D823" s="3266">
        <v>11000000</v>
      </c>
      <c r="E823" s="3262">
        <v>0.05</v>
      </c>
      <c r="F823" s="3267">
        <f>D823*E823</f>
        <v>550000</v>
      </c>
      <c r="G823" s="3261">
        <v>550000</v>
      </c>
      <c r="H823" s="3261" t="s">
        <v>4554</v>
      </c>
      <c r="I823" s="3266" t="s">
        <v>4934</v>
      </c>
      <c r="J823" s="3261">
        <f t="shared" si="94"/>
        <v>550000</v>
      </c>
      <c r="K823" s="3261">
        <f>F823-J823</f>
        <v>0</v>
      </c>
      <c r="L823" s="3269" t="s">
        <v>4935</v>
      </c>
      <c r="M823" s="429"/>
      <c r="N823" s="429"/>
      <c r="O823" s="429"/>
      <c r="P823" s="429"/>
      <c r="Q823" s="429"/>
    </row>
    <row r="824" spans="1:17" s="1713" customFormat="1" ht="30" customHeight="1" x14ac:dyDescent="0.2">
      <c r="A824" s="2484"/>
      <c r="B824" s="2466" t="s">
        <v>4256</v>
      </c>
      <c r="C824" s="2445" t="s">
        <v>1215</v>
      </c>
      <c r="D824" s="2451">
        <v>50000000</v>
      </c>
      <c r="E824" s="2437">
        <v>0.05</v>
      </c>
      <c r="F824" s="2452">
        <f>D824*E824</f>
        <v>2500000</v>
      </c>
      <c r="G824" s="2434"/>
      <c r="H824" s="2434"/>
      <c r="I824" s="2451"/>
      <c r="J824" s="2434"/>
      <c r="K824" s="2434"/>
      <c r="L824" s="2478"/>
      <c r="M824" s="429"/>
      <c r="N824" s="429"/>
      <c r="O824" s="429"/>
      <c r="P824" s="429"/>
      <c r="Q824" s="429"/>
    </row>
    <row r="825" spans="1:17" s="1713" customFormat="1" ht="30" customHeight="1" x14ac:dyDescent="0.2">
      <c r="A825" s="2484"/>
      <c r="B825" s="2466" t="s">
        <v>4257</v>
      </c>
      <c r="C825" s="2445"/>
      <c r="D825" s="2451">
        <v>5000000</v>
      </c>
      <c r="E825" s="2437"/>
      <c r="F825" s="2452"/>
      <c r="G825" s="2434"/>
      <c r="H825" s="2434"/>
      <c r="I825" s="2451"/>
      <c r="J825" s="2434"/>
      <c r="K825" s="2434"/>
      <c r="L825" s="2478"/>
      <c r="M825" s="429"/>
      <c r="N825" s="429"/>
      <c r="O825" s="429"/>
      <c r="P825" s="429"/>
      <c r="Q825" s="429"/>
    </row>
    <row r="826" spans="1:17" s="1713" customFormat="1" ht="30" customHeight="1" x14ac:dyDescent="0.2">
      <c r="A826" s="2484"/>
      <c r="B826" s="2466" t="s">
        <v>4258</v>
      </c>
      <c r="C826" s="2445" t="s">
        <v>1215</v>
      </c>
      <c r="D826" s="2451">
        <v>70000000</v>
      </c>
      <c r="E826" s="2437">
        <v>0.06</v>
      </c>
      <c r="F826" s="2452">
        <f>D826*E826</f>
        <v>4200000</v>
      </c>
      <c r="G826" s="2434"/>
      <c r="H826" s="2434"/>
      <c r="I826" s="2451"/>
      <c r="J826" s="2434"/>
      <c r="K826" s="2434"/>
      <c r="L826" s="2478"/>
      <c r="M826" s="429"/>
      <c r="N826" s="429"/>
      <c r="O826" s="429"/>
      <c r="P826" s="429"/>
      <c r="Q826" s="429"/>
    </row>
    <row r="827" spans="1:17" s="1713" customFormat="1" ht="30" customHeight="1" x14ac:dyDescent="0.2">
      <c r="A827" s="2484"/>
      <c r="B827" s="2466" t="s">
        <v>4273</v>
      </c>
      <c r="C827" s="2445"/>
      <c r="D827" s="2451">
        <v>45000000</v>
      </c>
      <c r="E827" s="2437">
        <v>0.05</v>
      </c>
      <c r="F827" s="2452">
        <f>D827*E827</f>
        <v>2250000</v>
      </c>
      <c r="G827" s="247"/>
      <c r="H827" s="247"/>
      <c r="I827" s="247"/>
      <c r="J827" s="247"/>
      <c r="K827" s="2434"/>
      <c r="L827" s="2534" t="s">
        <v>4274</v>
      </c>
      <c r="M827" s="429"/>
      <c r="N827" s="429"/>
      <c r="O827" s="429"/>
      <c r="P827" s="429"/>
      <c r="Q827" s="429"/>
    </row>
    <row r="828" spans="1:17" s="1713" customFormat="1" ht="30" customHeight="1" x14ac:dyDescent="0.2">
      <c r="A828" s="2484"/>
      <c r="B828" s="2466" t="s">
        <v>4385</v>
      </c>
      <c r="C828" s="2445"/>
      <c r="D828" s="2451">
        <v>60000000</v>
      </c>
      <c r="E828" s="2437">
        <v>0.05</v>
      </c>
      <c r="F828" s="2452">
        <f>D828*E828</f>
        <v>3000000</v>
      </c>
      <c r="G828" s="2434">
        <v>3000000</v>
      </c>
      <c r="H828" s="2434" t="s">
        <v>3138</v>
      </c>
      <c r="I828" s="2451" t="s">
        <v>4713</v>
      </c>
      <c r="J828" s="2434">
        <f>G828</f>
        <v>3000000</v>
      </c>
      <c r="K828" s="2434">
        <f>F828-J828</f>
        <v>0</v>
      </c>
      <c r="L828" s="2478" t="s">
        <v>4275</v>
      </c>
      <c r="M828" s="429"/>
      <c r="N828" s="429"/>
      <c r="O828" s="429"/>
      <c r="P828" s="429"/>
      <c r="Q828" s="429"/>
    </row>
    <row r="829" spans="1:17" s="1713" customFormat="1" ht="30" customHeight="1" x14ac:dyDescent="0.2">
      <c r="A829" s="2484"/>
      <c r="B829" s="2466" t="s">
        <v>4386</v>
      </c>
      <c r="C829" s="2445"/>
      <c r="D829" s="2451">
        <v>10000000</v>
      </c>
      <c r="E829" s="2437"/>
      <c r="F829" s="2452"/>
      <c r="G829" s="2434"/>
      <c r="H829" s="2434"/>
      <c r="I829" s="2451"/>
      <c r="J829" s="2434"/>
      <c r="K829" s="2434"/>
      <c r="L829" s="2478" t="s">
        <v>4387</v>
      </c>
      <c r="M829" s="429"/>
      <c r="N829" s="429"/>
      <c r="O829" s="429"/>
      <c r="P829" s="429"/>
      <c r="Q829" s="429"/>
    </row>
    <row r="830" spans="1:17" s="1713" customFormat="1" ht="30" customHeight="1" x14ac:dyDescent="0.2">
      <c r="A830" s="2484"/>
      <c r="B830" s="2466" t="s">
        <v>4281</v>
      </c>
      <c r="C830" s="2445"/>
      <c r="D830" s="2451">
        <v>10000000</v>
      </c>
      <c r="E830" s="2437"/>
      <c r="F830" s="2452"/>
      <c r="G830" s="2434"/>
      <c r="H830" s="2434"/>
      <c r="I830" s="2451"/>
      <c r="J830" s="2434"/>
      <c r="K830" s="2434"/>
      <c r="L830" s="3478" t="s">
        <v>4282</v>
      </c>
      <c r="M830" s="3479"/>
      <c r="N830" s="3479"/>
      <c r="O830" s="3480"/>
      <c r="P830" s="429"/>
      <c r="Q830" s="429"/>
    </row>
    <row r="831" spans="1:17" s="1713" customFormat="1" ht="30" customHeight="1" x14ac:dyDescent="0.2">
      <c r="A831" s="2484"/>
      <c r="B831" s="2466" t="s">
        <v>4284</v>
      </c>
      <c r="C831" s="2445"/>
      <c r="D831" s="2451">
        <v>200000000</v>
      </c>
      <c r="E831" s="2437">
        <v>7.0000000000000007E-2</v>
      </c>
      <c r="F831" s="2452">
        <f>D831*E831</f>
        <v>14000000.000000002</v>
      </c>
      <c r="G831" s="2451"/>
      <c r="H831" s="2437"/>
      <c r="I831" s="2452"/>
      <c r="J831" s="2451"/>
      <c r="K831" s="2437"/>
      <c r="L831" s="3478" t="s">
        <v>4285</v>
      </c>
      <c r="M831" s="3479"/>
      <c r="N831" s="3479"/>
      <c r="O831" s="3480"/>
      <c r="P831" s="429"/>
      <c r="Q831" s="429"/>
    </row>
    <row r="832" spans="1:17" s="1713" customFormat="1" ht="30" customHeight="1" x14ac:dyDescent="0.2">
      <c r="A832" s="2484"/>
      <c r="B832" s="117" t="s">
        <v>4297</v>
      </c>
      <c r="C832" s="2445"/>
      <c r="D832" s="496"/>
      <c r="E832" s="2443"/>
      <c r="F832" s="643"/>
      <c r="G832" s="2434"/>
      <c r="H832" s="2434"/>
      <c r="I832" s="2451" t="s">
        <v>4298</v>
      </c>
      <c r="J832" s="2434">
        <f>G832</f>
        <v>0</v>
      </c>
      <c r="K832" s="2434"/>
      <c r="L832" s="2478"/>
      <c r="M832" s="2492"/>
      <c r="N832" s="2492"/>
      <c r="O832" s="2492"/>
      <c r="P832" s="429"/>
      <c r="Q832" s="429"/>
    </row>
    <row r="833" spans="1:17" s="1713" customFormat="1" ht="30" customHeight="1" x14ac:dyDescent="0.2">
      <c r="A833" s="2484"/>
      <c r="B833" s="117" t="s">
        <v>4299</v>
      </c>
      <c r="C833" s="2445"/>
      <c r="D833" s="496"/>
      <c r="E833" s="2443"/>
      <c r="F833" s="643"/>
      <c r="G833" s="2434"/>
      <c r="H833" s="2434"/>
      <c r="I833" s="2451" t="s">
        <v>4300</v>
      </c>
      <c r="J833" s="2434">
        <f>G833</f>
        <v>0</v>
      </c>
      <c r="K833" s="2434"/>
      <c r="L833" s="2478"/>
      <c r="M833" s="2492"/>
      <c r="N833" s="2492"/>
      <c r="O833" s="2492"/>
      <c r="P833" s="429"/>
      <c r="Q833" s="429"/>
    </row>
    <row r="834" spans="1:17" s="1713" customFormat="1" ht="30" customHeight="1" x14ac:dyDescent="0.2">
      <c r="A834" s="2484"/>
      <c r="B834" s="117" t="s">
        <v>4302</v>
      </c>
      <c r="C834" s="2445"/>
      <c r="D834" s="496"/>
      <c r="E834" s="2443"/>
      <c r="F834" s="643"/>
      <c r="G834" s="2434"/>
      <c r="H834" s="2434"/>
      <c r="I834" s="2451" t="s">
        <v>4303</v>
      </c>
      <c r="J834" s="2434">
        <f>G834</f>
        <v>0</v>
      </c>
      <c r="K834" s="2434"/>
      <c r="L834" s="2478"/>
      <c r="M834" s="2492"/>
      <c r="N834" s="2492"/>
      <c r="O834" s="2492"/>
      <c r="P834" s="429"/>
      <c r="Q834" s="429"/>
    </row>
    <row r="835" spans="1:17" s="1713" customFormat="1" ht="30" customHeight="1" x14ac:dyDescent="0.2">
      <c r="A835" s="3525"/>
      <c r="B835" s="3457" t="s">
        <v>4304</v>
      </c>
      <c r="C835" s="3570" t="s">
        <v>401</v>
      </c>
      <c r="D835" s="3442">
        <v>70000000</v>
      </c>
      <c r="E835" s="3444">
        <v>0.05</v>
      </c>
      <c r="F835" s="3442">
        <f>D835*E835</f>
        <v>3500000</v>
      </c>
      <c r="G835" s="3806" t="s">
        <v>4836</v>
      </c>
      <c r="H835" s="3807"/>
      <c r="I835" s="3807"/>
      <c r="J835" s="3808"/>
      <c r="K835" s="3575"/>
      <c r="L835" s="2481" t="s">
        <v>4351</v>
      </c>
      <c r="M835" s="2492"/>
      <c r="N835" s="2492"/>
      <c r="O835" s="2492"/>
      <c r="P835" s="429"/>
      <c r="Q835" s="429"/>
    </row>
    <row r="836" spans="1:17" s="1713" customFormat="1" ht="30" customHeight="1" x14ac:dyDescent="0.2">
      <c r="A836" s="3643"/>
      <c r="B836" s="3459"/>
      <c r="C836" s="3576"/>
      <c r="D836" s="3443"/>
      <c r="E836" s="3445"/>
      <c r="F836" s="3443"/>
      <c r="G836" s="3809"/>
      <c r="H836" s="3810"/>
      <c r="I836" s="3810"/>
      <c r="J836" s="3811"/>
      <c r="K836" s="3575"/>
      <c r="L836" s="2478" t="s">
        <v>4352</v>
      </c>
      <c r="M836" s="2492"/>
      <c r="N836" s="2492"/>
      <c r="O836" s="2492"/>
      <c r="P836" s="429"/>
      <c r="Q836" s="429"/>
    </row>
    <row r="837" spans="1:17" s="1713" customFormat="1" ht="30" customHeight="1" x14ac:dyDescent="0.2">
      <c r="A837" s="3526"/>
      <c r="B837" s="3459"/>
      <c r="C837" s="3576"/>
      <c r="D837" s="2438">
        <v>10000000</v>
      </c>
      <c r="E837" s="2436">
        <v>0.05</v>
      </c>
      <c r="F837" s="2438">
        <f>D837*E837</f>
        <v>500000</v>
      </c>
      <c r="G837" s="3812"/>
      <c r="H837" s="3813"/>
      <c r="I837" s="3813"/>
      <c r="J837" s="3814"/>
      <c r="K837" s="3575"/>
      <c r="L837" s="2489" t="s">
        <v>4415</v>
      </c>
      <c r="M837" s="2492"/>
      <c r="N837" s="2492"/>
      <c r="O837" s="2492"/>
      <c r="P837" s="429"/>
      <c r="Q837" s="429"/>
    </row>
    <row r="838" spans="1:17" s="1713" customFormat="1" ht="30" customHeight="1" x14ac:dyDescent="0.2">
      <c r="A838" s="3156"/>
      <c r="B838" s="3459"/>
      <c r="C838" s="3576"/>
      <c r="D838" s="3149">
        <v>84000000</v>
      </c>
      <c r="E838" s="3158">
        <v>0.05</v>
      </c>
      <c r="F838" s="3149">
        <f>D838*E838</f>
        <v>4200000</v>
      </c>
      <c r="G838" s="3815" t="s">
        <v>4748</v>
      </c>
      <c r="H838" s="3815"/>
      <c r="I838" s="3815"/>
      <c r="J838" s="3815"/>
      <c r="K838" s="3153"/>
      <c r="L838" s="3167"/>
      <c r="M838" s="3169"/>
      <c r="N838" s="3169"/>
      <c r="O838" s="3169"/>
      <c r="P838" s="429"/>
      <c r="Q838" s="429"/>
    </row>
    <row r="839" spans="1:17" s="1713" customFormat="1" ht="30" customHeight="1" x14ac:dyDescent="0.2">
      <c r="A839" s="2807"/>
      <c r="B839" s="3458"/>
      <c r="C839" s="3571"/>
      <c r="D839" s="1913">
        <v>100000000</v>
      </c>
      <c r="E839" s="949">
        <v>0.06</v>
      </c>
      <c r="F839" s="1913">
        <f>D839*E839</f>
        <v>6000000</v>
      </c>
      <c r="G839" s="2792"/>
      <c r="H839" s="2792"/>
      <c r="I839" s="2804"/>
      <c r="J839" s="2794"/>
      <c r="K839" s="2794"/>
      <c r="L839" s="2815" t="s">
        <v>4522</v>
      </c>
      <c r="M839" s="2816"/>
      <c r="N839" s="2816"/>
      <c r="O839" s="2816"/>
      <c r="P839" s="429"/>
      <c r="Q839" s="429"/>
    </row>
    <row r="840" spans="1:17" s="1713" customFormat="1" ht="30" customHeight="1" x14ac:dyDescent="0.2">
      <c r="A840" s="3525"/>
      <c r="B840" s="3513" t="s">
        <v>4308</v>
      </c>
      <c r="C840" s="3570"/>
      <c r="D840" s="3505"/>
      <c r="E840" s="3507"/>
      <c r="F840" s="3505"/>
      <c r="G840" s="2434"/>
      <c r="H840" s="2434"/>
      <c r="I840" s="2451" t="s">
        <v>4309</v>
      </c>
      <c r="J840" s="3442">
        <f>G840+G841</f>
        <v>0</v>
      </c>
      <c r="K840" s="3442"/>
      <c r="L840" s="2477"/>
      <c r="M840" s="2492"/>
      <c r="N840" s="2492"/>
      <c r="O840" s="2492"/>
      <c r="P840" s="429"/>
      <c r="Q840" s="429"/>
    </row>
    <row r="841" spans="1:17" s="1713" customFormat="1" ht="30" customHeight="1" x14ac:dyDescent="0.2">
      <c r="A841" s="3526"/>
      <c r="B841" s="3514"/>
      <c r="C841" s="3571"/>
      <c r="D841" s="3506"/>
      <c r="E841" s="3508"/>
      <c r="F841" s="3506"/>
      <c r="G841" s="2434"/>
      <c r="H841" s="2434"/>
      <c r="I841" s="2451" t="s">
        <v>4309</v>
      </c>
      <c r="J841" s="3443"/>
      <c r="K841" s="3443"/>
      <c r="L841" s="2478"/>
      <c r="M841" s="2492"/>
      <c r="N841" s="2492"/>
      <c r="O841" s="2492"/>
      <c r="P841" s="429"/>
      <c r="Q841" s="429"/>
    </row>
    <row r="842" spans="1:17" s="1713" customFormat="1" ht="30" customHeight="1" x14ac:dyDescent="0.2">
      <c r="A842" s="2484"/>
      <c r="B842" s="2466" t="s">
        <v>4328</v>
      </c>
      <c r="C842" s="2467"/>
      <c r="D842" s="2422">
        <v>120000000</v>
      </c>
      <c r="E842" s="2463">
        <v>0.05</v>
      </c>
      <c r="F842" s="2422">
        <f>D842*E842</f>
        <v>6000000</v>
      </c>
      <c r="G842" s="2434"/>
      <c r="H842" s="2434"/>
      <c r="I842" s="2451"/>
      <c r="J842" s="2434"/>
      <c r="K842" s="2434"/>
      <c r="L842" s="2478" t="s">
        <v>4329</v>
      </c>
      <c r="M842" s="2492"/>
      <c r="N842" s="2492"/>
      <c r="O842" s="2492"/>
      <c r="P842" s="429"/>
      <c r="Q842" s="429"/>
    </row>
    <row r="843" spans="1:17" s="1713" customFormat="1" ht="30" customHeight="1" x14ac:dyDescent="0.2">
      <c r="A843" s="2484"/>
      <c r="B843" s="2466" t="s">
        <v>4339</v>
      </c>
      <c r="C843" s="2467"/>
      <c r="D843" s="2422">
        <v>100000000</v>
      </c>
      <c r="E843" s="2463">
        <v>0.05</v>
      </c>
      <c r="F843" s="2422">
        <f>D843*E843</f>
        <v>5000000</v>
      </c>
      <c r="G843" s="2434">
        <v>5000000</v>
      </c>
      <c r="H843" s="2434" t="s">
        <v>4924</v>
      </c>
      <c r="I843" s="2451" t="s">
        <v>4928</v>
      </c>
      <c r="J843" s="2434">
        <f>G843</f>
        <v>5000000</v>
      </c>
      <c r="K843" s="2434">
        <f>F843-J843</f>
        <v>0</v>
      </c>
      <c r="L843" s="2478" t="s">
        <v>4340</v>
      </c>
      <c r="M843" s="2492"/>
      <c r="N843" s="2492"/>
      <c r="O843" s="2492"/>
      <c r="P843" s="429"/>
      <c r="Q843" s="429"/>
    </row>
    <row r="844" spans="1:17" s="1713" customFormat="1" ht="30" customHeight="1" x14ac:dyDescent="0.2">
      <c r="A844" s="2484"/>
      <c r="B844" s="2466" t="s">
        <v>4356</v>
      </c>
      <c r="C844" s="2467"/>
      <c r="D844" s="2422">
        <v>100000000</v>
      </c>
      <c r="E844" s="2463"/>
      <c r="F844" s="2422"/>
      <c r="G844" s="2434"/>
      <c r="H844" s="2434"/>
      <c r="I844" s="2451"/>
      <c r="J844" s="2434"/>
      <c r="K844" s="2434"/>
      <c r="L844" s="2348" t="s">
        <v>4357</v>
      </c>
      <c r="M844" s="2492"/>
      <c r="N844" s="2492"/>
      <c r="O844" s="2492"/>
      <c r="P844" s="429"/>
      <c r="Q844" s="429"/>
    </row>
    <row r="845" spans="1:17" s="1713" customFormat="1" ht="30" customHeight="1" x14ac:dyDescent="0.2">
      <c r="A845" s="2596"/>
      <c r="B845" s="2590" t="s">
        <v>4440</v>
      </c>
      <c r="C845" s="2591"/>
      <c r="D845" s="2552"/>
      <c r="E845" s="2559"/>
      <c r="F845" s="2558"/>
      <c r="G845" s="2558"/>
      <c r="H845" s="2558"/>
      <c r="I845" s="2572"/>
      <c r="J845" s="2558"/>
      <c r="K845" s="2558"/>
      <c r="L845" s="2348" t="s">
        <v>4441</v>
      </c>
      <c r="M845" s="2606"/>
      <c r="N845" s="2606"/>
      <c r="O845" s="2606"/>
      <c r="P845" s="429"/>
      <c r="Q845" s="429"/>
    </row>
    <row r="846" spans="1:17" s="1713" customFormat="1" ht="30" customHeight="1" x14ac:dyDescent="0.2">
      <c r="A846" s="2596"/>
      <c r="B846" s="2590" t="s">
        <v>4443</v>
      </c>
      <c r="C846" s="2591" t="s">
        <v>4444</v>
      </c>
      <c r="D846" s="2552">
        <v>80000000</v>
      </c>
      <c r="E846" s="2559">
        <v>0.05</v>
      </c>
      <c r="F846" s="2558">
        <f>D846*E846</f>
        <v>4000000</v>
      </c>
      <c r="G846" s="2558"/>
      <c r="H846" s="2558"/>
      <c r="I846" s="2572"/>
      <c r="J846" s="2558"/>
      <c r="K846" s="2558"/>
      <c r="L846" s="2348" t="s">
        <v>4832</v>
      </c>
      <c r="M846" s="2606"/>
      <c r="N846" s="2606"/>
      <c r="O846" s="2606"/>
      <c r="P846" s="429"/>
      <c r="Q846" s="429"/>
    </row>
    <row r="847" spans="1:17" s="1713" customFormat="1" ht="30" customHeight="1" x14ac:dyDescent="0.2">
      <c r="A847" s="2596"/>
      <c r="B847" s="2590" t="s">
        <v>4463</v>
      </c>
      <c r="C847" s="2591"/>
      <c r="D847" s="3325" t="s">
        <v>4464</v>
      </c>
      <c r="E847" s="3340"/>
      <c r="F847" s="3341"/>
      <c r="G847" s="2558">
        <v>1740000</v>
      </c>
      <c r="H847" s="2558" t="s">
        <v>4458</v>
      </c>
      <c r="I847" s="2572" t="s">
        <v>4465</v>
      </c>
      <c r="J847" s="2558">
        <f>G847</f>
        <v>1740000</v>
      </c>
      <c r="K847" s="2558"/>
      <c r="L847" s="2348" t="s">
        <v>4466</v>
      </c>
      <c r="M847" s="2606"/>
      <c r="N847" s="2606"/>
      <c r="O847" s="2606"/>
      <c r="P847" s="429"/>
      <c r="Q847" s="429"/>
    </row>
    <row r="848" spans="1:17" s="1713" customFormat="1" ht="30" customHeight="1" x14ac:dyDescent="0.2">
      <c r="A848" s="2596"/>
      <c r="B848" s="2590" t="s">
        <v>4481</v>
      </c>
      <c r="C848" s="2591" t="s">
        <v>411</v>
      </c>
      <c r="D848" s="2552">
        <v>200000000</v>
      </c>
      <c r="E848" s="2559">
        <v>0.05</v>
      </c>
      <c r="F848" s="2558">
        <f>D848*E848</f>
        <v>10000000</v>
      </c>
      <c r="G848" s="2558"/>
      <c r="H848" s="2558"/>
      <c r="I848" s="2572"/>
      <c r="J848" s="2558"/>
      <c r="K848" s="2558"/>
      <c r="L848" s="2348" t="s">
        <v>4959</v>
      </c>
      <c r="M848" s="2606"/>
      <c r="N848" s="2606"/>
      <c r="O848" s="2606"/>
      <c r="P848" s="429"/>
      <c r="Q848" s="429"/>
    </row>
    <row r="849" spans="1:17" s="1713" customFormat="1" ht="30" customHeight="1" x14ac:dyDescent="0.2">
      <c r="A849" s="2596"/>
      <c r="B849" s="2590" t="s">
        <v>4519</v>
      </c>
      <c r="C849" s="2591"/>
      <c r="D849" s="496"/>
      <c r="E849" s="2798"/>
      <c r="F849" s="643"/>
      <c r="G849" s="2558">
        <v>15000000</v>
      </c>
      <c r="H849" s="2558" t="s">
        <v>4512</v>
      </c>
      <c r="I849" s="2572" t="s">
        <v>3121</v>
      </c>
      <c r="J849" s="2558">
        <f>G849</f>
        <v>15000000</v>
      </c>
      <c r="K849" s="2558"/>
      <c r="L849" s="2348"/>
      <c r="M849" s="2606"/>
      <c r="N849" s="2606"/>
      <c r="O849" s="2606"/>
      <c r="P849" s="429"/>
      <c r="Q849" s="429"/>
    </row>
    <row r="850" spans="1:17" s="1713" customFormat="1" ht="30" customHeight="1" x14ac:dyDescent="0.2">
      <c r="A850" s="2814"/>
      <c r="B850" s="2809" t="s">
        <v>4525</v>
      </c>
      <c r="C850" s="2810"/>
      <c r="D850" s="2804">
        <v>100000000</v>
      </c>
      <c r="E850" s="2798"/>
      <c r="F850" s="643"/>
      <c r="G850" s="2792"/>
      <c r="H850" s="2792"/>
      <c r="I850" s="2804"/>
      <c r="J850" s="2792"/>
      <c r="K850" s="2792"/>
      <c r="L850" s="2813" t="s">
        <v>4526</v>
      </c>
      <c r="M850" s="2816"/>
      <c r="N850" s="2816"/>
      <c r="O850" s="2816"/>
      <c r="P850" s="429"/>
      <c r="Q850" s="429"/>
    </row>
    <row r="851" spans="1:17" s="1713" customFormat="1" ht="30" customHeight="1" x14ac:dyDescent="0.2">
      <c r="A851" s="2814"/>
      <c r="B851" s="2809" t="s">
        <v>4527</v>
      </c>
      <c r="C851" s="2810"/>
      <c r="D851" s="2804">
        <v>70000000</v>
      </c>
      <c r="E851" s="2793">
        <v>7.0000000000000007E-2</v>
      </c>
      <c r="F851" s="2805">
        <f>D851*E851</f>
        <v>4900000.0000000009</v>
      </c>
      <c r="G851" s="2792"/>
      <c r="H851" s="2792"/>
      <c r="I851" s="2804"/>
      <c r="J851" s="2792"/>
      <c r="K851" s="2792"/>
      <c r="L851" s="2348" t="s">
        <v>4528</v>
      </c>
      <c r="M851" s="2816"/>
      <c r="N851" s="2816"/>
      <c r="O851" s="2816"/>
      <c r="P851" s="429"/>
      <c r="Q851" s="429"/>
    </row>
    <row r="852" spans="1:17" s="1713" customFormat="1" ht="30" customHeight="1" x14ac:dyDescent="0.2">
      <c r="A852" s="2814"/>
      <c r="B852" s="2809" t="s">
        <v>4544</v>
      </c>
      <c r="C852" s="2810"/>
      <c r="D852" s="2804">
        <v>350000000</v>
      </c>
      <c r="E852" s="2793"/>
      <c r="F852" s="2805"/>
      <c r="G852" s="2792"/>
      <c r="H852" s="2792"/>
      <c r="I852" s="2804"/>
      <c r="J852" s="2792"/>
      <c r="K852" s="2792"/>
      <c r="L852" s="2348" t="s">
        <v>4545</v>
      </c>
      <c r="M852" s="2816"/>
      <c r="N852" s="2816"/>
      <c r="O852" s="2816"/>
      <c r="P852" s="429"/>
      <c r="Q852" s="429"/>
    </row>
    <row r="853" spans="1:17" s="1713" customFormat="1" ht="30" customHeight="1" x14ac:dyDescent="0.2">
      <c r="A853" s="2814"/>
      <c r="B853" s="2809" t="s">
        <v>4548</v>
      </c>
      <c r="C853" s="2810"/>
      <c r="D853" s="2804">
        <v>50000000</v>
      </c>
      <c r="E853" s="2793">
        <v>0.05</v>
      </c>
      <c r="F853" s="2805">
        <f>D853*E853</f>
        <v>2500000</v>
      </c>
      <c r="G853" s="2792"/>
      <c r="H853" s="2792"/>
      <c r="I853" s="2804"/>
      <c r="J853" s="2792"/>
      <c r="K853" s="2792"/>
      <c r="L853" s="2348" t="s">
        <v>4549</v>
      </c>
      <c r="M853" s="2816"/>
      <c r="N853" s="2816"/>
      <c r="O853" s="2816"/>
      <c r="P853" s="429"/>
      <c r="Q853" s="429"/>
    </row>
    <row r="854" spans="1:17" s="1713" customFormat="1" ht="30" customHeight="1" x14ac:dyDescent="0.2">
      <c r="A854" s="2832"/>
      <c r="B854" s="2830" t="s">
        <v>4557</v>
      </c>
      <c r="C854" s="2829"/>
      <c r="D854" s="2825">
        <v>100000000</v>
      </c>
      <c r="E854" s="2821">
        <v>0.05</v>
      </c>
      <c r="F854" s="2826">
        <f>D854*E854</f>
        <v>5000000</v>
      </c>
      <c r="G854" s="2824">
        <v>5000000</v>
      </c>
      <c r="H854" s="2824" t="s">
        <v>4554</v>
      </c>
      <c r="I854" s="2825" t="s">
        <v>4558</v>
      </c>
      <c r="J854" s="2824">
        <f>G854</f>
        <v>5000000</v>
      </c>
      <c r="K854" s="2824">
        <f>F854-J854</f>
        <v>0</v>
      </c>
      <c r="L854" s="2348"/>
      <c r="M854" s="2833"/>
      <c r="N854" s="2833"/>
      <c r="O854" s="2833"/>
      <c r="P854" s="429"/>
      <c r="Q854" s="429"/>
    </row>
    <row r="855" spans="1:17" s="1713" customFormat="1" ht="30" customHeight="1" x14ac:dyDescent="0.2">
      <c r="A855" s="2832"/>
      <c r="B855" s="2830" t="s">
        <v>4562</v>
      </c>
      <c r="C855" s="2829"/>
      <c r="D855" s="2825">
        <v>50000000</v>
      </c>
      <c r="E855" s="2821">
        <v>0.05</v>
      </c>
      <c r="F855" s="2826">
        <f>D855*E855</f>
        <v>2500000</v>
      </c>
      <c r="G855" s="2824">
        <v>2500000</v>
      </c>
      <c r="H855" s="2824" t="s">
        <v>4554</v>
      </c>
      <c r="I855" s="2825" t="s">
        <v>4563</v>
      </c>
      <c r="J855" s="2824">
        <f>G855</f>
        <v>2500000</v>
      </c>
      <c r="K855" s="2824">
        <f>F855-J855</f>
        <v>0</v>
      </c>
      <c r="L855" s="2348"/>
      <c r="M855" s="2833"/>
      <c r="N855" s="2833"/>
      <c r="O855" s="2833"/>
      <c r="P855" s="429"/>
      <c r="Q855" s="429"/>
    </row>
    <row r="856" spans="1:17" s="1713" customFormat="1" ht="30" customHeight="1" x14ac:dyDescent="0.2">
      <c r="A856" s="2832"/>
      <c r="B856" s="2830" t="s">
        <v>4565</v>
      </c>
      <c r="C856" s="2829"/>
      <c r="D856" s="2825">
        <v>20000000</v>
      </c>
      <c r="E856" s="2821">
        <v>0.05</v>
      </c>
      <c r="F856" s="2826">
        <f>D856*E856</f>
        <v>1000000</v>
      </c>
      <c r="G856" s="2824">
        <v>1000000</v>
      </c>
      <c r="H856" s="2824" t="s">
        <v>4554</v>
      </c>
      <c r="I856" s="2825" t="s">
        <v>4566</v>
      </c>
      <c r="J856" s="2824">
        <f>G856</f>
        <v>1000000</v>
      </c>
      <c r="K856" s="2824">
        <f>F856-J856</f>
        <v>0</v>
      </c>
      <c r="L856" s="2348"/>
      <c r="M856" s="2833"/>
      <c r="N856" s="2833"/>
      <c r="O856" s="2833"/>
      <c r="P856" s="429"/>
      <c r="Q856" s="429"/>
    </row>
    <row r="857" spans="1:17" s="1713" customFormat="1" ht="30" customHeight="1" x14ac:dyDescent="0.2">
      <c r="A857" s="3976"/>
      <c r="B857" s="3939" t="s">
        <v>4575</v>
      </c>
      <c r="C857" s="3949"/>
      <c r="D857" s="3271">
        <v>50000000</v>
      </c>
      <c r="E857" s="3051"/>
      <c r="F857" s="3272"/>
      <c r="G857" s="3270">
        <v>50000000</v>
      </c>
      <c r="H857" s="3270" t="s">
        <v>2604</v>
      </c>
      <c r="I857" s="3271" t="s">
        <v>3665</v>
      </c>
      <c r="J857" s="3270">
        <f>G857</f>
        <v>50000000</v>
      </c>
      <c r="K857" s="3270"/>
      <c r="L857" s="3283" t="s">
        <v>4815</v>
      </c>
      <c r="M857" s="2833"/>
      <c r="N857" s="2833"/>
      <c r="O857" s="2833"/>
      <c r="P857" s="429"/>
      <c r="Q857" s="429"/>
    </row>
    <row r="858" spans="1:17" s="1713" customFormat="1" ht="30" customHeight="1" x14ac:dyDescent="0.2">
      <c r="A858" s="3977"/>
      <c r="B858" s="3940"/>
      <c r="C858" s="3950"/>
      <c r="D858" s="3941" t="s">
        <v>4692</v>
      </c>
      <c r="E858" s="3942"/>
      <c r="F858" s="3943"/>
      <c r="G858" s="3270">
        <v>835000</v>
      </c>
      <c r="H858" s="3270" t="s">
        <v>4924</v>
      </c>
      <c r="I858" s="3271" t="s">
        <v>4925</v>
      </c>
      <c r="J858" s="3270">
        <f>G858</f>
        <v>835000</v>
      </c>
      <c r="K858" s="3270"/>
      <c r="L858" s="3283" t="s">
        <v>1398</v>
      </c>
      <c r="M858" s="2948"/>
      <c r="N858" s="2948"/>
      <c r="O858" s="2948"/>
      <c r="P858" s="429"/>
      <c r="Q858" s="429"/>
    </row>
    <row r="859" spans="1:17" s="1713" customFormat="1" ht="30" customHeight="1" x14ac:dyDescent="0.2">
      <c r="A859" s="2832"/>
      <c r="B859" s="2830" t="s">
        <v>4587</v>
      </c>
      <c r="C859" s="2829"/>
      <c r="D859" s="2825">
        <v>300000000</v>
      </c>
      <c r="E859" s="2821">
        <v>0.05</v>
      </c>
      <c r="F859" s="2826">
        <f>D859*E859</f>
        <v>15000000</v>
      </c>
      <c r="G859" s="2824"/>
      <c r="H859" s="2824"/>
      <c r="I859" s="2825"/>
      <c r="J859" s="2824"/>
      <c r="K859" s="2824"/>
      <c r="L859" s="2348" t="s">
        <v>4590</v>
      </c>
      <c r="M859" s="2833"/>
      <c r="N859" s="2833"/>
      <c r="O859" s="2833"/>
      <c r="P859" s="429"/>
      <c r="Q859" s="429"/>
    </row>
    <row r="860" spans="1:17" s="1713" customFormat="1" ht="30" customHeight="1" x14ac:dyDescent="0.2">
      <c r="A860" s="2832"/>
      <c r="B860" s="2830" t="s">
        <v>4588</v>
      </c>
      <c r="C860" s="2829"/>
      <c r="D860" s="2825">
        <v>200000000</v>
      </c>
      <c r="E860" s="2821">
        <v>0.05</v>
      </c>
      <c r="F860" s="2839">
        <f>D860*E860</f>
        <v>10000000</v>
      </c>
      <c r="G860" s="2824">
        <v>10000000</v>
      </c>
      <c r="H860" s="2824" t="s">
        <v>4604</v>
      </c>
      <c r="I860" s="2825" t="s">
        <v>4309</v>
      </c>
      <c r="J860" s="2824">
        <f>G860</f>
        <v>10000000</v>
      </c>
      <c r="K860" s="2824">
        <f>F860-J860</f>
        <v>0</v>
      </c>
      <c r="L860" s="2348" t="s">
        <v>4589</v>
      </c>
      <c r="M860" s="2833"/>
      <c r="N860" s="2833"/>
      <c r="O860" s="2833"/>
      <c r="P860" s="429"/>
      <c r="Q860" s="429"/>
    </row>
    <row r="861" spans="1:17" s="1713" customFormat="1" ht="30" customHeight="1" x14ac:dyDescent="0.2">
      <c r="A861" s="2891"/>
      <c r="B861" s="2888" t="s">
        <v>4609</v>
      </c>
      <c r="C861" s="2889" t="s">
        <v>265</v>
      </c>
      <c r="D861" s="2881">
        <v>120000000</v>
      </c>
      <c r="E861" s="2879">
        <v>0.05</v>
      </c>
      <c r="F861" s="2882">
        <f>D861*E861</f>
        <v>6000000</v>
      </c>
      <c r="G861" s="2877">
        <v>3400000</v>
      </c>
      <c r="H861" s="2877" t="s">
        <v>4604</v>
      </c>
      <c r="I861" s="2881" t="s">
        <v>4610</v>
      </c>
      <c r="J861" s="2877">
        <f>G861</f>
        <v>3400000</v>
      </c>
      <c r="K861" s="2877"/>
      <c r="L861" s="2348" t="s">
        <v>4611</v>
      </c>
      <c r="M861" s="2892"/>
      <c r="N861" s="2892"/>
      <c r="O861" s="2892"/>
      <c r="P861" s="429"/>
      <c r="Q861" s="429"/>
    </row>
    <row r="862" spans="1:17" s="1713" customFormat="1" ht="30" customHeight="1" x14ac:dyDescent="0.2">
      <c r="A862" s="2891"/>
      <c r="B862" s="2888" t="s">
        <v>4623</v>
      </c>
      <c r="C862" s="2889"/>
      <c r="D862" s="2881">
        <v>75000000</v>
      </c>
      <c r="E862" s="2879"/>
      <c r="F862" s="2882"/>
      <c r="G862" s="2877"/>
      <c r="H862" s="2877"/>
      <c r="I862" s="2881"/>
      <c r="J862" s="2877"/>
      <c r="K862" s="2877"/>
      <c r="L862" s="2348" t="s">
        <v>4624</v>
      </c>
      <c r="M862" s="2892"/>
      <c r="N862" s="2892"/>
      <c r="O862" s="2892"/>
      <c r="P862" s="429"/>
      <c r="Q862" s="429"/>
    </row>
    <row r="863" spans="1:17" s="1713" customFormat="1" ht="30" customHeight="1" x14ac:dyDescent="0.2">
      <c r="A863" s="2891"/>
      <c r="B863" s="2888" t="s">
        <v>4651</v>
      </c>
      <c r="C863" s="2889"/>
      <c r="D863" s="2881">
        <v>100000000</v>
      </c>
      <c r="E863" s="2879">
        <v>0.06</v>
      </c>
      <c r="F863" s="2882">
        <f>D863*E863</f>
        <v>6000000</v>
      </c>
      <c r="G863" s="2877"/>
      <c r="H863" s="2877"/>
      <c r="I863" s="2881"/>
      <c r="J863" s="2877"/>
      <c r="K863" s="2877"/>
      <c r="L863" s="2348"/>
      <c r="M863" s="2892"/>
      <c r="N863" s="2892"/>
      <c r="O863" s="2892"/>
      <c r="P863" s="429"/>
      <c r="Q863" s="429"/>
    </row>
    <row r="864" spans="1:17" s="1713" customFormat="1" ht="30" customHeight="1" x14ac:dyDescent="0.2">
      <c r="A864" s="2596"/>
      <c r="B864" s="2590" t="s">
        <v>4649</v>
      </c>
      <c r="C864" s="2591" t="s">
        <v>2408</v>
      </c>
      <c r="D864" s="2552">
        <v>150000000</v>
      </c>
      <c r="E864" s="2559">
        <v>0.06</v>
      </c>
      <c r="F864" s="2558">
        <f>D864*E864</f>
        <v>9000000</v>
      </c>
      <c r="G864" s="2558"/>
      <c r="H864" s="2558"/>
      <c r="I864" s="2572"/>
      <c r="J864" s="2558"/>
      <c r="K864" s="2558"/>
      <c r="L864" s="2896" t="s">
        <v>4650</v>
      </c>
      <c r="M864" s="2606"/>
      <c r="N864" s="2606"/>
      <c r="O864" s="2606"/>
      <c r="P864" s="429"/>
      <c r="Q864" s="429"/>
    </row>
    <row r="865" spans="1:17" s="1713" customFormat="1" ht="30" customHeight="1" x14ac:dyDescent="0.2">
      <c r="A865" s="3525"/>
      <c r="B865" s="3457" t="s">
        <v>4669</v>
      </c>
      <c r="C865" s="2909"/>
      <c r="D865" s="2900">
        <v>20000000</v>
      </c>
      <c r="E865" s="2904">
        <f>F865/D865</f>
        <v>0.06</v>
      </c>
      <c r="F865" s="2903">
        <v>1200000</v>
      </c>
      <c r="G865" s="2903">
        <v>9000000</v>
      </c>
      <c r="H865" s="2903" t="s">
        <v>1047</v>
      </c>
      <c r="I865" s="2906" t="s">
        <v>4682</v>
      </c>
      <c r="J865" s="2903">
        <f>G865</f>
        <v>9000000</v>
      </c>
      <c r="K865" s="2903"/>
      <c r="L865" s="2913" t="s">
        <v>4681</v>
      </c>
      <c r="M865" s="2915"/>
      <c r="N865" s="2915"/>
      <c r="O865" s="2915"/>
      <c r="P865" s="429"/>
      <c r="Q865" s="429"/>
    </row>
    <row r="866" spans="1:17" s="1713" customFormat="1" ht="30" customHeight="1" x14ac:dyDescent="0.2">
      <c r="A866" s="3643"/>
      <c r="B866" s="3459"/>
      <c r="C866" s="2925"/>
      <c r="D866" s="2918"/>
      <c r="E866" s="2919"/>
      <c r="F866" s="2921"/>
      <c r="G866" s="2921">
        <f>G865-3600000</f>
        <v>5400000</v>
      </c>
      <c r="H866" s="3325" t="s">
        <v>4680</v>
      </c>
      <c r="I866" s="3340"/>
      <c r="J866" s="3340"/>
      <c r="K866" s="3341"/>
      <c r="L866" s="2922"/>
      <c r="M866" s="2927"/>
      <c r="N866" s="2927"/>
      <c r="O866" s="2927"/>
      <c r="P866" s="429"/>
      <c r="Q866" s="429"/>
    </row>
    <row r="867" spans="1:17" s="1713" customFormat="1" ht="30" customHeight="1" x14ac:dyDescent="0.2">
      <c r="A867" s="3526"/>
      <c r="B867" s="3458"/>
      <c r="C867" s="2909" t="s">
        <v>1175</v>
      </c>
      <c r="D867" s="2900">
        <v>130000000</v>
      </c>
      <c r="E867" s="2904">
        <v>7.0000000000000007E-2</v>
      </c>
      <c r="F867" s="2903">
        <v>9000000</v>
      </c>
      <c r="G867" s="2903"/>
      <c r="H867" s="2903"/>
      <c r="I867" s="2906"/>
      <c r="J867" s="2903"/>
      <c r="K867" s="2903"/>
      <c r="L867" s="2913" t="s">
        <v>4670</v>
      </c>
      <c r="M867" s="2915"/>
      <c r="N867" s="2915"/>
      <c r="O867" s="2915"/>
      <c r="P867" s="429"/>
      <c r="Q867" s="429"/>
    </row>
    <row r="868" spans="1:17" s="1713" customFormat="1" ht="30" customHeight="1" x14ac:dyDescent="0.2">
      <c r="A868" s="3525"/>
      <c r="B868" s="3457" t="s">
        <v>3321</v>
      </c>
      <c r="C868" s="3570" t="s">
        <v>916</v>
      </c>
      <c r="D868" s="3442">
        <v>150000000</v>
      </c>
      <c r="E868" s="3444">
        <v>0.06</v>
      </c>
      <c r="F868" s="3442">
        <f>D868*E868</f>
        <v>9000000</v>
      </c>
      <c r="G868" s="3442">
        <v>27000000</v>
      </c>
      <c r="H868" s="3442" t="s">
        <v>4942</v>
      </c>
      <c r="I868" s="3442" t="s">
        <v>4946</v>
      </c>
      <c r="J868" s="3442">
        <f>G868</f>
        <v>27000000</v>
      </c>
      <c r="K868" s="3442">
        <f>G868-J868</f>
        <v>0</v>
      </c>
      <c r="L868" s="3163" t="s">
        <v>4844</v>
      </c>
      <c r="M868" s="3169"/>
      <c r="N868" s="3169"/>
      <c r="O868" s="3169"/>
      <c r="P868" s="429"/>
      <c r="Q868" s="429"/>
    </row>
    <row r="869" spans="1:17" s="1713" customFormat="1" ht="30" customHeight="1" x14ac:dyDescent="0.2">
      <c r="A869" s="3526"/>
      <c r="B869" s="3458"/>
      <c r="C869" s="3571"/>
      <c r="D869" s="3443"/>
      <c r="E869" s="3445"/>
      <c r="F869" s="3443"/>
      <c r="G869" s="3443"/>
      <c r="H869" s="3443"/>
      <c r="I869" s="3443"/>
      <c r="J869" s="3443"/>
      <c r="K869" s="3443"/>
      <c r="L869" s="3163" t="s">
        <v>4843</v>
      </c>
      <c r="M869" s="3169"/>
      <c r="N869" s="3169"/>
      <c r="O869" s="3169"/>
      <c r="P869" s="429"/>
      <c r="Q869" s="429"/>
    </row>
    <row r="870" spans="1:17" s="1713" customFormat="1" ht="30" customHeight="1" x14ac:dyDescent="0.2">
      <c r="A870" s="2914"/>
      <c r="B870" s="2908" t="s">
        <v>4683</v>
      </c>
      <c r="C870" s="2909"/>
      <c r="D870" s="2900">
        <v>100000000</v>
      </c>
      <c r="E870" s="2904"/>
      <c r="F870" s="2903"/>
      <c r="G870" s="2903"/>
      <c r="H870" s="2903"/>
      <c r="I870" s="2906"/>
      <c r="J870" s="2903"/>
      <c r="K870" s="2903"/>
      <c r="L870" s="2913" t="s">
        <v>4684</v>
      </c>
      <c r="M870" s="2915"/>
      <c r="N870" s="2915"/>
      <c r="O870" s="2915"/>
      <c r="P870" s="429"/>
      <c r="Q870" s="429"/>
    </row>
    <row r="871" spans="1:17" s="1713" customFormat="1" ht="30" customHeight="1" x14ac:dyDescent="0.2">
      <c r="A871" s="2914"/>
      <c r="B871" s="2908" t="s">
        <v>4694</v>
      </c>
      <c r="C871" s="2909"/>
      <c r="D871" s="2900">
        <v>100000000</v>
      </c>
      <c r="E871" s="2904"/>
      <c r="F871" s="2903"/>
      <c r="G871" s="2903"/>
      <c r="H871" s="2903"/>
      <c r="I871" s="2906"/>
      <c r="J871" s="2903"/>
      <c r="K871" s="2903"/>
      <c r="L871" s="2913" t="s">
        <v>4695</v>
      </c>
      <c r="M871" s="2915"/>
      <c r="N871" s="2915"/>
      <c r="O871" s="2915"/>
      <c r="P871" s="429"/>
      <c r="Q871" s="429"/>
    </row>
    <row r="872" spans="1:17" s="1713" customFormat="1" ht="30" customHeight="1" x14ac:dyDescent="0.2">
      <c r="A872" s="2984"/>
      <c r="B872" s="2982" t="s">
        <v>107</v>
      </c>
      <c r="C872" s="2981"/>
      <c r="D872" s="2973"/>
      <c r="E872" s="2972"/>
      <c r="F872" s="2971"/>
      <c r="G872" s="2970">
        <v>14000000</v>
      </c>
      <c r="H872" s="2970" t="s">
        <v>1047</v>
      </c>
      <c r="I872" s="2974" t="s">
        <v>2928</v>
      </c>
      <c r="J872" s="2970">
        <f>G872</f>
        <v>14000000</v>
      </c>
      <c r="K872" s="2970"/>
      <c r="L872" s="2977"/>
      <c r="M872" s="2985"/>
      <c r="N872" s="2985"/>
      <c r="O872" s="2985"/>
      <c r="P872" s="429"/>
      <c r="Q872" s="429"/>
    </row>
    <row r="873" spans="1:17" s="1713" customFormat="1" ht="30" customHeight="1" x14ac:dyDescent="0.2">
      <c r="A873" s="2984"/>
      <c r="B873" s="2982" t="s">
        <v>4708</v>
      </c>
      <c r="C873" s="2981"/>
      <c r="D873" s="2966">
        <v>120000000</v>
      </c>
      <c r="E873" s="2969">
        <v>7.0000000000000007E-2</v>
      </c>
      <c r="F873" s="2970">
        <f>D873*E873</f>
        <v>8400000</v>
      </c>
      <c r="G873" s="2970"/>
      <c r="H873" s="2970"/>
      <c r="I873" s="2974"/>
      <c r="J873" s="2970"/>
      <c r="K873" s="2970"/>
      <c r="L873" s="2977" t="s">
        <v>4709</v>
      </c>
      <c r="M873" s="2985"/>
      <c r="N873" s="2985"/>
      <c r="O873" s="2985"/>
      <c r="P873" s="429"/>
      <c r="Q873" s="429"/>
    </row>
    <row r="874" spans="1:17" s="1713" customFormat="1" ht="30" customHeight="1" x14ac:dyDescent="0.2">
      <c r="A874" s="2984"/>
      <c r="B874" s="2982" t="s">
        <v>4735</v>
      </c>
      <c r="C874" s="2981"/>
      <c r="D874" s="2966">
        <v>50000000</v>
      </c>
      <c r="E874" s="2969">
        <v>0.05</v>
      </c>
      <c r="F874" s="2970">
        <f>D874*E874</f>
        <v>2500000</v>
      </c>
      <c r="G874" s="2970">
        <v>5000000</v>
      </c>
      <c r="H874" s="2970" t="s">
        <v>4697</v>
      </c>
      <c r="I874" s="2974" t="s">
        <v>4736</v>
      </c>
      <c r="J874" s="2970">
        <f>G874</f>
        <v>5000000</v>
      </c>
      <c r="K874" s="2970">
        <f>F874-G874</f>
        <v>-2500000</v>
      </c>
      <c r="L874" s="2977" t="s">
        <v>4737</v>
      </c>
      <c r="M874" s="2985"/>
      <c r="N874" s="2985"/>
      <c r="O874" s="2985"/>
      <c r="P874" s="429"/>
      <c r="Q874" s="429"/>
    </row>
    <row r="875" spans="1:17" s="1713" customFormat="1" ht="30" customHeight="1" x14ac:dyDescent="0.2">
      <c r="A875" s="3141"/>
      <c r="B875" s="3139" t="s">
        <v>4819</v>
      </c>
      <c r="C875" s="3138" t="s">
        <v>1019</v>
      </c>
      <c r="D875" s="3119">
        <v>10000000</v>
      </c>
      <c r="E875" s="3137">
        <v>0.05</v>
      </c>
      <c r="F875" s="3119">
        <f>D875*E875</f>
        <v>500000</v>
      </c>
      <c r="G875" s="3119"/>
      <c r="H875" s="3119"/>
      <c r="I875" s="3119"/>
      <c r="J875" s="3119"/>
      <c r="K875" s="3120"/>
      <c r="L875" s="2348" t="s">
        <v>4820</v>
      </c>
      <c r="M875" s="3142"/>
      <c r="N875" s="3142"/>
      <c r="O875" s="3142"/>
      <c r="P875" s="429"/>
      <c r="Q875" s="429"/>
    </row>
    <row r="876" spans="1:17" s="1713" customFormat="1" ht="30" customHeight="1" x14ac:dyDescent="0.2">
      <c r="A876" s="3141"/>
      <c r="B876" s="3139" t="s">
        <v>4829</v>
      </c>
      <c r="C876" s="3138" t="s">
        <v>1909</v>
      </c>
      <c r="D876" s="3119">
        <v>100000000</v>
      </c>
      <c r="E876" s="3121">
        <v>7.0000000000000007E-2</v>
      </c>
      <c r="F876" s="3120">
        <f>D876*E876</f>
        <v>7000000.0000000009</v>
      </c>
      <c r="G876" s="3120">
        <v>7000000</v>
      </c>
      <c r="H876" s="3120" t="s">
        <v>4950</v>
      </c>
      <c r="I876" s="3129" t="s">
        <v>4951</v>
      </c>
      <c r="J876" s="3120">
        <f>G876</f>
        <v>7000000</v>
      </c>
      <c r="K876" s="3120">
        <f>F876-J876</f>
        <v>0</v>
      </c>
      <c r="L876" s="3133"/>
      <c r="M876" s="3142"/>
      <c r="N876" s="3142"/>
      <c r="O876" s="3142"/>
      <c r="P876" s="429"/>
      <c r="Q876" s="429"/>
    </row>
    <row r="877" spans="1:17" s="1713" customFormat="1" ht="30" customHeight="1" x14ac:dyDescent="0.2">
      <c r="A877" s="3141"/>
      <c r="B877" s="3139" t="s">
        <v>4830</v>
      </c>
      <c r="C877" s="3138"/>
      <c r="D877" s="3119">
        <v>100000000</v>
      </c>
      <c r="E877" s="3121">
        <v>7.0000000000000007E-2</v>
      </c>
      <c r="F877" s="3120">
        <f t="shared" ref="F877:F878" si="95">D877*E877</f>
        <v>7000000.0000000009</v>
      </c>
      <c r="G877" s="3120"/>
      <c r="H877" s="3120"/>
      <c r="I877" s="3129"/>
      <c r="J877" s="3120"/>
      <c r="K877" s="3120"/>
      <c r="L877" s="3133"/>
      <c r="M877" s="3142"/>
      <c r="N877" s="3142"/>
      <c r="O877" s="3142"/>
      <c r="P877" s="429"/>
      <c r="Q877" s="429"/>
    </row>
    <row r="878" spans="1:17" s="1713" customFormat="1" ht="30" customHeight="1" x14ac:dyDescent="0.2">
      <c r="A878" s="3141"/>
      <c r="B878" s="3139" t="s">
        <v>4831</v>
      </c>
      <c r="C878" s="3138"/>
      <c r="D878" s="3119">
        <v>35000000</v>
      </c>
      <c r="E878" s="3121">
        <v>7.0000000000000007E-2</v>
      </c>
      <c r="F878" s="3120">
        <f t="shared" si="95"/>
        <v>2450000.0000000005</v>
      </c>
      <c r="G878" s="3120"/>
      <c r="H878" s="3120"/>
      <c r="I878" s="3129"/>
      <c r="J878" s="3120"/>
      <c r="K878" s="3120"/>
      <c r="L878" s="3133"/>
      <c r="M878" s="3142"/>
      <c r="N878" s="3142"/>
      <c r="O878" s="3142"/>
      <c r="P878" s="429"/>
      <c r="Q878" s="429"/>
    </row>
    <row r="879" spans="1:17" s="1713" customFormat="1" ht="30" customHeight="1" x14ac:dyDescent="0.2">
      <c r="A879" s="3164"/>
      <c r="B879" s="3160" t="s">
        <v>4838</v>
      </c>
      <c r="C879" s="3161"/>
      <c r="D879" s="3149">
        <v>110000000</v>
      </c>
      <c r="E879" s="3152"/>
      <c r="F879" s="3151"/>
      <c r="G879" s="3151"/>
      <c r="H879" s="3151"/>
      <c r="I879" s="3155"/>
      <c r="J879" s="3151"/>
      <c r="K879" s="3151"/>
      <c r="L879" s="3163" t="s">
        <v>4839</v>
      </c>
      <c r="M879" s="3169"/>
      <c r="N879" s="3169"/>
      <c r="O879" s="3169"/>
      <c r="P879" s="429"/>
      <c r="Q879" s="429"/>
    </row>
    <row r="880" spans="1:17" s="1713" customFormat="1" ht="30" customHeight="1" x14ac:dyDescent="0.2">
      <c r="A880" s="3164"/>
      <c r="B880" s="3160" t="s">
        <v>4918</v>
      </c>
      <c r="C880" s="3161"/>
      <c r="D880" s="3149">
        <v>50000000</v>
      </c>
      <c r="E880" s="3152"/>
      <c r="F880" s="3151"/>
      <c r="G880" s="3151"/>
      <c r="H880" s="3151"/>
      <c r="I880" s="3155"/>
      <c r="J880" s="3151"/>
      <c r="K880" s="3151"/>
      <c r="L880" s="2348" t="s">
        <v>4919</v>
      </c>
      <c r="M880" s="3169"/>
      <c r="N880" s="3169"/>
      <c r="O880" s="3169"/>
      <c r="P880" s="429"/>
      <c r="Q880" s="429"/>
    </row>
    <row r="881" spans="1:17" s="1713" customFormat="1" ht="30" customHeight="1" x14ac:dyDescent="0.2">
      <c r="A881" s="3164"/>
      <c r="B881" s="3160" t="s">
        <v>232</v>
      </c>
      <c r="C881" s="3161"/>
      <c r="D881" s="3149">
        <v>60000000</v>
      </c>
      <c r="E881" s="3152">
        <v>0.05</v>
      </c>
      <c r="F881" s="3151">
        <f>D881*E881</f>
        <v>3000000</v>
      </c>
      <c r="G881" s="3151">
        <v>3000000</v>
      </c>
      <c r="H881" s="3151" t="s">
        <v>4924</v>
      </c>
      <c r="I881" s="3155" t="s">
        <v>1093</v>
      </c>
      <c r="J881" s="3151">
        <f>G881</f>
        <v>3000000</v>
      </c>
      <c r="K881" s="3151">
        <f>F881-J881</f>
        <v>0</v>
      </c>
      <c r="L881" s="3163"/>
      <c r="M881" s="3169"/>
      <c r="N881" s="3169"/>
      <c r="O881" s="3169"/>
      <c r="P881" s="429"/>
      <c r="Q881" s="429"/>
    </row>
    <row r="882" spans="1:17" s="1713" customFormat="1" ht="30" customHeight="1" x14ac:dyDescent="0.2">
      <c r="A882" s="3164"/>
      <c r="B882" s="2864" t="s">
        <v>4930</v>
      </c>
      <c r="C882" s="3284"/>
      <c r="D882" s="3265">
        <v>4200000</v>
      </c>
      <c r="E882" s="3264"/>
      <c r="F882" s="3263"/>
      <c r="G882" s="3263">
        <v>4200000</v>
      </c>
      <c r="H882" s="3263" t="s">
        <v>4924</v>
      </c>
      <c r="I882" s="496" t="s">
        <v>4931</v>
      </c>
      <c r="J882" s="3263">
        <f>G882</f>
        <v>4200000</v>
      </c>
      <c r="K882" s="3263"/>
      <c r="L882" s="3285" t="s">
        <v>4932</v>
      </c>
      <c r="M882" s="3169"/>
      <c r="N882" s="3169"/>
      <c r="O882" s="3169"/>
      <c r="P882" s="429"/>
      <c r="Q882" s="429"/>
    </row>
    <row r="883" spans="1:17" s="1713" customFormat="1" ht="30" customHeight="1" x14ac:dyDescent="0.2">
      <c r="A883" s="3309"/>
      <c r="B883" s="3308" t="s">
        <v>4956</v>
      </c>
      <c r="C883" s="3307"/>
      <c r="D883" s="3295"/>
      <c r="E883" s="3298"/>
      <c r="F883" s="3297"/>
      <c r="G883" s="3297"/>
      <c r="H883" s="3297"/>
      <c r="I883" s="3299"/>
      <c r="J883" s="3297"/>
      <c r="K883" s="3297"/>
      <c r="L883" s="3305"/>
      <c r="M883" s="3310"/>
      <c r="N883" s="3310"/>
      <c r="O883" s="3310"/>
      <c r="P883" s="429"/>
      <c r="Q883" s="429"/>
    </row>
    <row r="884" spans="1:17" s="1713" customFormat="1" ht="30" customHeight="1" x14ac:dyDescent="0.2">
      <c r="A884" s="3309"/>
      <c r="B884" s="3308"/>
      <c r="C884" s="3307"/>
      <c r="D884" s="3295"/>
      <c r="E884" s="3298"/>
      <c r="F884" s="3297"/>
      <c r="G884" s="3297"/>
      <c r="H884" s="3297"/>
      <c r="I884" s="3299"/>
      <c r="J884" s="3297"/>
      <c r="K884" s="3297"/>
      <c r="L884" s="3305"/>
      <c r="M884" s="3310"/>
      <c r="N884" s="3310"/>
      <c r="O884" s="3310"/>
      <c r="P884" s="429"/>
      <c r="Q884" s="429"/>
    </row>
    <row r="885" spans="1:17" s="1713" customFormat="1" ht="30" customHeight="1" x14ac:dyDescent="0.2">
      <c r="A885" s="3309"/>
      <c r="B885" s="3308"/>
      <c r="C885" s="3307"/>
      <c r="D885" s="3295"/>
      <c r="E885" s="3298"/>
      <c r="F885" s="3297"/>
      <c r="G885" s="3297"/>
      <c r="H885" s="3297"/>
      <c r="I885" s="3299"/>
      <c r="J885" s="3297"/>
      <c r="K885" s="3297"/>
      <c r="L885" s="3305"/>
      <c r="M885" s="3310"/>
      <c r="N885" s="3310"/>
      <c r="O885" s="3310"/>
      <c r="P885" s="429"/>
      <c r="Q885" s="429"/>
    </row>
    <row r="886" spans="1:17" s="1713" customFormat="1" ht="30" customHeight="1" x14ac:dyDescent="0.2">
      <c r="A886" s="3309"/>
      <c r="B886" s="3308"/>
      <c r="C886" s="3307"/>
      <c r="D886" s="3295"/>
      <c r="E886" s="3298"/>
      <c r="F886" s="3297"/>
      <c r="G886" s="3297"/>
      <c r="H886" s="3297"/>
      <c r="I886" s="3299"/>
      <c r="J886" s="3297"/>
      <c r="K886" s="3297"/>
      <c r="L886" s="3305"/>
      <c r="M886" s="3310"/>
      <c r="N886" s="3310"/>
      <c r="O886" s="3310"/>
      <c r="P886" s="429"/>
      <c r="Q886" s="429"/>
    </row>
    <row r="887" spans="1:17" s="1713" customFormat="1" ht="30" customHeight="1" x14ac:dyDescent="0.2">
      <c r="A887" s="2914"/>
      <c r="B887" s="2908"/>
      <c r="C887" s="2909"/>
      <c r="D887" s="2900"/>
      <c r="E887" s="2904"/>
      <c r="F887" s="2903"/>
      <c r="G887" s="2903"/>
      <c r="H887" s="2903"/>
      <c r="I887" s="2906"/>
      <c r="J887" s="2903"/>
      <c r="K887" s="2903"/>
      <c r="L887" s="2913"/>
      <c r="M887" s="2915"/>
      <c r="N887" s="2915"/>
      <c r="O887" s="2915"/>
      <c r="P887" s="429"/>
      <c r="Q887" s="429"/>
    </row>
    <row r="888" spans="1:17" ht="50.1" customHeight="1" x14ac:dyDescent="0.2">
      <c r="A888" s="3833" t="s">
        <v>4427</v>
      </c>
      <c r="B888" s="3834"/>
      <c r="C888" s="1084"/>
      <c r="D888" s="311"/>
      <c r="E888" s="2437"/>
      <c r="F888" s="2434"/>
      <c r="G888" s="2434"/>
      <c r="H888" s="2434"/>
      <c r="I888" s="24"/>
      <c r="J888" s="2434"/>
      <c r="K888" s="2434"/>
      <c r="L888" s="2428"/>
    </row>
  </sheetData>
  <mergeCells count="1214">
    <mergeCell ref="A752:A753"/>
    <mergeCell ref="B752:B753"/>
    <mergeCell ref="C752:C753"/>
    <mergeCell ref="B822:B823"/>
    <mergeCell ref="A822:A823"/>
    <mergeCell ref="C822:C823"/>
    <mergeCell ref="A291:A292"/>
    <mergeCell ref="B291:B292"/>
    <mergeCell ref="C291:C292"/>
    <mergeCell ref="D291:D292"/>
    <mergeCell ref="E291:E292"/>
    <mergeCell ref="F291:F292"/>
    <mergeCell ref="A754:A755"/>
    <mergeCell ref="B754:B755"/>
    <mergeCell ref="C754:C755"/>
    <mergeCell ref="K473:K475"/>
    <mergeCell ref="G477:J477"/>
    <mergeCell ref="D476:D478"/>
    <mergeCell ref="E476:E478"/>
    <mergeCell ref="F476:F478"/>
    <mergeCell ref="B506:B508"/>
    <mergeCell ref="A506:A508"/>
    <mergeCell ref="C506:C508"/>
    <mergeCell ref="A570:A572"/>
    <mergeCell ref="B570:B572"/>
    <mergeCell ref="C570:C572"/>
    <mergeCell ref="A573:A582"/>
    <mergeCell ref="B573:B582"/>
    <mergeCell ref="C573:C582"/>
    <mergeCell ref="D573:D582"/>
    <mergeCell ref="G282:J282"/>
    <mergeCell ref="B868:B869"/>
    <mergeCell ref="A868:A869"/>
    <mergeCell ref="C868:C869"/>
    <mergeCell ref="D868:D869"/>
    <mergeCell ref="E868:E869"/>
    <mergeCell ref="F868:F869"/>
    <mergeCell ref="G464:J464"/>
    <mergeCell ref="G794:K794"/>
    <mergeCell ref="B865:B867"/>
    <mergeCell ref="A865:A867"/>
    <mergeCell ref="I423:I424"/>
    <mergeCell ref="H620:H621"/>
    <mergeCell ref="I620:I621"/>
    <mergeCell ref="J790:J791"/>
    <mergeCell ref="G835:J837"/>
    <mergeCell ref="J840:J841"/>
    <mergeCell ref="J796:J797"/>
    <mergeCell ref="G494:J494"/>
    <mergeCell ref="B457:B459"/>
    <mergeCell ref="C457:C459"/>
    <mergeCell ref="D702:D704"/>
    <mergeCell ref="E702:E704"/>
    <mergeCell ref="F702:F704"/>
    <mergeCell ref="E620:E621"/>
    <mergeCell ref="F620:F621"/>
    <mergeCell ref="G618:G619"/>
    <mergeCell ref="H618:H619"/>
    <mergeCell ref="I618:I619"/>
    <mergeCell ref="G470:J470"/>
    <mergeCell ref="G471:J471"/>
    <mergeCell ref="G472:J472"/>
    <mergeCell ref="A184:A185"/>
    <mergeCell ref="A181:A183"/>
    <mergeCell ref="B181:B183"/>
    <mergeCell ref="C181:C183"/>
    <mergeCell ref="D683:D685"/>
    <mergeCell ref="H487:H488"/>
    <mergeCell ref="I487:I488"/>
    <mergeCell ref="J487:J488"/>
    <mergeCell ref="D618:D619"/>
    <mergeCell ref="E618:E619"/>
    <mergeCell ref="F618:F619"/>
    <mergeCell ref="B610:B611"/>
    <mergeCell ref="C610:C611"/>
    <mergeCell ref="A610:A611"/>
    <mergeCell ref="J613:J614"/>
    <mergeCell ref="I523:I524"/>
    <mergeCell ref="H523:H524"/>
    <mergeCell ref="B493:B494"/>
    <mergeCell ref="B523:B524"/>
    <mergeCell ref="C523:C524"/>
    <mergeCell ref="G468:J468"/>
    <mergeCell ref="G469:J469"/>
    <mergeCell ref="A487:A488"/>
    <mergeCell ref="B487:B488"/>
    <mergeCell ref="C487:C488"/>
    <mergeCell ref="J628:J630"/>
    <mergeCell ref="J661:J662"/>
    <mergeCell ref="G663:J663"/>
    <mergeCell ref="G664:J664"/>
    <mergeCell ref="B661:B665"/>
    <mergeCell ref="A661:A665"/>
    <mergeCell ref="C661:C665"/>
    <mergeCell ref="G495:J495"/>
    <mergeCell ref="C672:C676"/>
    <mergeCell ref="G676:J676"/>
    <mergeCell ref="G661:G662"/>
    <mergeCell ref="H661:H662"/>
    <mergeCell ref="I661:I662"/>
    <mergeCell ref="J473:J475"/>
    <mergeCell ref="H683:H687"/>
    <mergeCell ref="I683:I687"/>
    <mergeCell ref="J683:J687"/>
    <mergeCell ref="K683:K687"/>
    <mergeCell ref="H702:H703"/>
    <mergeCell ref="J702:J704"/>
    <mergeCell ref="G602:G605"/>
    <mergeCell ref="H602:H605"/>
    <mergeCell ref="G487:G488"/>
    <mergeCell ref="K668:K669"/>
    <mergeCell ref="K666:K667"/>
    <mergeCell ref="F677:F679"/>
    <mergeCell ref="G649:J649"/>
    <mergeCell ref="G650:J651"/>
    <mergeCell ref="F573:F582"/>
    <mergeCell ref="J573:J582"/>
    <mergeCell ref="K573:K582"/>
    <mergeCell ref="H573:I573"/>
    <mergeCell ref="K564:K565"/>
    <mergeCell ref="G519:G520"/>
    <mergeCell ref="H519:H520"/>
    <mergeCell ref="K637:K638"/>
    <mergeCell ref="I640:I641"/>
    <mergeCell ref="J506:J507"/>
    <mergeCell ref="G690:J690"/>
    <mergeCell ref="H750:H751"/>
    <mergeCell ref="A620:A621"/>
    <mergeCell ref="B620:B621"/>
    <mergeCell ref="C620:C621"/>
    <mergeCell ref="G723:G724"/>
    <mergeCell ref="H723:H724"/>
    <mergeCell ref="I723:I724"/>
    <mergeCell ref="J723:J724"/>
    <mergeCell ref="G702:G703"/>
    <mergeCell ref="G701:I701"/>
    <mergeCell ref="I644:I648"/>
    <mergeCell ref="F637:F638"/>
    <mergeCell ref="B627:B631"/>
    <mergeCell ref="C627:C631"/>
    <mergeCell ref="J523:J524"/>
    <mergeCell ref="G709:J709"/>
    <mergeCell ref="G710:J710"/>
    <mergeCell ref="G711:J711"/>
    <mergeCell ref="E683:E685"/>
    <mergeCell ref="E668:E669"/>
    <mergeCell ref="F668:F669"/>
    <mergeCell ref="J668:J669"/>
    <mergeCell ref="C680:C681"/>
    <mergeCell ref="J666:J667"/>
    <mergeCell ref="A672:A676"/>
    <mergeCell ref="B672:B676"/>
    <mergeCell ref="E573:E582"/>
    <mergeCell ref="G688:J688"/>
    <mergeCell ref="E640:E641"/>
    <mergeCell ref="F640:F641"/>
    <mergeCell ref="G640:G641"/>
    <mergeCell ref="H640:H641"/>
    <mergeCell ref="K835:K837"/>
    <mergeCell ref="G838:J838"/>
    <mergeCell ref="C835:C839"/>
    <mergeCell ref="A493:A494"/>
    <mergeCell ref="D847:F847"/>
    <mergeCell ref="B155:B157"/>
    <mergeCell ref="C155:C157"/>
    <mergeCell ref="G157:J157"/>
    <mergeCell ref="K499:K500"/>
    <mergeCell ref="J408:J409"/>
    <mergeCell ref="K408:K409"/>
    <mergeCell ref="K387:K388"/>
    <mergeCell ref="K368:K369"/>
    <mergeCell ref="K359:K360"/>
    <mergeCell ref="I340:I342"/>
    <mergeCell ref="G198:G200"/>
    <mergeCell ref="B245:B246"/>
    <mergeCell ref="C393:C394"/>
    <mergeCell ref="G174:G175"/>
    <mergeCell ref="H174:H175"/>
    <mergeCell ref="I174:I175"/>
    <mergeCell ref="J174:J175"/>
    <mergeCell ref="K174:K175"/>
    <mergeCell ref="G399:G401"/>
    <mergeCell ref="H399:H401"/>
    <mergeCell ref="I399:I401"/>
    <mergeCell ref="I519:I520"/>
    <mergeCell ref="J519:J520"/>
    <mergeCell ref="K519:K520"/>
    <mergeCell ref="F683:F685"/>
    <mergeCell ref="F650:F651"/>
    <mergeCell ref="K661:K662"/>
    <mergeCell ref="B499:B500"/>
    <mergeCell ref="C499:C500"/>
    <mergeCell ref="G390:J390"/>
    <mergeCell ref="G394:J394"/>
    <mergeCell ref="H329:H330"/>
    <mergeCell ref="I329:I330"/>
    <mergeCell ref="G541:K541"/>
    <mergeCell ref="K568:K569"/>
    <mergeCell ref="G564:G565"/>
    <mergeCell ref="G329:G330"/>
    <mergeCell ref="G411:J411"/>
    <mergeCell ref="G414:J414"/>
    <mergeCell ref="G412:J412"/>
    <mergeCell ref="J387:J388"/>
    <mergeCell ref="H352:H354"/>
    <mergeCell ref="I352:I354"/>
    <mergeCell ref="J352:J354"/>
    <mergeCell ref="J359:J360"/>
    <mergeCell ref="G499:G500"/>
    <mergeCell ref="H499:H500"/>
    <mergeCell ref="I499:I500"/>
    <mergeCell ref="G539:K539"/>
    <mergeCell ref="J423:J424"/>
    <mergeCell ref="J405:J406"/>
    <mergeCell ref="K405:K406"/>
    <mergeCell ref="H378:H379"/>
    <mergeCell ref="I378:I379"/>
    <mergeCell ref="J378:J379"/>
    <mergeCell ref="H362:H363"/>
    <mergeCell ref="I362:I363"/>
    <mergeCell ref="B519:B520"/>
    <mergeCell ref="C519:C520"/>
    <mergeCell ref="L831:O831"/>
    <mergeCell ref="L750:L751"/>
    <mergeCell ref="J362:J363"/>
    <mergeCell ref="K362:K363"/>
    <mergeCell ref="G476:J476"/>
    <mergeCell ref="J568:J569"/>
    <mergeCell ref="J417:J418"/>
    <mergeCell ref="K417:K418"/>
    <mergeCell ref="A786:A789"/>
    <mergeCell ref="J640:J641"/>
    <mergeCell ref="B786:B789"/>
    <mergeCell ref="K790:K791"/>
    <mergeCell ref="C786:C789"/>
    <mergeCell ref="K796:K797"/>
    <mergeCell ref="A680:A681"/>
    <mergeCell ref="B680:B681"/>
    <mergeCell ref="B818:B819"/>
    <mergeCell ref="A818:A819"/>
    <mergeCell ref="C793:C795"/>
    <mergeCell ref="A708:A715"/>
    <mergeCell ref="B708:B715"/>
    <mergeCell ref="C708:C715"/>
    <mergeCell ref="H637:H638"/>
    <mergeCell ref="D539:E539"/>
    <mergeCell ref="D620:D621"/>
    <mergeCell ref="J786:J787"/>
    <mergeCell ref="K786:K787"/>
    <mergeCell ref="H775:H776"/>
    <mergeCell ref="I775:I776"/>
    <mergeCell ref="J775:J776"/>
    <mergeCell ref="G712:J712"/>
    <mergeCell ref="G713:J713"/>
    <mergeCell ref="C796:C797"/>
    <mergeCell ref="C650:C651"/>
    <mergeCell ref="D650:D651"/>
    <mergeCell ref="E650:E651"/>
    <mergeCell ref="G708:J708"/>
    <mergeCell ref="K650:K651"/>
    <mergeCell ref="L650:L651"/>
    <mergeCell ref="J677:J679"/>
    <mergeCell ref="A695:A701"/>
    <mergeCell ref="B695:B701"/>
    <mergeCell ref="C695:C701"/>
    <mergeCell ref="K677:K679"/>
    <mergeCell ref="L677:L679"/>
    <mergeCell ref="K696:K700"/>
    <mergeCell ref="J696:J700"/>
    <mergeCell ref="G689:J689"/>
    <mergeCell ref="G692:J692"/>
    <mergeCell ref="G714:J714"/>
    <mergeCell ref="B790:B791"/>
    <mergeCell ref="C790:C791"/>
    <mergeCell ref="D790:D791"/>
    <mergeCell ref="E790:E791"/>
    <mergeCell ref="F790:F791"/>
    <mergeCell ref="G790:G791"/>
    <mergeCell ref="H790:H791"/>
    <mergeCell ref="A729:A731"/>
    <mergeCell ref="C729:C731"/>
    <mergeCell ref="D729:D731"/>
    <mergeCell ref="E729:E731"/>
    <mergeCell ref="F729:F731"/>
    <mergeCell ref="J729:J733"/>
    <mergeCell ref="I750:I751"/>
    <mergeCell ref="F835:F836"/>
    <mergeCell ref="B835:B839"/>
    <mergeCell ref="I790:I791"/>
    <mergeCell ref="G750:G751"/>
    <mergeCell ref="K723:K724"/>
    <mergeCell ref="L723:L724"/>
    <mergeCell ref="A723:A724"/>
    <mergeCell ref="B723:B724"/>
    <mergeCell ref="C723:C724"/>
    <mergeCell ref="D723:D724"/>
    <mergeCell ref="E723:E724"/>
    <mergeCell ref="F723:F724"/>
    <mergeCell ref="A790:A791"/>
    <mergeCell ref="B702:B704"/>
    <mergeCell ref="C702:C704"/>
    <mergeCell ref="C732:C733"/>
    <mergeCell ref="K702:K704"/>
    <mergeCell ref="C805:C806"/>
    <mergeCell ref="L830:O830"/>
    <mergeCell ref="J750:J751"/>
    <mergeCell ref="K750:K751"/>
    <mergeCell ref="A745:A747"/>
    <mergeCell ref="B745:B747"/>
    <mergeCell ref="C745:C747"/>
    <mergeCell ref="K775:K776"/>
    <mergeCell ref="A769:A770"/>
    <mergeCell ref="B769:B770"/>
    <mergeCell ref="A775:A776"/>
    <mergeCell ref="B775:B776"/>
    <mergeCell ref="C775:C776"/>
    <mergeCell ref="G775:G776"/>
    <mergeCell ref="B796:B797"/>
    <mergeCell ref="K840:K841"/>
    <mergeCell ref="A888:B888"/>
    <mergeCell ref="G61:J61"/>
    <mergeCell ref="B60:B61"/>
    <mergeCell ref="C60:C61"/>
    <mergeCell ref="A76:A82"/>
    <mergeCell ref="B76:B82"/>
    <mergeCell ref="C76:C82"/>
    <mergeCell ref="D96:D101"/>
    <mergeCell ref="A840:A841"/>
    <mergeCell ref="B840:B841"/>
    <mergeCell ref="C840:C841"/>
    <mergeCell ref="D840:D841"/>
    <mergeCell ref="E840:E841"/>
    <mergeCell ref="F840:F841"/>
    <mergeCell ref="A805:A806"/>
    <mergeCell ref="B805:B806"/>
    <mergeCell ref="A796:A797"/>
    <mergeCell ref="A750:A751"/>
    <mergeCell ref="B750:B751"/>
    <mergeCell ref="C750:C751"/>
    <mergeCell ref="D750:D751"/>
    <mergeCell ref="E750:E751"/>
    <mergeCell ref="I637:I638"/>
    <mergeCell ref="J637:J638"/>
    <mergeCell ref="F750:F751"/>
    <mergeCell ref="K729:K733"/>
    <mergeCell ref="A732:A733"/>
    <mergeCell ref="B732:B733"/>
    <mergeCell ref="A835:A837"/>
    <mergeCell ref="D835:D836"/>
    <mergeCell ref="E835:E836"/>
    <mergeCell ref="L749:P749"/>
    <mergeCell ref="A702:A704"/>
    <mergeCell ref="A666:A669"/>
    <mergeCell ref="B666:B669"/>
    <mergeCell ref="C666:C667"/>
    <mergeCell ref="G666:G667"/>
    <mergeCell ref="H666:H667"/>
    <mergeCell ref="I666:I667"/>
    <mergeCell ref="A644:A651"/>
    <mergeCell ref="C644:C648"/>
    <mergeCell ref="G644:G648"/>
    <mergeCell ref="H644:H648"/>
    <mergeCell ref="B650:B651"/>
    <mergeCell ref="J644:J648"/>
    <mergeCell ref="K640:K641"/>
    <mergeCell ref="L640:L641"/>
    <mergeCell ref="G747:J747"/>
    <mergeCell ref="L666:L667"/>
    <mergeCell ref="C668:C669"/>
    <mergeCell ref="D668:D669"/>
    <mergeCell ref="K708:K715"/>
    <mergeCell ref="G715:J715"/>
    <mergeCell ref="A677:A679"/>
    <mergeCell ref="B677:B679"/>
    <mergeCell ref="C677:C679"/>
    <mergeCell ref="D677:D679"/>
    <mergeCell ref="E677:E679"/>
    <mergeCell ref="A640:A641"/>
    <mergeCell ref="B640:B641"/>
    <mergeCell ref="C640:C641"/>
    <mergeCell ref="D640:D641"/>
    <mergeCell ref="A637:A638"/>
    <mergeCell ref="B637:B638"/>
    <mergeCell ref="C637:C638"/>
    <mergeCell ref="D637:D638"/>
    <mergeCell ref="E637:E638"/>
    <mergeCell ref="G637:G638"/>
    <mergeCell ref="L618:L619"/>
    <mergeCell ref="A618:A619"/>
    <mergeCell ref="B618:B619"/>
    <mergeCell ref="C618:C619"/>
    <mergeCell ref="A627:A630"/>
    <mergeCell ref="D628:F630"/>
    <mergeCell ref="G635:J635"/>
    <mergeCell ref="B633:B635"/>
    <mergeCell ref="A633:A635"/>
    <mergeCell ref="K613:K614"/>
    <mergeCell ref="B613:B614"/>
    <mergeCell ref="C613:C614"/>
    <mergeCell ref="D613:D614"/>
    <mergeCell ref="E613:E614"/>
    <mergeCell ref="F613:F614"/>
    <mergeCell ref="J618:J619"/>
    <mergeCell ref="A613:A614"/>
    <mergeCell ref="D631:F631"/>
    <mergeCell ref="G633:J633"/>
    <mergeCell ref="G634:J634"/>
    <mergeCell ref="C633:C635"/>
    <mergeCell ref="L620:L621"/>
    <mergeCell ref="K628:K630"/>
    <mergeCell ref="H627:H628"/>
    <mergeCell ref="I627:I628"/>
    <mergeCell ref="L600:L601"/>
    <mergeCell ref="A602:A605"/>
    <mergeCell ref="B602:B605"/>
    <mergeCell ref="C602:C605"/>
    <mergeCell ref="A600:A601"/>
    <mergeCell ref="B600:B601"/>
    <mergeCell ref="C600:C601"/>
    <mergeCell ref="I602:I605"/>
    <mergeCell ref="J602:J605"/>
    <mergeCell ref="K602:K605"/>
    <mergeCell ref="A590:A598"/>
    <mergeCell ref="B590:B598"/>
    <mergeCell ref="C590:C598"/>
    <mergeCell ref="K618:K619"/>
    <mergeCell ref="K523:K524"/>
    <mergeCell ref="G523:G524"/>
    <mergeCell ref="L568:L569"/>
    <mergeCell ref="J570:J571"/>
    <mergeCell ref="A568:A569"/>
    <mergeCell ref="B568:B569"/>
    <mergeCell ref="C568:C569"/>
    <mergeCell ref="D568:D569"/>
    <mergeCell ref="E568:E569"/>
    <mergeCell ref="F568:F569"/>
    <mergeCell ref="L570:L571"/>
    <mergeCell ref="A583:A585"/>
    <mergeCell ref="B583:B585"/>
    <mergeCell ref="C583:C585"/>
    <mergeCell ref="D583:D585"/>
    <mergeCell ref="E583:E585"/>
    <mergeCell ref="F583:F585"/>
    <mergeCell ref="K570:K571"/>
    <mergeCell ref="L564:L565"/>
    <mergeCell ref="E558:F558"/>
    <mergeCell ref="A561:A562"/>
    <mergeCell ref="B561:B562"/>
    <mergeCell ref="A564:A565"/>
    <mergeCell ref="B564:B565"/>
    <mergeCell ref="C564:C565"/>
    <mergeCell ref="A525:A542"/>
    <mergeCell ref="B525:B542"/>
    <mergeCell ref="C525:C542"/>
    <mergeCell ref="D531:E531"/>
    <mergeCell ref="G533:K533"/>
    <mergeCell ref="G534:K534"/>
    <mergeCell ref="G535:K535"/>
    <mergeCell ref="D536:E536"/>
    <mergeCell ref="G536:K536"/>
    <mergeCell ref="G537:K537"/>
    <mergeCell ref="D557:F557"/>
    <mergeCell ref="G538:K538"/>
    <mergeCell ref="H564:H565"/>
    <mergeCell ref="I564:I565"/>
    <mergeCell ref="J564:J565"/>
    <mergeCell ref="D541:E541"/>
    <mergeCell ref="L519:L520"/>
    <mergeCell ref="A501:A502"/>
    <mergeCell ref="B501:B502"/>
    <mergeCell ref="C501:C502"/>
    <mergeCell ref="D501:D502"/>
    <mergeCell ref="E501:E502"/>
    <mergeCell ref="F501:F502"/>
    <mergeCell ref="A519:A520"/>
    <mergeCell ref="K487:K488"/>
    <mergeCell ref="A429:A430"/>
    <mergeCell ref="B429:B430"/>
    <mergeCell ref="C429:C430"/>
    <mergeCell ref="D429:D430"/>
    <mergeCell ref="E429:E430"/>
    <mergeCell ref="F429:F430"/>
    <mergeCell ref="A441:A445"/>
    <mergeCell ref="B441:B445"/>
    <mergeCell ref="K441:K444"/>
    <mergeCell ref="K506:K507"/>
    <mergeCell ref="J499:J500"/>
    <mergeCell ref="L506:L507"/>
    <mergeCell ref="A509:A510"/>
    <mergeCell ref="B509:B510"/>
    <mergeCell ref="C509:C510"/>
    <mergeCell ref="D509:D510"/>
    <mergeCell ref="E509:E510"/>
    <mergeCell ref="F509:F510"/>
    <mergeCell ref="L509:L510"/>
    <mergeCell ref="B437:B439"/>
    <mergeCell ref="C437:C439"/>
    <mergeCell ref="A437:A439"/>
    <mergeCell ref="A499:A500"/>
    <mergeCell ref="L484:L485"/>
    <mergeCell ref="B464:B465"/>
    <mergeCell ref="A464:A465"/>
    <mergeCell ref="C464:C465"/>
    <mergeCell ref="G465:J465"/>
    <mergeCell ref="A466:A478"/>
    <mergeCell ref="G457:G458"/>
    <mergeCell ref="H457:H458"/>
    <mergeCell ref="K479:K482"/>
    <mergeCell ref="G484:G485"/>
    <mergeCell ref="H484:H485"/>
    <mergeCell ref="I484:I485"/>
    <mergeCell ref="J484:J485"/>
    <mergeCell ref="K484:K485"/>
    <mergeCell ref="A479:A482"/>
    <mergeCell ref="B479:B482"/>
    <mergeCell ref="C479:C482"/>
    <mergeCell ref="D479:D482"/>
    <mergeCell ref="E479:E482"/>
    <mergeCell ref="F479:F482"/>
    <mergeCell ref="J479:J482"/>
    <mergeCell ref="B466:B478"/>
    <mergeCell ref="G467:J467"/>
    <mergeCell ref="C466:C478"/>
    <mergeCell ref="G466:J466"/>
    <mergeCell ref="D472:D475"/>
    <mergeCell ref="E472:E475"/>
    <mergeCell ref="F472:F475"/>
    <mergeCell ref="L457:L458"/>
    <mergeCell ref="A457:A459"/>
    <mergeCell ref="B449:B450"/>
    <mergeCell ref="C449:C450"/>
    <mergeCell ref="G449:G450"/>
    <mergeCell ref="H449:H450"/>
    <mergeCell ref="I449:I450"/>
    <mergeCell ref="J449:J450"/>
    <mergeCell ref="K449:K450"/>
    <mergeCell ref="L449:L450"/>
    <mergeCell ref="A426:A427"/>
    <mergeCell ref="L417:L418"/>
    <mergeCell ref="A419:A424"/>
    <mergeCell ref="B419:B424"/>
    <mergeCell ref="C419:C424"/>
    <mergeCell ref="G419:J422"/>
    <mergeCell ref="K419:K424"/>
    <mergeCell ref="L419:L424"/>
    <mergeCell ref="D422:E422"/>
    <mergeCell ref="D423:D424"/>
    <mergeCell ref="E423:E424"/>
    <mergeCell ref="G441:J444"/>
    <mergeCell ref="C441:C445"/>
    <mergeCell ref="G430:I430"/>
    <mergeCell ref="G423:G424"/>
    <mergeCell ref="H423:H424"/>
    <mergeCell ref="A449:A450"/>
    <mergeCell ref="F423:F424"/>
    <mergeCell ref="A387:A388"/>
    <mergeCell ref="A408:A409"/>
    <mergeCell ref="B408:B409"/>
    <mergeCell ref="C408:C409"/>
    <mergeCell ref="D408:D409"/>
    <mergeCell ref="E408:E409"/>
    <mergeCell ref="F408:F409"/>
    <mergeCell ref="G408:G409"/>
    <mergeCell ref="H408:H409"/>
    <mergeCell ref="I408:I409"/>
    <mergeCell ref="G405:I405"/>
    <mergeCell ref="A405:A406"/>
    <mergeCell ref="B405:B406"/>
    <mergeCell ref="C405:C406"/>
    <mergeCell ref="D405:D406"/>
    <mergeCell ref="A416:A418"/>
    <mergeCell ref="B416:B418"/>
    <mergeCell ref="C417:C418"/>
    <mergeCell ref="G417:G418"/>
    <mergeCell ref="H417:H418"/>
    <mergeCell ref="I417:I418"/>
    <mergeCell ref="F405:F406"/>
    <mergeCell ref="B411:B414"/>
    <mergeCell ref="C411:C414"/>
    <mergeCell ref="E405:E406"/>
    <mergeCell ref="A411:A414"/>
    <mergeCell ref="B347:B348"/>
    <mergeCell ref="C347:C348"/>
    <mergeCell ref="D347:D348"/>
    <mergeCell ref="L397:L398"/>
    <mergeCell ref="A399:A401"/>
    <mergeCell ref="B399:B401"/>
    <mergeCell ref="L368:L369"/>
    <mergeCell ref="A378:A379"/>
    <mergeCell ref="B378:B379"/>
    <mergeCell ref="C378:C379"/>
    <mergeCell ref="A362:A363"/>
    <mergeCell ref="C362:C363"/>
    <mergeCell ref="G368:G369"/>
    <mergeCell ref="H368:H369"/>
    <mergeCell ref="I368:I369"/>
    <mergeCell ref="J368:J369"/>
    <mergeCell ref="K378:K379"/>
    <mergeCell ref="L399:L401"/>
    <mergeCell ref="G397:G398"/>
    <mergeCell ref="H397:H398"/>
    <mergeCell ref="I397:I398"/>
    <mergeCell ref="J397:J398"/>
    <mergeCell ref="K397:K398"/>
    <mergeCell ref="B393:B394"/>
    <mergeCell ref="H380:H381"/>
    <mergeCell ref="I380:I381"/>
    <mergeCell ref="A380:A382"/>
    <mergeCell ref="B380:B382"/>
    <mergeCell ref="C380:C382"/>
    <mergeCell ref="G382:J382"/>
    <mergeCell ref="J399:J401"/>
    <mergeCell ref="K399:K401"/>
    <mergeCell ref="G340:G342"/>
    <mergeCell ref="J340:J342"/>
    <mergeCell ref="K340:K342"/>
    <mergeCell ref="A344:A345"/>
    <mergeCell ref="B344:B345"/>
    <mergeCell ref="C344:C345"/>
    <mergeCell ref="D344:D345"/>
    <mergeCell ref="E344:E345"/>
    <mergeCell ref="A340:A342"/>
    <mergeCell ref="B340:B342"/>
    <mergeCell ref="C340:C342"/>
    <mergeCell ref="D340:D342"/>
    <mergeCell ref="E340:E342"/>
    <mergeCell ref="F340:F342"/>
    <mergeCell ref="F344:F345"/>
    <mergeCell ref="B387:B388"/>
    <mergeCell ref="C387:C388"/>
    <mergeCell ref="G387:G388"/>
    <mergeCell ref="H387:H388"/>
    <mergeCell ref="I387:I388"/>
    <mergeCell ref="A359:A360"/>
    <mergeCell ref="B359:B360"/>
    <mergeCell ref="C359:C360"/>
    <mergeCell ref="D359:D360"/>
    <mergeCell ref="E359:E360"/>
    <mergeCell ref="F359:F360"/>
    <mergeCell ref="G359:G360"/>
    <mergeCell ref="H359:H360"/>
    <mergeCell ref="I359:I360"/>
    <mergeCell ref="E347:E348"/>
    <mergeCell ref="F347:F348"/>
    <mergeCell ref="H340:H342"/>
    <mergeCell ref="L310:L311"/>
    <mergeCell ref="A310:A311"/>
    <mergeCell ref="B310:B311"/>
    <mergeCell ref="C310:C311"/>
    <mergeCell ref="G310:G311"/>
    <mergeCell ref="H310:H311"/>
    <mergeCell ref="I310:I311"/>
    <mergeCell ref="B313:B314"/>
    <mergeCell ref="B324:B325"/>
    <mergeCell ref="C324:C325"/>
    <mergeCell ref="J329:J330"/>
    <mergeCell ref="A347:A348"/>
    <mergeCell ref="B329:B330"/>
    <mergeCell ref="A351:A354"/>
    <mergeCell ref="B351:B354"/>
    <mergeCell ref="C351:C354"/>
    <mergeCell ref="G352:G354"/>
    <mergeCell ref="J321:J322"/>
    <mergeCell ref="K321:K322"/>
    <mergeCell ref="L321:L322"/>
    <mergeCell ref="A335:A336"/>
    <mergeCell ref="B335:B336"/>
    <mergeCell ref="C335:C336"/>
    <mergeCell ref="D335:D336"/>
    <mergeCell ref="E335:E336"/>
    <mergeCell ref="F335:F336"/>
    <mergeCell ref="A321:A322"/>
    <mergeCell ref="B321:B322"/>
    <mergeCell ref="C321:C322"/>
    <mergeCell ref="G321:G322"/>
    <mergeCell ref="H321:H322"/>
    <mergeCell ref="A329:A330"/>
    <mergeCell ref="L298:L299"/>
    <mergeCell ref="A301:A302"/>
    <mergeCell ref="B301:B302"/>
    <mergeCell ref="C301:C302"/>
    <mergeCell ref="D301:D302"/>
    <mergeCell ref="E301:E302"/>
    <mergeCell ref="F301:F302"/>
    <mergeCell ref="J301:J302"/>
    <mergeCell ref="K301:K302"/>
    <mergeCell ref="A298:A300"/>
    <mergeCell ref="B298:B300"/>
    <mergeCell ref="G298:G299"/>
    <mergeCell ref="G289:G290"/>
    <mergeCell ref="H289:H290"/>
    <mergeCell ref="I289:I290"/>
    <mergeCell ref="J289:J290"/>
    <mergeCell ref="K289:K290"/>
    <mergeCell ref="L272:P272"/>
    <mergeCell ref="A277:A281"/>
    <mergeCell ref="B277:B281"/>
    <mergeCell ref="C277:C281"/>
    <mergeCell ref="D277:D281"/>
    <mergeCell ref="E277:E281"/>
    <mergeCell ref="F277:F281"/>
    <mergeCell ref="J277:J281"/>
    <mergeCell ref="K277:K281"/>
    <mergeCell ref="L235:L240"/>
    <mergeCell ref="A235:A240"/>
    <mergeCell ref="B235:B240"/>
    <mergeCell ref="C235:C240"/>
    <mergeCell ref="D235:D240"/>
    <mergeCell ref="E235:E240"/>
    <mergeCell ref="F235:F240"/>
    <mergeCell ref="A245:A246"/>
    <mergeCell ref="A256:A259"/>
    <mergeCell ref="B256:B259"/>
    <mergeCell ref="G256:J257"/>
    <mergeCell ref="C256:C257"/>
    <mergeCell ref="C258:C259"/>
    <mergeCell ref="C264:C265"/>
    <mergeCell ref="C245:C246"/>
    <mergeCell ref="G240:K240"/>
    <mergeCell ref="J235:J239"/>
    <mergeCell ref="K235:K239"/>
    <mergeCell ref="L224:L225"/>
    <mergeCell ref="A214:A215"/>
    <mergeCell ref="B214:B215"/>
    <mergeCell ref="C214:C215"/>
    <mergeCell ref="D214:D215"/>
    <mergeCell ref="E214:E215"/>
    <mergeCell ref="F214:F215"/>
    <mergeCell ref="G222:J222"/>
    <mergeCell ref="A220:A222"/>
    <mergeCell ref="L226:L227"/>
    <mergeCell ref="G228:J228"/>
    <mergeCell ref="L228:L229"/>
    <mergeCell ref="G229:J229"/>
    <mergeCell ref="A198:A200"/>
    <mergeCell ref="B198:B200"/>
    <mergeCell ref="C198:C200"/>
    <mergeCell ref="A210:A211"/>
    <mergeCell ref="B210:B211"/>
    <mergeCell ref="C210:C211"/>
    <mergeCell ref="B218:B219"/>
    <mergeCell ref="L198:L199"/>
    <mergeCell ref="L218:L219"/>
    <mergeCell ref="A226:A229"/>
    <mergeCell ref="B226:B229"/>
    <mergeCell ref="C226:C229"/>
    <mergeCell ref="D226:D227"/>
    <mergeCell ref="E226:E227"/>
    <mergeCell ref="F226:F227"/>
    <mergeCell ref="J226:J227"/>
    <mergeCell ref="K226:K227"/>
    <mergeCell ref="G224:G225"/>
    <mergeCell ref="H224:H225"/>
    <mergeCell ref="L195:L196"/>
    <mergeCell ref="D210:D211"/>
    <mergeCell ref="E210:E211"/>
    <mergeCell ref="F210:F211"/>
    <mergeCell ref="H203:H204"/>
    <mergeCell ref="I203:I204"/>
    <mergeCell ref="D204:F206"/>
    <mergeCell ref="J204:J206"/>
    <mergeCell ref="K212:K213"/>
    <mergeCell ref="J214:J215"/>
    <mergeCell ref="K214:K215"/>
    <mergeCell ref="D195:D196"/>
    <mergeCell ref="E195:E196"/>
    <mergeCell ref="F195:F196"/>
    <mergeCell ref="J218:J219"/>
    <mergeCell ref="G212:G213"/>
    <mergeCell ref="H212:H213"/>
    <mergeCell ref="I212:I213"/>
    <mergeCell ref="J212:J213"/>
    <mergeCell ref="K218:K219"/>
    <mergeCell ref="H198:H200"/>
    <mergeCell ref="K198:K200"/>
    <mergeCell ref="L158:L159"/>
    <mergeCell ref="A160:A161"/>
    <mergeCell ref="A158:A159"/>
    <mergeCell ref="B158:B159"/>
    <mergeCell ref="C158:C159"/>
    <mergeCell ref="G158:G159"/>
    <mergeCell ref="H158:H159"/>
    <mergeCell ref="I158:I159"/>
    <mergeCell ref="B160:B162"/>
    <mergeCell ref="C160:C162"/>
    <mergeCell ref="G160:G162"/>
    <mergeCell ref="H160:H162"/>
    <mergeCell ref="I160:I162"/>
    <mergeCell ref="J160:J162"/>
    <mergeCell ref="K160:K162"/>
    <mergeCell ref="J158:J159"/>
    <mergeCell ref="K164:K165"/>
    <mergeCell ref="B163:B165"/>
    <mergeCell ref="K158:K159"/>
    <mergeCell ref="L152:P152"/>
    <mergeCell ref="K155:K156"/>
    <mergeCell ref="L128:L129"/>
    <mergeCell ref="A126:A127"/>
    <mergeCell ref="B126:B127"/>
    <mergeCell ref="C126:C127"/>
    <mergeCell ref="A128:A129"/>
    <mergeCell ref="B128:B129"/>
    <mergeCell ref="C128:C129"/>
    <mergeCell ref="H141:H142"/>
    <mergeCell ref="I141:I142"/>
    <mergeCell ref="J141:J142"/>
    <mergeCell ref="K141:K142"/>
    <mergeCell ref="L141:L142"/>
    <mergeCell ref="A131:A132"/>
    <mergeCell ref="B131:B132"/>
    <mergeCell ref="A141:A142"/>
    <mergeCell ref="B141:B142"/>
    <mergeCell ref="C141:C142"/>
    <mergeCell ref="G141:G142"/>
    <mergeCell ref="G131:G132"/>
    <mergeCell ref="H131:H132"/>
    <mergeCell ref="I131:I132"/>
    <mergeCell ref="J131:J132"/>
    <mergeCell ref="G126:G127"/>
    <mergeCell ref="H126:H127"/>
    <mergeCell ref="I126:I127"/>
    <mergeCell ref="D128:D129"/>
    <mergeCell ref="E128:E129"/>
    <mergeCell ref="F128:F129"/>
    <mergeCell ref="K131:K132"/>
    <mergeCell ref="A135:A140"/>
    <mergeCell ref="C25:C27"/>
    <mergeCell ref="L102:L103"/>
    <mergeCell ref="A102:A103"/>
    <mergeCell ref="B102:B103"/>
    <mergeCell ref="C102:C103"/>
    <mergeCell ref="D102:D103"/>
    <mergeCell ref="E102:E103"/>
    <mergeCell ref="F102:F103"/>
    <mergeCell ref="L87:L88"/>
    <mergeCell ref="A89:A91"/>
    <mergeCell ref="B89:B91"/>
    <mergeCell ref="C89:C91"/>
    <mergeCell ref="K89:K91"/>
    <mergeCell ref="L89:L91"/>
    <mergeCell ref="A87:A88"/>
    <mergeCell ref="B87:B88"/>
    <mergeCell ref="C87:C88"/>
    <mergeCell ref="G87:G88"/>
    <mergeCell ref="H87:H88"/>
    <mergeCell ref="I87:I88"/>
    <mergeCell ref="G89:G91"/>
    <mergeCell ref="H89:H91"/>
    <mergeCell ref="I89:I91"/>
    <mergeCell ref="J89:J91"/>
    <mergeCell ref="E96:E101"/>
    <mergeCell ref="F96:F101"/>
    <mergeCell ref="A92:A101"/>
    <mergeCell ref="B92:B101"/>
    <mergeCell ref="C92:C95"/>
    <mergeCell ref="D92:D95"/>
    <mergeCell ref="E92:E95"/>
    <mergeCell ref="F92:F95"/>
    <mergeCell ref="A43:A45"/>
    <mergeCell ref="B43:B45"/>
    <mergeCell ref="C43:C45"/>
    <mergeCell ref="G43:G45"/>
    <mergeCell ref="H43:H45"/>
    <mergeCell ref="A51:A52"/>
    <mergeCell ref="B51:B52"/>
    <mergeCell ref="C51:C52"/>
    <mergeCell ref="I43:I45"/>
    <mergeCell ref="J43:J45"/>
    <mergeCell ref="K43:K45"/>
    <mergeCell ref="L43:L44"/>
    <mergeCell ref="L45:N45"/>
    <mergeCell ref="G48:G49"/>
    <mergeCell ref="H48:H49"/>
    <mergeCell ref="I48:I49"/>
    <mergeCell ref="J48:J49"/>
    <mergeCell ref="K48:K49"/>
    <mergeCell ref="L15:L16"/>
    <mergeCell ref="A15:A16"/>
    <mergeCell ref="B15:B16"/>
    <mergeCell ref="G15:G16"/>
    <mergeCell ref="H15:H16"/>
    <mergeCell ref="I15:I16"/>
    <mergeCell ref="J15:J16"/>
    <mergeCell ref="B39:B40"/>
    <mergeCell ref="K25:K26"/>
    <mergeCell ref="A37:A38"/>
    <mergeCell ref="B37:B38"/>
    <mergeCell ref="C37:C38"/>
    <mergeCell ref="D37:D38"/>
    <mergeCell ref="E37:E38"/>
    <mergeCell ref="F37:F38"/>
    <mergeCell ref="E25:E26"/>
    <mergeCell ref="F25:F26"/>
    <mergeCell ref="G25:G26"/>
    <mergeCell ref="H25:H26"/>
    <mergeCell ref="I25:I26"/>
    <mergeCell ref="J25:J26"/>
    <mergeCell ref="A25:A27"/>
    <mergeCell ref="B25:B27"/>
    <mergeCell ref="J37:J38"/>
    <mergeCell ref="K37:K38"/>
    <mergeCell ref="A39:A40"/>
    <mergeCell ref="C34:C36"/>
    <mergeCell ref="B34:B36"/>
    <mergeCell ref="A34:A36"/>
    <mergeCell ref="G34:G36"/>
    <mergeCell ref="H34:H36"/>
    <mergeCell ref="I34:I36"/>
    <mergeCell ref="H104:H105"/>
    <mergeCell ref="I104:I105"/>
    <mergeCell ref="B85:B86"/>
    <mergeCell ref="C85:C86"/>
    <mergeCell ref="A85:A86"/>
    <mergeCell ref="D73:D74"/>
    <mergeCell ref="J57:J58"/>
    <mergeCell ref="K57:K58"/>
    <mergeCell ref="L60:L61"/>
    <mergeCell ref="A64:A68"/>
    <mergeCell ref="B64:B68"/>
    <mergeCell ref="C64:C68"/>
    <mergeCell ref="C73:C74"/>
    <mergeCell ref="G121:J121"/>
    <mergeCell ref="E64:E67"/>
    <mergeCell ref="A60:A61"/>
    <mergeCell ref="F64:F67"/>
    <mergeCell ref="J92:J95"/>
    <mergeCell ref="H866:K866"/>
    <mergeCell ref="G385:J385"/>
    <mergeCell ref="G386:J386"/>
    <mergeCell ref="G378:G379"/>
    <mergeCell ref="B385:B386"/>
    <mergeCell ref="C385:C386"/>
    <mergeCell ref="A385:A386"/>
    <mergeCell ref="A193:A194"/>
    <mergeCell ref="B193:B194"/>
    <mergeCell ref="G583:G585"/>
    <mergeCell ref="H583:H585"/>
    <mergeCell ref="I583:I585"/>
    <mergeCell ref="J583:J585"/>
    <mergeCell ref="K583:K585"/>
    <mergeCell ref="B793:B795"/>
    <mergeCell ref="A793:A795"/>
    <mergeCell ref="A195:A196"/>
    <mergeCell ref="B195:B196"/>
    <mergeCell ref="C195:C196"/>
    <mergeCell ref="G729:I731"/>
    <mergeCell ref="B220:B222"/>
    <mergeCell ref="C220:C222"/>
    <mergeCell ref="D220:D222"/>
    <mergeCell ref="J195:J196"/>
    <mergeCell ref="K195:K196"/>
    <mergeCell ref="E220:E222"/>
    <mergeCell ref="F220:F222"/>
    <mergeCell ref="K224:K225"/>
    <mergeCell ref="A233:A234"/>
    <mergeCell ref="B233:B234"/>
    <mergeCell ref="C233:C234"/>
    <mergeCell ref="A857:A858"/>
    <mergeCell ref="B857:B858"/>
    <mergeCell ref="C857:C858"/>
    <mergeCell ref="D858:F858"/>
    <mergeCell ref="C164:C166"/>
    <mergeCell ref="A163:A166"/>
    <mergeCell ref="D166:F166"/>
    <mergeCell ref="H164:H166"/>
    <mergeCell ref="I164:I166"/>
    <mergeCell ref="D786:D787"/>
    <mergeCell ref="E786:E787"/>
    <mergeCell ref="F786:F787"/>
    <mergeCell ref="B203:B206"/>
    <mergeCell ref="A203:A206"/>
    <mergeCell ref="C203:C206"/>
    <mergeCell ref="G746:J746"/>
    <mergeCell ref="C178:C179"/>
    <mergeCell ref="D178:D179"/>
    <mergeCell ref="A174:A175"/>
    <mergeCell ref="B174:B175"/>
    <mergeCell ref="C174:C175"/>
    <mergeCell ref="D174:D175"/>
    <mergeCell ref="G164:G165"/>
    <mergeCell ref="J164:J165"/>
    <mergeCell ref="I198:I200"/>
    <mergeCell ref="J198:J200"/>
    <mergeCell ref="I702:I703"/>
    <mergeCell ref="D193:D194"/>
    <mergeCell ref="A224:A225"/>
    <mergeCell ref="B184:B185"/>
    <mergeCell ref="C184:C185"/>
    <mergeCell ref="D184:D185"/>
    <mergeCell ref="I668:I669"/>
    <mergeCell ref="K352:K354"/>
    <mergeCell ref="G136:G140"/>
    <mergeCell ref="H136:H140"/>
    <mergeCell ref="C135:C140"/>
    <mergeCell ref="B224:B225"/>
    <mergeCell ref="C224:C225"/>
    <mergeCell ref="A212:A213"/>
    <mergeCell ref="B212:B213"/>
    <mergeCell ref="C212:C213"/>
    <mergeCell ref="A218:A219"/>
    <mergeCell ref="K128:K129"/>
    <mergeCell ref="G124:J124"/>
    <mergeCell ref="G106:G107"/>
    <mergeCell ref="H106:H107"/>
    <mergeCell ref="I106:I107"/>
    <mergeCell ref="J106:J107"/>
    <mergeCell ref="K106:K107"/>
    <mergeCell ref="B135:B140"/>
    <mergeCell ref="A178:A179"/>
    <mergeCell ref="B178:B179"/>
    <mergeCell ref="B116:B122"/>
    <mergeCell ref="C116:C122"/>
    <mergeCell ref="G113:J113"/>
    <mergeCell ref="J128:J129"/>
    <mergeCell ref="J126:J127"/>
    <mergeCell ref="C106:C107"/>
    <mergeCell ref="B152:B153"/>
    <mergeCell ref="C152:C153"/>
    <mergeCell ref="A116:A122"/>
    <mergeCell ref="I321:I322"/>
    <mergeCell ref="K329:K330"/>
    <mergeCell ref="A324:A325"/>
    <mergeCell ref="H57:H58"/>
    <mergeCell ref="I57:I58"/>
    <mergeCell ref="F193:F194"/>
    <mergeCell ref="G193:G194"/>
    <mergeCell ref="H193:H194"/>
    <mergeCell ref="G31:J31"/>
    <mergeCell ref="E193:E194"/>
    <mergeCell ref="E73:E74"/>
    <mergeCell ref="F73:F74"/>
    <mergeCell ref="B112:B113"/>
    <mergeCell ref="G181:J181"/>
    <mergeCell ref="G76:J77"/>
    <mergeCell ref="D64:D67"/>
    <mergeCell ref="L4:L6"/>
    <mergeCell ref="A3:A6"/>
    <mergeCell ref="K204:K206"/>
    <mergeCell ref="C112:C113"/>
    <mergeCell ref="B106:B108"/>
    <mergeCell ref="A106:A108"/>
    <mergeCell ref="L57:L58"/>
    <mergeCell ref="J87:J88"/>
    <mergeCell ref="K87:K88"/>
    <mergeCell ref="K92:K95"/>
    <mergeCell ref="C96:C101"/>
    <mergeCell ref="G73:K73"/>
    <mergeCell ref="K76:K77"/>
    <mergeCell ref="A73:A74"/>
    <mergeCell ref="B73:B74"/>
    <mergeCell ref="B104:B105"/>
    <mergeCell ref="A104:A105"/>
    <mergeCell ref="C104:C105"/>
    <mergeCell ref="G104:G105"/>
    <mergeCell ref="I457:I458"/>
    <mergeCell ref="J457:J458"/>
    <mergeCell ref="K457:K458"/>
    <mergeCell ref="G668:G669"/>
    <mergeCell ref="H668:H669"/>
    <mergeCell ref="G120:J120"/>
    <mergeCell ref="K102:K103"/>
    <mergeCell ref="K104:K105"/>
    <mergeCell ref="J104:J105"/>
    <mergeCell ref="A112:A113"/>
    <mergeCell ref="G182:J182"/>
    <mergeCell ref="B83:B84"/>
    <mergeCell ref="E184:E185"/>
    <mergeCell ref="B3:B6"/>
    <mergeCell ref="C3:C6"/>
    <mergeCell ref="D4:F6"/>
    <mergeCell ref="J4:J6"/>
    <mergeCell ref="K4:K6"/>
    <mergeCell ref="I136:I140"/>
    <mergeCell ref="J136:J140"/>
    <mergeCell ref="K136:K140"/>
    <mergeCell ref="I193:I194"/>
    <mergeCell ref="J193:J194"/>
    <mergeCell ref="K193:K194"/>
    <mergeCell ref="G362:G363"/>
    <mergeCell ref="C193:C194"/>
    <mergeCell ref="J34:J36"/>
    <mergeCell ref="K34:K36"/>
    <mergeCell ref="K15:K16"/>
    <mergeCell ref="G68:J68"/>
    <mergeCell ref="K60:K61"/>
    <mergeCell ref="G57:G58"/>
    <mergeCell ref="F184:F185"/>
    <mergeCell ref="H298:H299"/>
    <mergeCell ref="I298:I299"/>
    <mergeCell ref="A289:A290"/>
    <mergeCell ref="B289:B290"/>
    <mergeCell ref="C289:C290"/>
    <mergeCell ref="D289:D290"/>
    <mergeCell ref="E289:E290"/>
    <mergeCell ref="F289:F290"/>
    <mergeCell ref="J298:J299"/>
    <mergeCell ref="A303:A306"/>
    <mergeCell ref="B303:B306"/>
    <mergeCell ref="C303:C306"/>
    <mergeCell ref="G674:J674"/>
    <mergeCell ref="L83:L84"/>
    <mergeCell ref="B757:B758"/>
    <mergeCell ref="A757:A758"/>
    <mergeCell ref="C757:C758"/>
    <mergeCell ref="B264:B266"/>
    <mergeCell ref="A264:A266"/>
    <mergeCell ref="A523:A524"/>
    <mergeCell ref="A446:A447"/>
    <mergeCell ref="B446:B447"/>
    <mergeCell ref="C446:C447"/>
    <mergeCell ref="D447:F447"/>
    <mergeCell ref="L446:L447"/>
    <mergeCell ref="L313:L314"/>
    <mergeCell ref="C313:C314"/>
    <mergeCell ref="A313:A314"/>
    <mergeCell ref="B495:B496"/>
    <mergeCell ref="A495:A496"/>
    <mergeCell ref="G496:J496"/>
    <mergeCell ref="I224:I225"/>
    <mergeCell ref="J224:J225"/>
    <mergeCell ref="K256:K257"/>
    <mergeCell ref="C512:C514"/>
    <mergeCell ref="B368:B371"/>
    <mergeCell ref="A368:A371"/>
    <mergeCell ref="C368:C371"/>
    <mergeCell ref="G370:G371"/>
    <mergeCell ref="H370:H371"/>
    <mergeCell ref="I370:I371"/>
    <mergeCell ref="J370:J371"/>
    <mergeCell ref="K370:K371"/>
    <mergeCell ref="A155:A157"/>
    <mergeCell ref="E174:E175"/>
    <mergeCell ref="K298:K299"/>
    <mergeCell ref="D303:D306"/>
    <mergeCell ref="E303:E306"/>
    <mergeCell ref="F303:F306"/>
    <mergeCell ref="J303:J304"/>
    <mergeCell ref="K303:K304"/>
    <mergeCell ref="H304:H305"/>
    <mergeCell ref="I304:I305"/>
    <mergeCell ref="J305:J306"/>
    <mergeCell ref="K305:K306"/>
    <mergeCell ref="J310:J311"/>
    <mergeCell ref="K310:K311"/>
    <mergeCell ref="D325:F325"/>
    <mergeCell ref="C329:C330"/>
    <mergeCell ref="B512:B514"/>
    <mergeCell ref="A512:A514"/>
    <mergeCell ref="E178:E179"/>
    <mergeCell ref="F178:F179"/>
    <mergeCell ref="K868:K869"/>
    <mergeCell ref="B49:B50"/>
    <mergeCell ref="A49:A50"/>
    <mergeCell ref="C49:C50"/>
    <mergeCell ref="D50:F50"/>
    <mergeCell ref="L370:L371"/>
    <mergeCell ref="D590:D591"/>
    <mergeCell ref="E590:E591"/>
    <mergeCell ref="F590:F591"/>
    <mergeCell ref="G51:G52"/>
    <mergeCell ref="H51:H52"/>
    <mergeCell ref="I51:I52"/>
    <mergeCell ref="J51:J52"/>
    <mergeCell ref="K51:K52"/>
    <mergeCell ref="A607:A608"/>
    <mergeCell ref="B607:B608"/>
    <mergeCell ref="C607:C608"/>
    <mergeCell ref="D607:D608"/>
    <mergeCell ref="E607:E608"/>
    <mergeCell ref="F607:F608"/>
    <mergeCell ref="A70:A71"/>
    <mergeCell ref="B70:B71"/>
    <mergeCell ref="C70:C71"/>
    <mergeCell ref="D70:D71"/>
    <mergeCell ref="E70:E71"/>
    <mergeCell ref="F70:F71"/>
    <mergeCell ref="G153:K153"/>
    <mergeCell ref="K126:K127"/>
    <mergeCell ref="F174:F175"/>
    <mergeCell ref="D233:D234"/>
    <mergeCell ref="E233:E234"/>
    <mergeCell ref="F233:F234"/>
    <mergeCell ref="G675:J675"/>
    <mergeCell ref="G672:J673"/>
    <mergeCell ref="G391:J391"/>
    <mergeCell ref="A393:A394"/>
    <mergeCell ref="A389:A392"/>
    <mergeCell ref="B389:B392"/>
    <mergeCell ref="C389:C392"/>
    <mergeCell ref="G545:J545"/>
    <mergeCell ref="G546:J546"/>
    <mergeCell ref="G547:J547"/>
    <mergeCell ref="C544:C548"/>
    <mergeCell ref="B544:B548"/>
    <mergeCell ref="A544:A548"/>
    <mergeCell ref="G548:J548"/>
    <mergeCell ref="G868:G869"/>
    <mergeCell ref="H868:H869"/>
    <mergeCell ref="I868:I869"/>
    <mergeCell ref="J868:J869"/>
    <mergeCell ref="G683:G687"/>
    <mergeCell ref="G691:J691"/>
    <mergeCell ref="B683:B693"/>
    <mergeCell ref="C683:C693"/>
    <mergeCell ref="A683:A693"/>
    <mergeCell ref="B716:B717"/>
    <mergeCell ref="A716:A717"/>
    <mergeCell ref="C716:C717"/>
    <mergeCell ref="D716:D717"/>
    <mergeCell ref="E716:E717"/>
    <mergeCell ref="F716:F717"/>
    <mergeCell ref="G716:J716"/>
    <mergeCell ref="G717:J717"/>
    <mergeCell ref="C400:C40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rightToLeft="1" topLeftCell="A10" zoomScale="70" zoomScaleNormal="70" workbookViewId="0">
      <selection activeCell="D21" sqref="D2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320" t="s">
        <v>905</v>
      </c>
      <c r="C1" s="3321"/>
      <c r="D1" s="332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>
        <v>4000000</v>
      </c>
      <c r="C10" s="2800" t="s">
        <v>3814</v>
      </c>
      <c r="D10" s="158" t="s">
        <v>4524</v>
      </c>
    </row>
    <row r="11" spans="1:4" ht="30" customHeight="1" x14ac:dyDescent="0.2">
      <c r="A11" s="231"/>
      <c r="B11" s="156">
        <v>4000000</v>
      </c>
      <c r="C11" s="548" t="s">
        <v>4261</v>
      </c>
      <c r="D11" s="158" t="s">
        <v>4842</v>
      </c>
    </row>
    <row r="12" spans="1:4" ht="30" customHeight="1" x14ac:dyDescent="0.2">
      <c r="A12" s="231"/>
      <c r="B12" s="443">
        <f>SUM(B3:B11)</f>
        <v>30000000</v>
      </c>
      <c r="C12" s="548"/>
      <c r="D12" s="158"/>
    </row>
    <row r="13" spans="1:4" ht="30" customHeight="1" x14ac:dyDescent="0.2">
      <c r="A13" s="231"/>
      <c r="B13" s="156"/>
      <c r="C13" s="548"/>
      <c r="D13" s="158"/>
    </row>
    <row r="14" spans="1:4" ht="30" customHeight="1" x14ac:dyDescent="0.2">
      <c r="A14" s="231"/>
      <c r="B14" s="156"/>
      <c r="C14" s="548"/>
      <c r="D14" s="158"/>
    </row>
    <row r="15" spans="1:4" ht="30" customHeight="1" thickBot="1" x14ac:dyDescent="0.25">
      <c r="A15" s="231"/>
      <c r="B15" s="156"/>
      <c r="C15" s="548"/>
      <c r="D15" s="158"/>
    </row>
    <row r="16" spans="1:4" ht="50.1" customHeight="1" thickBot="1" x14ac:dyDescent="0.25">
      <c r="A16" s="231"/>
      <c r="B16" s="3320" t="s">
        <v>1863</v>
      </c>
      <c r="C16" s="3321"/>
      <c r="D16" s="3322"/>
    </row>
    <row r="17" spans="1:4" ht="30" customHeight="1" x14ac:dyDescent="0.2">
      <c r="A17" s="143">
        <v>8</v>
      </c>
      <c r="B17" s="156">
        <v>1060000</v>
      </c>
      <c r="C17" s="139" t="s">
        <v>1709</v>
      </c>
      <c r="D17" s="158" t="s">
        <v>1880</v>
      </c>
    </row>
    <row r="18" spans="1:4" ht="30" customHeight="1" x14ac:dyDescent="0.2">
      <c r="A18" s="143">
        <v>9</v>
      </c>
      <c r="B18" s="156">
        <v>1193000</v>
      </c>
      <c r="C18" s="139" t="s">
        <v>2823</v>
      </c>
      <c r="D18" s="158" t="s">
        <v>2878</v>
      </c>
    </row>
    <row r="19" spans="1:4" ht="30" customHeight="1" x14ac:dyDescent="0.2">
      <c r="A19" s="143">
        <v>10</v>
      </c>
      <c r="B19" s="156">
        <v>1175000</v>
      </c>
      <c r="C19" s="139" t="s">
        <v>3570</v>
      </c>
      <c r="D19" s="158" t="s">
        <v>2878</v>
      </c>
    </row>
    <row r="20" spans="1:4" ht="30" customHeight="1" x14ac:dyDescent="0.2">
      <c r="A20" s="143">
        <v>11</v>
      </c>
      <c r="B20" s="156">
        <v>1175000</v>
      </c>
      <c r="C20" s="139" t="s">
        <v>4201</v>
      </c>
      <c r="D20" s="158" t="s">
        <v>2878</v>
      </c>
    </row>
    <row r="21" spans="1:4" ht="30" customHeight="1" x14ac:dyDescent="0.2">
      <c r="A21" s="143">
        <v>12</v>
      </c>
      <c r="B21" s="156">
        <v>1400000</v>
      </c>
      <c r="C21" s="139" t="s">
        <v>4512</v>
      </c>
      <c r="D21" s="158" t="s">
        <v>2878</v>
      </c>
    </row>
    <row r="22" spans="1:4" ht="30" customHeight="1" x14ac:dyDescent="0.2">
      <c r="A22" s="143">
        <v>13</v>
      </c>
      <c r="B22" s="156"/>
      <c r="C22" s="139"/>
      <c r="D22" s="158"/>
    </row>
    <row r="23" spans="1:4" ht="30" customHeight="1" x14ac:dyDescent="0.2">
      <c r="A23" s="143">
        <v>14</v>
      </c>
      <c r="B23" s="156"/>
      <c r="C23" s="139"/>
      <c r="D23" s="158"/>
    </row>
    <row r="24" spans="1:4" ht="30" customHeight="1" thickBot="1" x14ac:dyDescent="0.25">
      <c r="A24" s="104" t="s">
        <v>903</v>
      </c>
      <c r="B24" s="160">
        <f>SUM(B3:B23)</f>
        <v>66003000</v>
      </c>
      <c r="C24" s="161"/>
      <c r="D24" s="162"/>
    </row>
  </sheetData>
  <mergeCells count="2">
    <mergeCell ref="B1:D1"/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320" t="s">
        <v>909</v>
      </c>
      <c r="C1" s="3321"/>
      <c r="D1" s="332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rightToLeft="1" topLeftCell="A88" zoomScale="60" zoomScaleNormal="60" workbookViewId="0">
      <selection activeCell="C47" sqref="C47:D47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3342" t="s">
        <v>2029</v>
      </c>
      <c r="B1" s="3343"/>
      <c r="C1" s="3343"/>
      <c r="D1" s="3343"/>
      <c r="E1" s="3344"/>
    </row>
    <row r="2" spans="1:5" ht="50.1" customHeight="1" thickBot="1" x14ac:dyDescent="0.25">
      <c r="A2" s="629" t="s">
        <v>0</v>
      </c>
      <c r="B2" s="630" t="s">
        <v>906</v>
      </c>
      <c r="C2" s="3349" t="s">
        <v>2031</v>
      </c>
      <c r="D2" s="3350"/>
      <c r="E2" s="631" t="s">
        <v>271</v>
      </c>
    </row>
    <row r="3" spans="1:5" ht="50.1" customHeight="1" x14ac:dyDescent="0.2">
      <c r="A3" s="204">
        <v>1</v>
      </c>
      <c r="B3" s="156">
        <v>700000000</v>
      </c>
      <c r="C3" s="3345" t="s">
        <v>1869</v>
      </c>
      <c r="D3" s="3346"/>
      <c r="E3" s="628"/>
    </row>
    <row r="4" spans="1:5" ht="50.1" customHeight="1" x14ac:dyDescent="0.2">
      <c r="A4" s="204">
        <v>2</v>
      </c>
      <c r="B4" s="156">
        <v>650000000</v>
      </c>
      <c r="C4" s="3347" t="s">
        <v>1868</v>
      </c>
      <c r="D4" s="3348"/>
      <c r="E4" s="616" t="s">
        <v>2032</v>
      </c>
    </row>
    <row r="5" spans="1:5" ht="50.1" customHeight="1" x14ac:dyDescent="0.2">
      <c r="A5" s="204">
        <v>3</v>
      </c>
      <c r="B5" s="156">
        <v>650000000</v>
      </c>
      <c r="C5" s="3347" t="s">
        <v>2018</v>
      </c>
      <c r="D5" s="3348"/>
      <c r="E5" s="616" t="s">
        <v>2032</v>
      </c>
    </row>
    <row r="6" spans="1:5" ht="50.1" customHeight="1" thickBot="1" x14ac:dyDescent="0.25">
      <c r="A6" s="626">
        <v>4</v>
      </c>
      <c r="B6" s="208">
        <v>200000000</v>
      </c>
      <c r="C6" s="3331" t="s">
        <v>1876</v>
      </c>
      <c r="D6" s="3332"/>
      <c r="E6" s="3333"/>
    </row>
    <row r="7" spans="1:5" ht="30" customHeight="1" x14ac:dyDescent="0.2">
      <c r="A7" s="624"/>
      <c r="B7" s="589"/>
      <c r="C7" s="625"/>
      <c r="D7" s="625"/>
    </row>
    <row r="8" spans="1:5" ht="30" customHeight="1" thickBot="1" x14ac:dyDescent="0.25">
      <c r="A8" s="624"/>
      <c r="B8" s="589"/>
      <c r="C8" s="625"/>
      <c r="D8" s="625"/>
    </row>
    <row r="9" spans="1:5" ht="50.1" customHeight="1" thickBot="1" x14ac:dyDescent="0.25">
      <c r="A9" s="3334" t="s">
        <v>1863</v>
      </c>
      <c r="B9" s="3335"/>
      <c r="C9" s="3335"/>
      <c r="D9" s="3335"/>
      <c r="E9" s="3336"/>
    </row>
    <row r="10" spans="1:5" ht="50.1" customHeight="1" thickBot="1" x14ac:dyDescent="0.25">
      <c r="A10" s="637" t="s">
        <v>0</v>
      </c>
      <c r="B10" s="638" t="s">
        <v>906</v>
      </c>
      <c r="C10" s="638" t="s">
        <v>889</v>
      </c>
      <c r="D10" s="638" t="s">
        <v>2030</v>
      </c>
      <c r="E10" s="639" t="s">
        <v>271</v>
      </c>
    </row>
    <row r="11" spans="1:5" ht="39.950000000000003" customHeight="1" x14ac:dyDescent="0.2">
      <c r="A11" s="841">
        <v>1</v>
      </c>
      <c r="B11" s="641">
        <v>20000000</v>
      </c>
      <c r="C11" s="597" t="s">
        <v>1848</v>
      </c>
      <c r="D11" s="633" t="s">
        <v>1864</v>
      </c>
      <c r="E11" s="628"/>
    </row>
    <row r="12" spans="1:5" ht="39.950000000000003" customHeight="1" x14ac:dyDescent="0.2">
      <c r="A12" s="840">
        <v>2</v>
      </c>
      <c r="B12" s="641">
        <v>50000000</v>
      </c>
      <c r="C12" s="568" t="s">
        <v>1800</v>
      </c>
      <c r="D12" s="634" t="s">
        <v>9</v>
      </c>
      <c r="E12" s="627"/>
    </row>
    <row r="13" spans="1:5" ht="39.950000000000003" customHeight="1" x14ac:dyDescent="0.2">
      <c r="A13" s="642">
        <v>3</v>
      </c>
      <c r="B13" s="643">
        <v>5000000</v>
      </c>
      <c r="C13" s="610" t="s">
        <v>1865</v>
      </c>
      <c r="D13" s="496" t="s">
        <v>9</v>
      </c>
      <c r="E13" s="627"/>
    </row>
    <row r="14" spans="1:5" ht="39.950000000000003" customHeight="1" x14ac:dyDescent="0.2">
      <c r="A14" s="642">
        <v>4</v>
      </c>
      <c r="B14" s="643">
        <v>10000000</v>
      </c>
      <c r="C14" s="610" t="s">
        <v>900</v>
      </c>
      <c r="D14" s="496" t="s">
        <v>1866</v>
      </c>
      <c r="E14" s="627"/>
    </row>
    <row r="15" spans="1:5" ht="39.950000000000003" customHeight="1" x14ac:dyDescent="0.2">
      <c r="A15" s="642">
        <v>5</v>
      </c>
      <c r="B15" s="643">
        <v>20000000</v>
      </c>
      <c r="C15" s="610" t="s">
        <v>900</v>
      </c>
      <c r="D15" s="496" t="s">
        <v>1866</v>
      </c>
      <c r="E15" s="627"/>
    </row>
    <row r="16" spans="1:5" ht="39.950000000000003" customHeight="1" x14ac:dyDescent="0.2">
      <c r="A16" s="642">
        <v>6</v>
      </c>
      <c r="B16" s="641">
        <v>1000000</v>
      </c>
      <c r="C16" s="568" t="s">
        <v>329</v>
      </c>
      <c r="D16" s="634" t="s">
        <v>9</v>
      </c>
      <c r="E16" s="627"/>
    </row>
    <row r="17" spans="1:8" ht="39.950000000000003" customHeight="1" x14ac:dyDescent="0.2">
      <c r="A17" s="642">
        <v>7</v>
      </c>
      <c r="B17" s="641">
        <v>10000000</v>
      </c>
      <c r="C17" s="568" t="s">
        <v>755</v>
      </c>
      <c r="D17" s="634" t="s">
        <v>9</v>
      </c>
      <c r="E17" s="627"/>
    </row>
    <row r="18" spans="1:8" ht="39.950000000000003" customHeight="1" x14ac:dyDescent="0.2">
      <c r="A18" s="642">
        <v>8</v>
      </c>
      <c r="B18" s="641">
        <v>5000000</v>
      </c>
      <c r="C18" s="568" t="s">
        <v>755</v>
      </c>
      <c r="D18" s="634" t="s">
        <v>9</v>
      </c>
      <c r="E18" s="627"/>
    </row>
    <row r="19" spans="1:8" ht="39.950000000000003" customHeight="1" x14ac:dyDescent="0.2">
      <c r="A19" s="642">
        <v>9</v>
      </c>
      <c r="B19" s="641">
        <v>5000000</v>
      </c>
      <c r="C19" s="611" t="s">
        <v>933</v>
      </c>
      <c r="D19" s="640" t="s">
        <v>1867</v>
      </c>
      <c r="E19" s="627"/>
    </row>
    <row r="20" spans="1:8" ht="39.950000000000003" customHeight="1" x14ac:dyDescent="0.2">
      <c r="A20" s="642">
        <v>10</v>
      </c>
      <c r="B20" s="641">
        <v>7200000</v>
      </c>
      <c r="C20" s="568" t="s">
        <v>1315</v>
      </c>
      <c r="D20" s="634" t="s">
        <v>1870</v>
      </c>
      <c r="E20" s="627"/>
    </row>
    <row r="21" spans="1:8" ht="39.950000000000003" customHeight="1" x14ac:dyDescent="0.2">
      <c r="A21" s="484">
        <v>11</v>
      </c>
      <c r="B21" s="15">
        <v>42000000</v>
      </c>
      <c r="C21" s="611" t="s">
        <v>520</v>
      </c>
      <c r="D21" s="635" t="s">
        <v>9</v>
      </c>
      <c r="E21" s="627"/>
    </row>
    <row r="22" spans="1:8" ht="39.950000000000003" customHeight="1" x14ac:dyDescent="0.2">
      <c r="A22" s="839"/>
      <c r="B22" s="15">
        <v>30000000</v>
      </c>
      <c r="C22" s="611" t="s">
        <v>388</v>
      </c>
      <c r="D22" s="15" t="s">
        <v>9</v>
      </c>
      <c r="E22" s="627"/>
    </row>
    <row r="23" spans="1:8" ht="39.950000000000003" customHeight="1" x14ac:dyDescent="0.2">
      <c r="A23" s="839"/>
      <c r="B23" s="15">
        <v>1000000</v>
      </c>
      <c r="C23" s="611" t="s">
        <v>2001</v>
      </c>
      <c r="D23" s="15" t="s">
        <v>2053</v>
      </c>
      <c r="E23" s="627"/>
      <c r="H23" s="445"/>
    </row>
    <row r="24" spans="1:8" ht="39.950000000000003" customHeight="1" x14ac:dyDescent="0.2">
      <c r="A24" s="839"/>
      <c r="B24" s="15">
        <v>14000000</v>
      </c>
      <c r="C24" s="611" t="s">
        <v>2001</v>
      </c>
      <c r="D24" s="15" t="s">
        <v>2053</v>
      </c>
      <c r="E24" s="627"/>
      <c r="H24" s="445"/>
    </row>
    <row r="25" spans="1:8" ht="39.950000000000003" customHeight="1" x14ac:dyDescent="0.2">
      <c r="A25" s="839"/>
      <c r="B25" s="15">
        <v>20000000</v>
      </c>
      <c r="C25" s="611" t="s">
        <v>2001</v>
      </c>
      <c r="D25" s="15" t="s">
        <v>2053</v>
      </c>
      <c r="E25" s="627"/>
    </row>
    <row r="26" spans="1:8" ht="39.950000000000003" customHeight="1" x14ac:dyDescent="0.2">
      <c r="A26" s="839"/>
      <c r="B26" s="15">
        <v>37400000</v>
      </c>
      <c r="C26" s="611" t="s">
        <v>2120</v>
      </c>
      <c r="D26" s="15" t="s">
        <v>2053</v>
      </c>
      <c r="E26" s="627"/>
    </row>
    <row r="27" spans="1:8" ht="39.950000000000003" customHeight="1" x14ac:dyDescent="0.2">
      <c r="A27" s="839"/>
      <c r="B27" s="817">
        <v>2000000</v>
      </c>
      <c r="C27" s="611"/>
      <c r="D27" s="817"/>
      <c r="E27" s="627"/>
    </row>
    <row r="28" spans="1:8" ht="39.950000000000003" customHeight="1" x14ac:dyDescent="0.2">
      <c r="A28" s="839"/>
      <c r="B28" s="817">
        <v>17300000</v>
      </c>
      <c r="C28" s="611" t="s">
        <v>2426</v>
      </c>
      <c r="D28" s="817" t="s">
        <v>2057</v>
      </c>
      <c r="E28" s="627"/>
    </row>
    <row r="29" spans="1:8" ht="39.950000000000003" customHeight="1" x14ac:dyDescent="0.2">
      <c r="A29" s="839"/>
      <c r="B29" s="1126"/>
      <c r="C29" s="1131"/>
      <c r="D29" s="1126"/>
      <c r="E29" s="627"/>
    </row>
    <row r="30" spans="1:8" ht="39.950000000000003" customHeight="1" x14ac:dyDescent="0.2">
      <c r="A30" s="620" t="s">
        <v>903</v>
      </c>
      <c r="B30" s="3325">
        <f>SUM(B11:B29)</f>
        <v>296900000</v>
      </c>
      <c r="C30" s="3340"/>
      <c r="D30" s="3341"/>
      <c r="E30" s="632" t="s">
        <v>2026</v>
      </c>
    </row>
    <row r="31" spans="1:8" ht="39.950000000000003" customHeight="1" thickBot="1" x14ac:dyDescent="0.25">
      <c r="A31" s="198" t="s">
        <v>2027</v>
      </c>
      <c r="B31" s="3337">
        <f>B30-B13-B14-B15</f>
        <v>261900000</v>
      </c>
      <c r="C31" s="3338"/>
      <c r="D31" s="3339"/>
      <c r="E31" s="636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5"/>
      <c r="E33" s="615"/>
    </row>
    <row r="34" spans="1:5" ht="50.1" customHeight="1" x14ac:dyDescent="0.2">
      <c r="A34" s="3342" t="s">
        <v>2020</v>
      </c>
      <c r="B34" s="3343"/>
      <c r="C34" s="3343"/>
      <c r="D34" s="3343"/>
      <c r="E34" s="3344"/>
    </row>
    <row r="35" spans="1:5" ht="50.1" customHeight="1" x14ac:dyDescent="0.2">
      <c r="A35" s="621">
        <v>1</v>
      </c>
      <c r="B35" s="590">
        <v>700000000</v>
      </c>
      <c r="C35" s="613">
        <v>6.0999999999999999E-2</v>
      </c>
      <c r="D35" s="601">
        <v>42500000</v>
      </c>
      <c r="E35" s="616" t="s">
        <v>2021</v>
      </c>
    </row>
    <row r="36" spans="1:5" ht="50.1" customHeight="1" x14ac:dyDescent="0.2">
      <c r="A36" s="623">
        <v>2</v>
      </c>
      <c r="B36" s="599">
        <v>700000000</v>
      </c>
      <c r="C36" s="613">
        <v>6.0999999999999999E-2</v>
      </c>
      <c r="D36" s="599">
        <v>42500000</v>
      </c>
      <c r="E36" s="616" t="s">
        <v>2019</v>
      </c>
    </row>
    <row r="37" spans="1:5" ht="50.1" customHeight="1" x14ac:dyDescent="0.2">
      <c r="A37" s="623">
        <v>3</v>
      </c>
      <c r="B37" s="599">
        <v>650000000</v>
      </c>
      <c r="C37" s="613">
        <v>0.08</v>
      </c>
      <c r="D37" s="599">
        <v>17330000</v>
      </c>
      <c r="E37" s="616" t="s">
        <v>2022</v>
      </c>
    </row>
    <row r="38" spans="1:5" ht="50.1" customHeight="1" x14ac:dyDescent="0.2">
      <c r="A38" s="622">
        <v>4</v>
      </c>
      <c r="B38" s="488">
        <v>2000000000</v>
      </c>
      <c r="C38" s="614">
        <v>0.08</v>
      </c>
      <c r="D38" s="488">
        <f>B38*C38</f>
        <v>160000000</v>
      </c>
      <c r="E38" s="617" t="s">
        <v>2023</v>
      </c>
    </row>
    <row r="39" spans="1:5" ht="50.1" customHeight="1" x14ac:dyDescent="0.2">
      <c r="A39" s="486" t="s">
        <v>2028</v>
      </c>
      <c r="B39" s="3329">
        <f>D35+D36+D37+D38</f>
        <v>262330000</v>
      </c>
      <c r="C39" s="3329"/>
      <c r="D39" s="3329"/>
      <c r="E39" s="3330"/>
    </row>
    <row r="40" spans="1:5" ht="50.1" customHeight="1" x14ac:dyDescent="0.2">
      <c r="A40" s="618" t="s">
        <v>2024</v>
      </c>
      <c r="B40" s="3329">
        <f>B31</f>
        <v>261900000</v>
      </c>
      <c r="C40" s="3329"/>
      <c r="D40" s="3329"/>
      <c r="E40" s="3330"/>
    </row>
    <row r="41" spans="1:5" ht="50.1" customHeight="1" thickBot="1" x14ac:dyDescent="0.25">
      <c r="A41" s="619" t="s">
        <v>2025</v>
      </c>
      <c r="B41" s="3327">
        <f>B39-B40</f>
        <v>430000</v>
      </c>
      <c r="C41" s="3327"/>
      <c r="D41" s="3327"/>
      <c r="E41" s="3328"/>
    </row>
    <row r="42" spans="1:5" ht="50.1" customHeight="1" x14ac:dyDescent="0.2">
      <c r="A42" s="612"/>
      <c r="B42" s="612"/>
      <c r="C42" s="612"/>
      <c r="D42" s="612"/>
      <c r="E42" s="612"/>
    </row>
    <row r="43" spans="1:5" ht="15" thickBot="1" x14ac:dyDescent="0.25"/>
    <row r="44" spans="1:5" ht="50.1" customHeight="1" thickBot="1" x14ac:dyDescent="0.25">
      <c r="A44" s="3334" t="s">
        <v>2737</v>
      </c>
      <c r="B44" s="3335"/>
      <c r="C44" s="3335"/>
      <c r="D44" s="3335"/>
      <c r="E44" s="3336"/>
    </row>
    <row r="45" spans="1:5" ht="50.1" customHeight="1" thickBot="1" x14ac:dyDescent="0.25">
      <c r="A45" s="637" t="s">
        <v>0</v>
      </c>
      <c r="B45" s="638" t="s">
        <v>906</v>
      </c>
      <c r="C45" s="638" t="s">
        <v>889</v>
      </c>
      <c r="D45" s="638" t="s">
        <v>2030</v>
      </c>
      <c r="E45" s="639" t="s">
        <v>271</v>
      </c>
    </row>
    <row r="46" spans="1:5" ht="39.950000000000003" customHeight="1" x14ac:dyDescent="0.2">
      <c r="A46" s="1137">
        <v>1</v>
      </c>
      <c r="B46" s="1126">
        <v>40000000</v>
      </c>
      <c r="C46" s="1131" t="s">
        <v>3032</v>
      </c>
      <c r="D46" s="1320" t="s">
        <v>550</v>
      </c>
      <c r="E46" s="628"/>
    </row>
    <row r="47" spans="1:5" ht="39.950000000000003" customHeight="1" x14ac:dyDescent="0.2">
      <c r="A47" s="1138">
        <v>2</v>
      </c>
      <c r="B47" s="1125">
        <v>90400000</v>
      </c>
      <c r="C47" s="3316" t="s">
        <v>3154</v>
      </c>
      <c r="D47" s="3351"/>
      <c r="E47" s="627"/>
    </row>
    <row r="48" spans="1:5" ht="39.950000000000003" customHeight="1" x14ac:dyDescent="0.2">
      <c r="A48" s="642">
        <v>3</v>
      </c>
      <c r="B48" s="1125">
        <v>29600000</v>
      </c>
      <c r="C48" s="1122" t="s">
        <v>3137</v>
      </c>
      <c r="D48" s="1124" t="s">
        <v>3166</v>
      </c>
      <c r="E48" s="632"/>
    </row>
    <row r="49" spans="1:8" ht="39.950000000000003" customHeight="1" x14ac:dyDescent="0.2">
      <c r="A49" s="642">
        <v>4</v>
      </c>
      <c r="B49" s="1125"/>
      <c r="C49" s="1122"/>
      <c r="D49" s="1124"/>
      <c r="E49" s="627"/>
    </row>
    <row r="50" spans="1:8" ht="39.950000000000003" customHeight="1" x14ac:dyDescent="0.2">
      <c r="A50" s="642">
        <v>5</v>
      </c>
      <c r="B50" s="1125"/>
      <c r="C50" s="1122"/>
      <c r="D50" s="1124"/>
      <c r="E50" s="627"/>
    </row>
    <row r="51" spans="1:8" ht="39.950000000000003" customHeight="1" x14ac:dyDescent="0.2">
      <c r="A51" s="642">
        <v>6</v>
      </c>
      <c r="B51" s="1125"/>
      <c r="C51" s="1122"/>
      <c r="D51" s="1124"/>
      <c r="E51" s="627"/>
    </row>
    <row r="52" spans="1:8" ht="39.950000000000003" customHeight="1" x14ac:dyDescent="0.2">
      <c r="A52" s="642">
        <v>7</v>
      </c>
      <c r="B52" s="1125"/>
      <c r="C52" s="1122"/>
      <c r="D52" s="1124"/>
      <c r="E52" s="627"/>
    </row>
    <row r="53" spans="1:8" ht="39.950000000000003" customHeight="1" x14ac:dyDescent="0.2">
      <c r="A53" s="642">
        <v>8</v>
      </c>
      <c r="B53" s="1125"/>
      <c r="C53" s="1122"/>
      <c r="D53" s="1124"/>
      <c r="E53" s="627"/>
    </row>
    <row r="54" spans="1:8" ht="39.950000000000003" customHeight="1" x14ac:dyDescent="0.2">
      <c r="A54" s="642">
        <v>9</v>
      </c>
      <c r="B54" s="1125"/>
      <c r="C54" s="1131"/>
      <c r="D54" s="1128"/>
      <c r="E54" s="627"/>
    </row>
    <row r="55" spans="1:8" ht="39.950000000000003" customHeight="1" x14ac:dyDescent="0.2">
      <c r="A55" s="642">
        <v>10</v>
      </c>
      <c r="B55" s="1125"/>
      <c r="C55" s="1122"/>
      <c r="D55" s="1124"/>
      <c r="E55" s="627"/>
    </row>
    <row r="56" spans="1:8" ht="39.950000000000003" customHeight="1" x14ac:dyDescent="0.2">
      <c r="A56" s="484">
        <v>11</v>
      </c>
      <c r="B56" s="1126"/>
      <c r="C56" s="1131"/>
      <c r="D56" s="1116"/>
      <c r="E56" s="627"/>
    </row>
    <row r="57" spans="1:8" ht="39.950000000000003" customHeight="1" x14ac:dyDescent="0.2">
      <c r="A57" s="1136"/>
      <c r="B57" s="1126"/>
      <c r="C57" s="1131"/>
      <c r="D57" s="1126"/>
      <c r="E57" s="627"/>
    </row>
    <row r="58" spans="1:8" ht="39.950000000000003" customHeight="1" x14ac:dyDescent="0.2">
      <c r="A58" s="1136"/>
      <c r="B58" s="1126"/>
      <c r="C58" s="1131"/>
      <c r="D58" s="1126"/>
      <c r="E58" s="627"/>
      <c r="H58" s="445"/>
    </row>
    <row r="59" spans="1:8" ht="39.950000000000003" customHeight="1" x14ac:dyDescent="0.2">
      <c r="A59" s="1136"/>
      <c r="B59" s="1126"/>
      <c r="C59" s="1131"/>
      <c r="D59" s="1126"/>
      <c r="E59" s="627"/>
      <c r="H59" s="445"/>
    </row>
    <row r="60" spans="1:8" ht="39.950000000000003" customHeight="1" x14ac:dyDescent="0.2">
      <c r="A60" s="1136"/>
      <c r="B60" s="1126"/>
      <c r="C60" s="1131"/>
      <c r="D60" s="1126"/>
      <c r="E60" s="627"/>
    </row>
    <row r="61" spans="1:8" ht="39.950000000000003" customHeight="1" x14ac:dyDescent="0.2">
      <c r="A61" s="1136"/>
      <c r="B61" s="1126"/>
      <c r="C61" s="1131"/>
      <c r="D61" s="1126"/>
      <c r="E61" s="627"/>
    </row>
    <row r="62" spans="1:8" ht="39.950000000000003" customHeight="1" x14ac:dyDescent="0.2">
      <c r="A62" s="1136"/>
      <c r="B62" s="1126"/>
      <c r="C62" s="1131"/>
      <c r="D62" s="1126"/>
      <c r="E62" s="627"/>
    </row>
    <row r="63" spans="1:8" ht="39.950000000000003" customHeight="1" x14ac:dyDescent="0.2">
      <c r="A63" s="1136"/>
      <c r="B63" s="1126"/>
      <c r="C63" s="1131"/>
      <c r="D63" s="1126"/>
      <c r="E63" s="627"/>
    </row>
    <row r="64" spans="1:8" ht="39.950000000000003" customHeight="1" x14ac:dyDescent="0.2">
      <c r="A64" s="1136"/>
      <c r="B64" s="1126"/>
      <c r="C64" s="1131"/>
      <c r="D64" s="1126"/>
      <c r="E64" s="627"/>
    </row>
    <row r="65" spans="1:5" ht="39.950000000000003" customHeight="1" thickBot="1" x14ac:dyDescent="0.25">
      <c r="A65" s="198" t="s">
        <v>2027</v>
      </c>
      <c r="B65" s="3337">
        <f>SUM(B46:B64)</f>
        <v>160000000</v>
      </c>
      <c r="C65" s="3338"/>
      <c r="D65" s="3339"/>
      <c r="E65" s="636"/>
    </row>
    <row r="68" spans="1:5" ht="15" thickBot="1" x14ac:dyDescent="0.25"/>
    <row r="69" spans="1:5" ht="50.1" customHeight="1" x14ac:dyDescent="0.2">
      <c r="A69" s="3342" t="s">
        <v>2020</v>
      </c>
      <c r="B69" s="3343"/>
      <c r="C69" s="3343"/>
      <c r="D69" s="3343"/>
      <c r="E69" s="3344"/>
    </row>
    <row r="70" spans="1:5" ht="50.1" customHeight="1" x14ac:dyDescent="0.2">
      <c r="A70" s="621">
        <v>1</v>
      </c>
      <c r="B70" s="1126">
        <v>2000000000</v>
      </c>
      <c r="C70" s="613">
        <v>0.08</v>
      </c>
      <c r="D70" s="1126">
        <f>B70*C70</f>
        <v>160000000</v>
      </c>
      <c r="E70" s="617" t="s">
        <v>2738</v>
      </c>
    </row>
    <row r="71" spans="1:5" ht="50.1" customHeight="1" x14ac:dyDescent="0.2">
      <c r="A71" s="623">
        <v>2</v>
      </c>
      <c r="B71" s="1125"/>
      <c r="C71" s="1139"/>
      <c r="D71" s="1125"/>
      <c r="E71" s="616"/>
    </row>
    <row r="72" spans="1:5" ht="50.1" customHeight="1" x14ac:dyDescent="0.2">
      <c r="A72" s="623">
        <v>3</v>
      </c>
      <c r="B72" s="1125"/>
      <c r="C72" s="613"/>
      <c r="D72" s="1125"/>
      <c r="E72" s="616"/>
    </row>
    <row r="73" spans="1:5" ht="50.1" customHeight="1" x14ac:dyDescent="0.2">
      <c r="A73" s="622">
        <v>4</v>
      </c>
      <c r="B73" s="1129"/>
      <c r="C73" s="614"/>
      <c r="D73" s="1129"/>
      <c r="E73" s="617"/>
    </row>
    <row r="74" spans="1:5" ht="50.1" customHeight="1" x14ac:dyDescent="0.2">
      <c r="A74" s="486" t="s">
        <v>2739</v>
      </c>
      <c r="B74" s="3329">
        <f>D70</f>
        <v>160000000</v>
      </c>
      <c r="C74" s="3329"/>
      <c r="D74" s="3329"/>
      <c r="E74" s="3330"/>
    </row>
    <row r="75" spans="1:5" ht="50.1" customHeight="1" x14ac:dyDescent="0.2">
      <c r="A75" s="618" t="s">
        <v>2024</v>
      </c>
      <c r="B75" s="3329">
        <f>B65</f>
        <v>160000000</v>
      </c>
      <c r="C75" s="3329"/>
      <c r="D75" s="3329"/>
      <c r="E75" s="3330"/>
    </row>
    <row r="76" spans="1:5" ht="50.1" customHeight="1" thickBot="1" x14ac:dyDescent="0.25">
      <c r="A76" s="619" t="s">
        <v>4780</v>
      </c>
      <c r="B76" s="3327">
        <f>B74-B75</f>
        <v>0</v>
      </c>
      <c r="C76" s="3327"/>
      <c r="D76" s="3327"/>
      <c r="E76" s="3328"/>
    </row>
    <row r="80" spans="1:5" ht="15" thickBot="1" x14ac:dyDescent="0.25"/>
    <row r="81" spans="1:8" ht="50.1" customHeight="1" thickBot="1" x14ac:dyDescent="0.25">
      <c r="A81" s="3334" t="s">
        <v>3872</v>
      </c>
      <c r="B81" s="3335"/>
      <c r="C81" s="3335"/>
      <c r="D81" s="3335"/>
      <c r="E81" s="3336"/>
    </row>
    <row r="82" spans="1:8" ht="50.1" customHeight="1" thickBot="1" x14ac:dyDescent="0.25">
      <c r="A82" s="637" t="s">
        <v>0</v>
      </c>
      <c r="B82" s="638" t="s">
        <v>906</v>
      </c>
      <c r="C82" s="638" t="s">
        <v>889</v>
      </c>
      <c r="D82" s="638" t="s">
        <v>2030</v>
      </c>
      <c r="E82" s="639" t="s">
        <v>271</v>
      </c>
    </row>
    <row r="83" spans="1:8" ht="39.950000000000003" customHeight="1" x14ac:dyDescent="0.2">
      <c r="A83" s="1137">
        <v>1</v>
      </c>
      <c r="B83" s="1860"/>
      <c r="C83" s="1866"/>
      <c r="D83" s="1866"/>
      <c r="E83" s="628"/>
    </row>
    <row r="84" spans="1:8" ht="39.950000000000003" customHeight="1" x14ac:dyDescent="0.2">
      <c r="A84" s="1138">
        <v>2</v>
      </c>
      <c r="B84" s="1859"/>
      <c r="C84" s="1441"/>
      <c r="D84" s="1866"/>
      <c r="E84" s="627"/>
    </row>
    <row r="85" spans="1:8" ht="39.950000000000003" customHeight="1" x14ac:dyDescent="0.2">
      <c r="A85" s="642">
        <v>3</v>
      </c>
      <c r="B85" s="1859"/>
      <c r="C85" s="1856"/>
      <c r="D85" s="1858"/>
      <c r="E85" s="632"/>
    </row>
    <row r="86" spans="1:8" ht="39.950000000000003" customHeight="1" x14ac:dyDescent="0.2">
      <c r="A86" s="642">
        <v>4</v>
      </c>
      <c r="B86" s="1859"/>
      <c r="C86" s="1856"/>
      <c r="D86" s="1858"/>
      <c r="E86" s="627"/>
    </row>
    <row r="87" spans="1:8" ht="39.950000000000003" customHeight="1" x14ac:dyDescent="0.2">
      <c r="A87" s="642">
        <v>5</v>
      </c>
      <c r="B87" s="1859"/>
      <c r="C87" s="1856"/>
      <c r="D87" s="1858"/>
      <c r="E87" s="627"/>
    </row>
    <row r="88" spans="1:8" ht="39.950000000000003" customHeight="1" x14ac:dyDescent="0.2">
      <c r="A88" s="642">
        <v>6</v>
      </c>
      <c r="B88" s="1859"/>
      <c r="C88" s="1856"/>
      <c r="D88" s="1858"/>
      <c r="E88" s="627"/>
    </row>
    <row r="89" spans="1:8" ht="39.950000000000003" customHeight="1" x14ac:dyDescent="0.2">
      <c r="A89" s="642">
        <v>7</v>
      </c>
      <c r="B89" s="1860">
        <v>23000000</v>
      </c>
      <c r="C89" s="1866" t="s">
        <v>3814</v>
      </c>
      <c r="D89" s="1866" t="s">
        <v>2057</v>
      </c>
      <c r="E89" s="627"/>
    </row>
    <row r="90" spans="1:8" ht="39.950000000000003" customHeight="1" x14ac:dyDescent="0.2">
      <c r="A90" s="642">
        <v>8</v>
      </c>
      <c r="B90" s="1859">
        <v>10000000</v>
      </c>
      <c r="C90" s="1866" t="s">
        <v>3814</v>
      </c>
      <c r="D90" s="1866" t="s">
        <v>2057</v>
      </c>
      <c r="E90" s="627"/>
    </row>
    <row r="91" spans="1:8" ht="39.950000000000003" customHeight="1" x14ac:dyDescent="0.2">
      <c r="A91" s="642">
        <v>9</v>
      </c>
      <c r="B91" s="1859">
        <v>17000000</v>
      </c>
      <c r="C91" s="1856" t="s">
        <v>3814</v>
      </c>
      <c r="D91" s="1858" t="s">
        <v>550</v>
      </c>
      <c r="E91" s="627"/>
    </row>
    <row r="92" spans="1:8" ht="39.950000000000003" customHeight="1" x14ac:dyDescent="0.2">
      <c r="A92" s="642">
        <v>10</v>
      </c>
      <c r="B92" s="1859">
        <v>10000000</v>
      </c>
      <c r="C92" s="1856" t="s">
        <v>3869</v>
      </c>
      <c r="D92" s="1858" t="s">
        <v>550</v>
      </c>
      <c r="E92" s="627"/>
    </row>
    <row r="93" spans="1:8" ht="39.950000000000003" customHeight="1" x14ac:dyDescent="0.2">
      <c r="A93" s="484">
        <v>11</v>
      </c>
      <c r="B93" s="1860">
        <v>12000000</v>
      </c>
      <c r="C93" s="1866" t="s">
        <v>3869</v>
      </c>
      <c r="D93" s="1849" t="s">
        <v>2057</v>
      </c>
      <c r="E93" s="627"/>
    </row>
    <row r="94" spans="1:8" ht="39.950000000000003" customHeight="1" x14ac:dyDescent="0.2">
      <c r="A94" s="1136"/>
      <c r="B94" s="1860"/>
      <c r="C94" s="1866"/>
      <c r="D94" s="1860"/>
      <c r="E94" s="627"/>
    </row>
    <row r="95" spans="1:8" ht="39.950000000000003" customHeight="1" x14ac:dyDescent="0.2">
      <c r="A95" s="1136"/>
      <c r="B95" s="1860"/>
      <c r="C95" s="1866"/>
      <c r="D95" s="1860"/>
      <c r="E95" s="627"/>
      <c r="H95" s="445"/>
    </row>
    <row r="96" spans="1:8" ht="39.950000000000003" customHeight="1" x14ac:dyDescent="0.2">
      <c r="A96" s="1136"/>
      <c r="B96" s="1860"/>
      <c r="C96" s="1866"/>
      <c r="D96" s="1860"/>
      <c r="E96" s="627"/>
      <c r="H96" s="445"/>
    </row>
    <row r="97" spans="1:5" ht="39.950000000000003" customHeight="1" x14ac:dyDescent="0.2">
      <c r="A97" s="1136"/>
      <c r="B97" s="1860"/>
      <c r="C97" s="1866"/>
      <c r="D97" s="1860"/>
      <c r="E97" s="627"/>
    </row>
    <row r="98" spans="1:5" ht="39.950000000000003" customHeight="1" x14ac:dyDescent="0.2">
      <c r="A98" s="1136"/>
      <c r="B98" s="1860"/>
      <c r="C98" s="1866"/>
      <c r="D98" s="1860"/>
      <c r="E98" s="627"/>
    </row>
    <row r="99" spans="1:5" ht="39.950000000000003" customHeight="1" x14ac:dyDescent="0.2">
      <c r="A99" s="1136"/>
      <c r="B99" s="1860"/>
      <c r="C99" s="1866"/>
      <c r="D99" s="1860"/>
      <c r="E99" s="627"/>
    </row>
    <row r="100" spans="1:5" ht="39.950000000000003" customHeight="1" x14ac:dyDescent="0.2">
      <c r="A100" s="1136"/>
      <c r="B100" s="1860"/>
      <c r="C100" s="1866"/>
      <c r="D100" s="1860"/>
      <c r="E100" s="627"/>
    </row>
    <row r="101" spans="1:5" ht="39.950000000000003" customHeight="1" x14ac:dyDescent="0.2">
      <c r="A101" s="1136"/>
      <c r="B101" s="1860"/>
      <c r="C101" s="1866"/>
      <c r="D101" s="1860"/>
      <c r="E101" s="627"/>
    </row>
    <row r="102" spans="1:5" ht="39.950000000000003" customHeight="1" thickBot="1" x14ac:dyDescent="0.25">
      <c r="A102" s="198" t="s">
        <v>2027</v>
      </c>
      <c r="B102" s="3337">
        <f>SUM(B83:B101)</f>
        <v>72000000</v>
      </c>
      <c r="C102" s="3338"/>
      <c r="D102" s="3339"/>
      <c r="E102" s="636"/>
    </row>
    <row r="105" spans="1:5" ht="15" thickBot="1" x14ac:dyDescent="0.25"/>
    <row r="106" spans="1:5" ht="50.1" customHeight="1" x14ac:dyDescent="0.2">
      <c r="A106" s="3342" t="s">
        <v>2020</v>
      </c>
      <c r="B106" s="3343"/>
      <c r="C106" s="3343"/>
      <c r="D106" s="3343"/>
      <c r="E106" s="3344"/>
    </row>
    <row r="107" spans="1:5" ht="50.1" customHeight="1" x14ac:dyDescent="0.2">
      <c r="A107" s="621">
        <v>1</v>
      </c>
      <c r="B107" s="1860">
        <v>2000000000</v>
      </c>
      <c r="C107" s="613">
        <v>0.08</v>
      </c>
      <c r="D107" s="1860">
        <f>B107*C107</f>
        <v>160000000</v>
      </c>
      <c r="E107" s="617" t="s">
        <v>2738</v>
      </c>
    </row>
    <row r="108" spans="1:5" ht="50.1" customHeight="1" x14ac:dyDescent="0.2">
      <c r="A108" s="623">
        <v>2</v>
      </c>
      <c r="B108" s="1859"/>
      <c r="C108" s="1139"/>
      <c r="D108" s="1859"/>
      <c r="E108" s="616"/>
    </row>
    <row r="109" spans="1:5" ht="50.1" customHeight="1" x14ac:dyDescent="0.2">
      <c r="A109" s="623">
        <v>3</v>
      </c>
      <c r="B109" s="1859"/>
      <c r="C109" s="613"/>
      <c r="D109" s="1859"/>
      <c r="E109" s="616"/>
    </row>
    <row r="110" spans="1:5" ht="50.1" customHeight="1" x14ac:dyDescent="0.2">
      <c r="A110" s="622">
        <v>4</v>
      </c>
      <c r="B110" s="1863"/>
      <c r="C110" s="614"/>
      <c r="D110" s="1863"/>
      <c r="E110" s="617"/>
    </row>
    <row r="111" spans="1:5" ht="50.1" customHeight="1" x14ac:dyDescent="0.2">
      <c r="A111" s="486" t="s">
        <v>3873</v>
      </c>
      <c r="B111" s="3329">
        <f>D107</f>
        <v>160000000</v>
      </c>
      <c r="C111" s="3329"/>
      <c r="D111" s="3329"/>
      <c r="E111" s="3330"/>
    </row>
    <row r="112" spans="1:5" ht="50.1" customHeight="1" x14ac:dyDescent="0.2">
      <c r="A112" s="618" t="s">
        <v>2024</v>
      </c>
      <c r="B112" s="3329">
        <f>B102</f>
        <v>72000000</v>
      </c>
      <c r="C112" s="3329"/>
      <c r="D112" s="3329"/>
      <c r="E112" s="3330"/>
    </row>
    <row r="113" spans="1:5" ht="50.1" customHeight="1" thickBot="1" x14ac:dyDescent="0.25">
      <c r="A113" s="619" t="s">
        <v>3874</v>
      </c>
      <c r="B113" s="3327">
        <f>B111-B112</f>
        <v>88000000</v>
      </c>
      <c r="C113" s="3327"/>
      <c r="D113" s="3327"/>
      <c r="E113" s="3328"/>
    </row>
  </sheetData>
  <mergeCells count="26">
    <mergeCell ref="B112:E112"/>
    <mergeCell ref="B113:E113"/>
    <mergeCell ref="A81:E81"/>
    <mergeCell ref="B102:D102"/>
    <mergeCell ref="A106:E106"/>
    <mergeCell ref="B111:E111"/>
    <mergeCell ref="B75:E75"/>
    <mergeCell ref="B76:E76"/>
    <mergeCell ref="A44:E44"/>
    <mergeCell ref="B65:D65"/>
    <mergeCell ref="A69:E69"/>
    <mergeCell ref="B74:E74"/>
    <mergeCell ref="C47:D47"/>
    <mergeCell ref="C3:D3"/>
    <mergeCell ref="C4:D4"/>
    <mergeCell ref="C5:D5"/>
    <mergeCell ref="A1:E1"/>
    <mergeCell ref="C2:D2"/>
    <mergeCell ref="B41:E41"/>
    <mergeCell ref="B39:E39"/>
    <mergeCell ref="B40:E40"/>
    <mergeCell ref="C6:E6"/>
    <mergeCell ref="A9:E9"/>
    <mergeCell ref="B31:D31"/>
    <mergeCell ref="B30:D30"/>
    <mergeCell ref="A34:E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3320" t="s">
        <v>1170</v>
      </c>
      <c r="C1" s="3321"/>
      <c r="D1" s="332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1283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7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3342" t="s">
        <v>1220</v>
      </c>
      <c r="B1" s="3343"/>
      <c r="C1" s="3343"/>
      <c r="D1" s="3343"/>
      <c r="E1" s="3343"/>
      <c r="F1" s="3344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3352" t="s">
        <v>1224</v>
      </c>
      <c r="B6" s="3353"/>
      <c r="C6" s="3353"/>
      <c r="D6" s="3353"/>
      <c r="E6" s="3353"/>
      <c r="F6" s="3354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3355"/>
      <c r="B8" s="3355"/>
      <c r="C8" s="3355"/>
      <c r="D8" s="3355"/>
    </row>
    <row r="9" spans="1:6" s="196" customFormat="1" ht="30" customHeight="1" thickBot="1" x14ac:dyDescent="0.25">
      <c r="A9" s="3352" t="s">
        <v>1225</v>
      </c>
      <c r="B9" s="3353"/>
      <c r="C9" s="3353"/>
      <c r="D9" s="3353"/>
      <c r="E9" s="3353"/>
      <c r="F9" s="3354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3352" t="s">
        <v>1226</v>
      </c>
      <c r="B12" s="3353"/>
      <c r="C12" s="3353"/>
      <c r="D12" s="3353"/>
      <c r="E12" s="3353"/>
      <c r="F12" s="3354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workbookViewId="0">
      <selection activeCell="C8" sqref="C8:D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3320" t="s">
        <v>1550</v>
      </c>
      <c r="B1" s="3321"/>
      <c r="C1" s="3321"/>
      <c r="D1" s="3322"/>
    </row>
    <row r="2" spans="1:7" ht="50.1" customHeight="1" x14ac:dyDescent="0.2">
      <c r="A2" s="201" t="s">
        <v>0</v>
      </c>
      <c r="B2" s="154" t="s">
        <v>1549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3356" t="s">
        <v>1551</v>
      </c>
      <c r="D3" s="3357"/>
      <c r="F3" s="406"/>
      <c r="G3" s="406"/>
    </row>
    <row r="4" spans="1:7" ht="50.1" customHeight="1" thickBot="1" x14ac:dyDescent="0.25">
      <c r="A4" s="450"/>
      <c r="B4" s="3320" t="s">
        <v>1554</v>
      </c>
      <c r="C4" s="3321"/>
      <c r="D4" s="3322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1552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1553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1552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3372"/>
      <c r="D8" s="3373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3374" t="s">
        <v>1555</v>
      </c>
      <c r="B10" s="3375"/>
      <c r="C10" s="3375"/>
      <c r="D10" s="3376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3374" t="s">
        <v>1556</v>
      </c>
      <c r="B12" s="3375"/>
      <c r="C12" s="3375"/>
      <c r="D12" s="3376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3374" t="s">
        <v>1562</v>
      </c>
      <c r="B14" s="3375"/>
      <c r="C14" s="3375"/>
      <c r="D14" s="3376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3360" t="s">
        <v>1557</v>
      </c>
      <c r="B16" s="3361"/>
      <c r="C16" s="3361"/>
      <c r="D16" s="3362"/>
      <c r="F16" s="448"/>
      <c r="G16" s="449"/>
    </row>
    <row r="17" spans="1:7" ht="30" customHeight="1" thickBot="1" x14ac:dyDescent="0.25">
      <c r="A17" s="3363"/>
      <c r="B17" s="3364"/>
      <c r="C17" s="3364"/>
      <c r="D17" s="3365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3366" t="s">
        <v>1558</v>
      </c>
      <c r="B19" s="3367"/>
      <c r="C19" s="3367"/>
      <c r="D19" s="3368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3366" t="s">
        <v>1559</v>
      </c>
      <c r="B21" s="3367"/>
      <c r="C21" s="3367"/>
      <c r="D21" s="3368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3366" t="s">
        <v>1560</v>
      </c>
      <c r="B23" s="3367"/>
      <c r="C23" s="3367"/>
      <c r="D23" s="3368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3369" t="s">
        <v>1550</v>
      </c>
      <c r="B25" s="3370"/>
      <c r="C25" s="3370"/>
      <c r="D25" s="3371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3358" t="s">
        <v>1561</v>
      </c>
      <c r="D26" s="3359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غلامرضا یگانه</vt:lpstr>
      <vt:lpstr>آقای سحابی ( رفیعی )</vt:lpstr>
      <vt:lpstr>قاسم جوینی</vt:lpstr>
      <vt:lpstr>علی عبداللهی</vt:lpstr>
      <vt:lpstr>حمیده بیرجندی</vt:lpstr>
      <vt:lpstr>زهرا جلالی-خانم محمود جلالی</vt:lpstr>
      <vt:lpstr>مرضیه احیایی</vt:lpstr>
      <vt:lpstr>رویا رمضان زاده</vt:lpstr>
      <vt:lpstr>سالانه</vt:lpstr>
      <vt:lpstr>اطلاعات مشتریان</vt:lpstr>
      <vt:lpstr>خرداد</vt:lpstr>
      <vt:lpstr>تیر</vt:lpstr>
      <vt:lpstr>مرداد</vt:lpstr>
      <vt:lpstr>شهریور</vt:lpstr>
      <vt:lpstr>مهر</vt:lpstr>
      <vt:lpstr>مهر نهایی</vt:lpstr>
      <vt:lpstr>آبان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2022-11-24T08:48:06Z</dcterms:modified>
</cp:coreProperties>
</file>